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filterPrivacy="1"/>
  <xr:revisionPtr revIDLastSave="0" documentId="13_ncr:1_{886906E5-7FA0-4C17-A89D-F0379C95E187}" xr6:coauthVersionLast="46" xr6:coauthVersionMax="46" xr10:uidLastSave="{00000000-0000-0000-0000-000000000000}"/>
  <bookViews>
    <workbookView xWindow="-110" yWindow="-110" windowWidth="19420" windowHeight="11020" firstSheet="1" activeTab="2" xr2:uid="{00000000-000D-0000-FFFF-FFFF00000000}"/>
  </bookViews>
  <sheets>
    <sheet name="RiskSwappedFuncs" sheetId="77" state="hidden" r:id="rId1"/>
    <sheet name="@RISK Summary" sheetId="76" r:id="rId2"/>
    <sheet name="Base data" sheetId="1" r:id="rId3"/>
    <sheet name="Library data" sheetId="2" r:id="rId4"/>
    <sheet name="Policy A" sheetId="3" r:id="rId5"/>
    <sheet name="Policy B" sheetId="27" r:id="rId6"/>
    <sheet name="Policy A-B" sheetId="31" r:id="rId7"/>
    <sheet name="Emissions A" sheetId="5" r:id="rId8"/>
    <sheet name="Emissions B" sheetId="28" r:id="rId9"/>
    <sheet name="Emissions A-B" sheetId="32" r:id="rId10"/>
    <sheet name="Climate A" sheetId="4" r:id="rId11"/>
    <sheet name="RiskSerializationData" sheetId="25" state="hidden" r:id="rId12"/>
    <sheet name="Climate B" sheetId="29" r:id="rId13"/>
    <sheet name="Climate A-B" sheetId="33" r:id="rId14"/>
    <sheet name="Preventative costs A" sheetId="8" r:id="rId15"/>
    <sheet name="Preventative costs B" sheetId="38" r:id="rId16"/>
    <sheet name="Preventative costs A-B" sheetId="39" r:id="rId17"/>
    <sheet name="Adaptive costs A" sheetId="7" r:id="rId18"/>
    <sheet name="Adaptive costs B" sheetId="35" r:id="rId19"/>
    <sheet name="Adaptive costs A-B" sheetId="37" r:id="rId20"/>
    <sheet name="Impacts A" sheetId="6" r:id="rId21"/>
    <sheet name="Impacts B" sheetId="30" r:id="rId22"/>
    <sheet name="Impacts A-B" sheetId="34" r:id="rId23"/>
    <sheet name="Totals" sheetId="9" r:id="rId24"/>
    <sheet name="Names" sheetId="75" r:id="rId25"/>
  </sheets>
  <definedNames>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8</definedName>
    <definedName name="_AtRisk_SimSetting_MultipleCPUMode" hidden="1">0</definedName>
    <definedName name="_AtRisk_SimSetting_RandomNumberGenerator" hidden="1">0</definedName>
    <definedName name="_AtRisk_SimSetting_ReportOptionCustomItemsCount"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act">'Adaptive costs A'!$B$170:$K$177</definedName>
    <definedName name="aact_b">'Adaptive costs B'!$B$170:$K$177</definedName>
    <definedName name="aact_g">'Adaptive costs A'!$B$178:$K$178</definedName>
    <definedName name="aact_g_ab">'Adaptive costs A-B'!$B$178:$K$178</definedName>
    <definedName name="aact_g_b">'Adaptive costs B'!$B$178:$K$178</definedName>
    <definedName name="aact_gt">'Adaptive costs A'!$L$178</definedName>
    <definedName name="aact_gt_b">'Adaptive costs B'!$L$178</definedName>
    <definedName name="ac_1">'Adaptive costs A'!$B$72:$K$79</definedName>
    <definedName name="ac_1_b">'Adaptive costs B'!$B$72:$K$79</definedName>
    <definedName name="ac_1_g">'Adaptive costs A'!$B$80:$K$80</definedName>
    <definedName name="ac_1_g_b">'Adaptive costs B'!$B$80:$K$80</definedName>
    <definedName name="ac_2">'Adaptive costs A'!$B$102:$K$109</definedName>
    <definedName name="ac_2_b">'Adaptive costs B'!$B$102:$K$109</definedName>
    <definedName name="ac_2_g">'Adaptive costs A'!$B$110:$K$110</definedName>
    <definedName name="ac_2_g_b">'Adaptive costs B'!$B$110:$K$110</definedName>
    <definedName name="ac_s">'Adaptive costs A'!$B$42:$K$49</definedName>
    <definedName name="ac_s_b">'Adaptive costs B'!$B$42:$K$49</definedName>
    <definedName name="ac_s_g">'Adaptive costs A'!$B$50:$K$50</definedName>
    <definedName name="ac_s_g_b">'Adaptive costs B'!$B$50:$K$50</definedName>
    <definedName name="aci_1">'Adaptive costs A'!$B$62:$K$69</definedName>
    <definedName name="aci_1_b">'Adaptive costs B'!$B$62:$K$69</definedName>
    <definedName name="aci_1_g">'Adaptive costs A'!$B$70:$K$70</definedName>
    <definedName name="aci_1_g_b">'Adaptive costs B'!$B$70:$K$70</definedName>
    <definedName name="aci_2">'Adaptive costs A'!$B$92:$K$99</definedName>
    <definedName name="aci_2_b">'Adaptive costs B'!$B$92:$K$99</definedName>
    <definedName name="aci_2_g">'Adaptive costs A'!$B$100:$K$100</definedName>
    <definedName name="aci_2_g_b">'Adaptive costs B'!$B$100:$K$100</definedName>
    <definedName name="aci_s">'Adaptive costs A'!$B$32:$K$39</definedName>
    <definedName name="aci_s_b">'Adaptive costs B'!$B$32:$K$39</definedName>
    <definedName name="aci_s_g">'Adaptive costs A'!$B$40:$K$40</definedName>
    <definedName name="aci_s_g_b">'Adaptive costs B'!$B$40:$K$40</definedName>
    <definedName name="acp_1">'Adaptive costs A'!$B$52:$K$59</definedName>
    <definedName name="acp_1_b">'Adaptive costs B'!$B$52:$K$59</definedName>
    <definedName name="acp_1_g">'Adaptive costs A'!$B$60:$K$60</definedName>
    <definedName name="acp_1_g_b">'Adaptive costs B'!$B$60:$K$60</definedName>
    <definedName name="acp_2">'Adaptive costs A'!$B$82:$K$89</definedName>
    <definedName name="acp_2_b">'Adaptive costs B'!$B$82:$K$89</definedName>
    <definedName name="acp_2_g">'Adaptive costs A'!$B$90:$K$90</definedName>
    <definedName name="acp_2_g_b">'Adaptive costs B'!$B$90:$K$90</definedName>
    <definedName name="acp_s">'Adaptive costs A'!$B$22:$K$29</definedName>
    <definedName name="acp_s_b">'Adaptive costs B'!$B$22:$K$29</definedName>
    <definedName name="acp_s_g">'Adaptive costs A'!$B$30:$K$30</definedName>
    <definedName name="acp_s_g_b">'Adaptive costs B'!$B$30:$K$30</definedName>
    <definedName name="act">'Adaptive costs A'!$B$112:$K$119</definedName>
    <definedName name="act_b">'Adaptive costs B'!$B$112:$K$119</definedName>
    <definedName name="act_g">'Adaptive costs A'!$B$120:$K$120</definedName>
    <definedName name="act_g_b">'Adaptive costs B'!$B$120:$K$120</definedName>
    <definedName name="act_per_cap">'Adaptive costs A'!$B$122:$K$129</definedName>
    <definedName name="act_per_cap_b">'Adaptive costs B'!$B$122:$K$129</definedName>
    <definedName name="act_per_cap_g">'Adaptive costs A'!$B$130:$K$130</definedName>
    <definedName name="act_per_cap_g_b">'Adaptive costs B'!$B$130:$K$130</definedName>
    <definedName name="addt">'Impacts A'!$C$436:$L$443</definedName>
    <definedName name="addt_b">'Impacts B'!$C$436:$L$443</definedName>
    <definedName name="addt_g">'Impacts A'!$C$444:$L$444</definedName>
    <definedName name="addt_g_ab">'Impacts A-B'!$C$444:$L$444</definedName>
    <definedName name="addt_g_b">'Impacts B'!$C$444:$L$444</definedName>
    <definedName name="addt_gt">'Impacts A'!$M$444</definedName>
    <definedName name="addt_gt_b">'Impacts B'!$M$444</definedName>
    <definedName name="addtt">'Impacts A'!$M$436:$M$443</definedName>
    <definedName name="addtt_b">'Impacts B'!$M$436:$M$443</definedName>
    <definedName name="ahi_ch4">'Preventative costs A'!$B$506:$K$513</definedName>
    <definedName name="ahi_ch4_b">'Preventative costs B'!$B$506:$K$513</definedName>
    <definedName name="ahi_co2">'Preventative costs A'!$B$497:$K$504</definedName>
    <definedName name="ahi_co2_b">'Preventative costs B'!$B$497:$K$504</definedName>
    <definedName name="ahi_glin">'Preventative costs A'!$B$524:$K$531</definedName>
    <definedName name="ahi_glin_b">'Preventative costs B'!$B$524:$K$531</definedName>
    <definedName name="ahi_n2o">'Preventative costs A'!$B$515:$K$522</definedName>
    <definedName name="ahi_n2o_b">'Preventative costs B'!$B$515:$K$522</definedName>
    <definedName name="AIR_CH4">'Base data'!$C$17</definedName>
    <definedName name="AIR_CO2">'Library data'!$C$4</definedName>
    <definedName name="AIR_GLIN">'Base data'!$E$17</definedName>
    <definedName name="AIR_N2O">'Base data'!$D$17</definedName>
    <definedName name="ALO_CH4">'Preventative costs A'!$B$434:$K$441</definedName>
    <definedName name="ALO_CO2">'Preventative costs A'!$B$425:$K$432</definedName>
    <definedName name="ALO_GLIN">'Preventative costs A'!$B$452:$K$459</definedName>
    <definedName name="ALO_N2O">'Preventative costs A'!$B$443:$K$450</definedName>
    <definedName name="AREA">'Base data'!$C$24:$C$31</definedName>
    <definedName name="AREA_G">'Climate A'!$D$3</definedName>
    <definedName name="asympf_co2">'Climate A'!$D$19:$M$19</definedName>
    <definedName name="asympf_co2_b">'Climate B'!$D$19:$M$19</definedName>
    <definedName name="atl_1">'Impacts A'!$C$32:$L$39</definedName>
    <definedName name="atl_1_b">'Impacts B'!$C$32:$L$39</definedName>
    <definedName name="atl_2">'Impacts A'!$C$41:$L$48</definedName>
    <definedName name="atl_2_b">'Impacts B'!$C$41:$L$48</definedName>
    <definedName name="atl_s">'Impacts A'!$C$23:$L$30</definedName>
    <definedName name="atl_s_b">'Impacts B'!$C$23:$L$30</definedName>
    <definedName name="AUTO">'Library data'!$C$134</definedName>
    <definedName name="AUTOFAC">'Preventative costs A'!$B$233:$K$233</definedName>
    <definedName name="AUTOMULT">'Library data'!$C$133</definedName>
    <definedName name="BAU_CH4">'Base data'!$C$77:$L$84</definedName>
    <definedName name="BAU_CO2">'Base data'!$C$68:$L$75</definedName>
    <definedName name="BAU_GLIN">'Base data'!$C$95:$L$102</definedName>
    <definedName name="BAU_N2O">'Base data'!$C$86:$L$93</definedName>
    <definedName name="BHI_CH4">'Preventative costs A'!$B$470:$K$477</definedName>
    <definedName name="BHI_CO2">'Preventative costs A'!$B$461:$K$468</definedName>
    <definedName name="BHI_GLIN">'Preventative costs A'!$B$488:$K$495</definedName>
    <definedName name="BHI_N2O">'Preventative costs A'!$B$479:$K$486</definedName>
    <definedName name="BLO_CH4">'Preventative costs A'!$B$398:$K$405</definedName>
    <definedName name="BLO_CO2">'Preventative costs A'!$B$389:$K$396</definedName>
    <definedName name="BLO_GLIN">'Preventative costs A'!$B$416:$K$423</definedName>
    <definedName name="BLO_N2O">'Preventative costs A'!$B$407:$K$414</definedName>
    <definedName name="C_0">'Base data'!$B$19:$E$19</definedName>
    <definedName name="c_ch4">'Climate A'!$D$36:$M$36</definedName>
    <definedName name="C_CH4_0">'Base data'!$C$19</definedName>
    <definedName name="c_ch4_b">'Climate B'!$D$36:$M$36</definedName>
    <definedName name="c_co2">'Climate A'!$D$26:$M$26</definedName>
    <definedName name="C_CO2_0">'Base data'!$B$19</definedName>
    <definedName name="c_co2_b">'Climate B'!$D$26:$M$26</definedName>
    <definedName name="c_co2_no_ccf">'Climate A'!$D$23:$M$23</definedName>
    <definedName name="c_co2_no_ccf_b">'Climate B'!$D$23:$M$23</definedName>
    <definedName name="c_glin">'Climate A'!$D$60:$M$60</definedName>
    <definedName name="C_GLIN_0">'Base data'!$E$19</definedName>
    <definedName name="c_glin_b">'Climate B'!$D$60:$M$60</definedName>
    <definedName name="c_n2o">'Climate A'!$D$46:$M$46</definedName>
    <definedName name="C_N2O_0">'Base data'!$D$19</definedName>
    <definedName name="c_n2o_b">'Climate B'!$D$46:$M$46</definedName>
    <definedName name="C0_CH4">'Preventative costs A'!$B$236:$K$236</definedName>
    <definedName name="C0_CO2">'Preventative costs A'!$B$235:$K$235</definedName>
    <definedName name="C0_GLIN">'Preventative costs A'!$B$238:$K$238</definedName>
    <definedName name="C0_INIT_CH4">'Library data'!$C$79</definedName>
    <definedName name="C0_INIT_CO2">'Library data'!$C$72</definedName>
    <definedName name="C0_INIT_GLIN">'Library data'!$C$93</definedName>
    <definedName name="C0_INIT_N2O">'Library data'!$C$86</definedName>
    <definedName name="C0_N2O">'Preventative costs A'!$B$237:$K$237</definedName>
    <definedName name="C0G">'Library data'!$C$127</definedName>
    <definedName name="C0MULT">'Library data'!$C$126</definedName>
    <definedName name="cb_ch4">'Preventative costs A'!$B$94:$K$101</definedName>
    <definedName name="cb_ch4_b">'Preventative costs B'!$B$94:$K$101</definedName>
    <definedName name="cb_co2">'Preventative costs A'!$B$85:$K$92</definedName>
    <definedName name="cb_co2_b">'Preventative costs B'!$B$85:$K$92</definedName>
    <definedName name="cb_glin">'Preventative costs A'!$B$112:$K$119</definedName>
    <definedName name="cb_glin_b">'Preventative costs B'!$B$112:$K$119</definedName>
    <definedName name="cb_n2o">'Preventative costs A'!$B$103:$K$110</definedName>
    <definedName name="cb_n2o_b">'Preventative costs B'!$B$103:$K$110</definedName>
    <definedName name="cbe_ch4">'Preventative costs A'!$B$130:$K$137</definedName>
    <definedName name="cbe_ch4_b">'Preventative costs B'!$B$130:$K$137</definedName>
    <definedName name="cbe_co2">'Preventative costs A'!$B$121:$K$128</definedName>
    <definedName name="cbe_co2_b">'Preventative costs B'!$B$121:$K$128</definedName>
    <definedName name="cbe_glin">'Preventative costs A'!$B$148:$K$155</definedName>
    <definedName name="cbe_glin_b">'Preventative costs B'!$B$148:$K$155</definedName>
    <definedName name="cbe_n2o">'Preventative costs A'!$B$139:$K$146</definedName>
    <definedName name="cbe_n2o_b">'Preventative costs B'!$B$139:$K$146</definedName>
    <definedName name="CCF">'Library data'!$C$7</definedName>
    <definedName name="ccff">'Climate A'!$D$25:$M$25</definedName>
    <definedName name="ccff_b">'Climate B'!$D$25:$M$25</definedName>
    <definedName name="CCFFMAX">'Library data'!$C$8</definedName>
    <definedName name="CE_CO2_0">'Base data'!$B$20</definedName>
    <definedName name="cea_co2">'Climate A'!$D$16:$M$16</definedName>
    <definedName name="CEA_CO2_0">'Climate A'!$C$16</definedName>
    <definedName name="cea_co2_b">'Climate B'!$D$16:$M$16</definedName>
    <definedName name="CF">'Library data'!$C$60:$C$66</definedName>
    <definedName name="CI_1">'Adaptive costs A'!$E$5:$E$12</definedName>
    <definedName name="CI_1_1">'Library data'!$C$57</definedName>
    <definedName name="CI_2">'Adaptive costs A'!$G$5:$G$12</definedName>
    <definedName name="CI_2_1">'Library data'!$C$59</definedName>
    <definedName name="CI_S">'Adaptive costs A'!$C$5:$C$12</definedName>
    <definedName name="CI_S_1">'Library data'!$C$55</definedName>
    <definedName name="CIV_VALUE">'Library data'!$C$44</definedName>
    <definedName name="cmax_ch4">'Preventative costs A'!$B$362:$K$369</definedName>
    <definedName name="cmax_ch4_b">'Preventative costs B'!$B$362:$K$369</definedName>
    <definedName name="cmax_co2">'Preventative costs A'!$B$353:$K$360</definedName>
    <definedName name="cmax_co2_b">'Preventative costs B'!$B$353:$K$360</definedName>
    <definedName name="cmax_glin">'Preventative costs A'!$B$380:$K$387</definedName>
    <definedName name="cmax_glin_b">'Preventative costs B'!$B$380:$K$387</definedName>
    <definedName name="CMAX_INIT_CH4">'Preventative costs A'!$C$31:$C$38</definedName>
    <definedName name="CMAX_INIT_CH4_1">'Library data'!$C$81</definedName>
    <definedName name="CMAX_INIT_CO2">'Preventative costs A'!$B$31:$B$38</definedName>
    <definedName name="CMAX_INIT_CO2_1">'Library data'!$C$74</definedName>
    <definedName name="CMAX_INIT_GLIN">'Preventative costs A'!$E$31:$E$38</definedName>
    <definedName name="CMAX_INIT_GLIN_1">'Library data'!$C$95</definedName>
    <definedName name="CMAX_INIT_N2O">'Preventative costs A'!$D$31:$D$38</definedName>
    <definedName name="CMAX_INIT_N2O_1">'Library data'!$C$88</definedName>
    <definedName name="cmax_n2o">'Preventative costs A'!$B$371:$K$378</definedName>
    <definedName name="cmax_n2o_b">'Preventative costs B'!$B$371:$K$378</definedName>
    <definedName name="CMAXF">'Library data'!$C$114:$C$120</definedName>
    <definedName name="CONS_PER_CAP">'Impacts A'!$C$143:$L$150</definedName>
    <definedName name="CONS_PER_CAP_0">'Impacts A'!$B$143:$B$150</definedName>
    <definedName name="cons_per_cap_after_costs">'Impacts A'!$C$173:$L$180</definedName>
    <definedName name="cons_per_cap_after_costs_b">'Impacts B'!$C$173:$L$180</definedName>
    <definedName name="CONS_PER_CAP_FOCUS">'Impacts A'!$C$143:$L$143</definedName>
    <definedName name="CONS_PER_CAP_FOCUS_0">'Impacts A'!$B$143</definedName>
    <definedName name="CONS_PER_CAP_G">'Impacts A'!$C$151:$L$151</definedName>
    <definedName name="CONS_PER_CAP_G_0">'Impacts A'!$B$151</definedName>
    <definedName name="CONS_PER_CAP_G_1">'Impacts A'!$C$151</definedName>
    <definedName name="CONS_PER_CAP_G_NOT_1">'Impacts A'!$D$151:$L$151</definedName>
    <definedName name="CP_1">'Adaptive costs A'!$D$5:$D$12</definedName>
    <definedName name="CP_1_1">'Library data'!$C$56</definedName>
    <definedName name="CP_2">'Adaptive costs A'!$F$5:$F$12</definedName>
    <definedName name="CP_2_1">'Library data'!$C$58</definedName>
    <definedName name="CP_S">'Adaptive costs A'!$B$5:$B$12</definedName>
    <definedName name="CP_S_1">'Library data'!$C$54</definedName>
    <definedName name="CROSS">'Library data'!$C$130</definedName>
    <definedName name="cumcbe_ch4">'Preventative costs A'!$B$167:$K$174</definedName>
    <definedName name="cumcbe_ch4_b">'Preventative costs B'!$B$167:$K$174</definedName>
    <definedName name="cumcbe_ch4_g">'Preventative costs A'!$B$175:$K$175</definedName>
    <definedName name="cumcbe_ch4_g_b">'Preventative costs B'!$B$175:$K$175</definedName>
    <definedName name="cumcbe_co2">'Preventative costs A'!$B$157:$K$164</definedName>
    <definedName name="cumcbe_co2_b">'Preventative costs B'!$B$157:$K$164</definedName>
    <definedName name="cumcbe_co2_g">'Preventative costs A'!$B$165:$K$165</definedName>
    <definedName name="cumcbe_co2_g_b">'Preventative costs B'!$B$165:$K$165</definedName>
    <definedName name="cumcbe_glin">'Preventative costs A'!$B$187:$K$194</definedName>
    <definedName name="cumcbe_glin_b">'Preventative costs B'!$B$187:$K$194</definedName>
    <definedName name="cumcbe_glin_g">'Preventative costs A'!$B$195:$K$195</definedName>
    <definedName name="cumcbe_glin_g_b">'Preventative costs B'!$B$195:$K$195</definedName>
    <definedName name="cumcbe_n2o">'Preventative costs A'!$B$177:$K$184</definedName>
    <definedName name="cumcbe_n2o_b">'Preventative costs B'!$B$177:$K$184</definedName>
    <definedName name="cumcbe_n2o_g">'Preventative costs A'!$B$185:$K$185</definedName>
    <definedName name="cumcbe_n2o_g_b">'Preventative costs B'!$B$185:$K$185</definedName>
    <definedName name="CURRENCY_NAME">'Base data'!$D$32</definedName>
    <definedName name="CURVE_ABOVE">'Library data'!$C$129</definedName>
    <definedName name="CURVE_BELOW">'Library data'!$C$128</definedName>
    <definedName name="D">'Library data'!$C$11</definedName>
    <definedName name="DEN">'Base data'!$B$13:$E$13</definedName>
    <definedName name="DEN_CH4">'Base data'!$C$13</definedName>
    <definedName name="DEN_CO2">'Base data'!$B$13</definedName>
    <definedName name="DEN_GLIN">'Base data'!$E$13</definedName>
    <definedName name="DEN_N2O">'Base data'!$D$13</definedName>
    <definedName name="DF">'Impacts A'!$C$154:$L$161</definedName>
    <definedName name="DFC">'Preventative costs A'!$B$687:$K$694</definedName>
    <definedName name="DISTAU">'Library data'!$C$42</definedName>
    <definedName name="DR">'Base data'!$C$58:$L$65</definedName>
    <definedName name="DR_1">'Base data'!$C$58:$C$65</definedName>
    <definedName name="DR_NOT_1">'Base data'!$D$58:$L$65</definedName>
    <definedName name="DROP">'Base data'!$M$4</definedName>
    <definedName name="e_ch4">'Emissions A'!$C$35:$L$42</definedName>
    <definedName name="E_CH4_0">'Base data'!$G$24:$G$31</definedName>
    <definedName name="e_ch4_b">'Emissions B'!$C$35:$L$42</definedName>
    <definedName name="e_ch4_g">'Emissions A'!$C$43:$L$43</definedName>
    <definedName name="E_CH4_G_0">'Emissions A'!$B$43</definedName>
    <definedName name="e_ch4_g_b">'Emissions B'!$C$43:$L$43</definedName>
    <definedName name="e_co2">'Emissions A'!$C$4:$L$11</definedName>
    <definedName name="E_CO2_0">'Base data'!$F$24:$F$31</definedName>
    <definedName name="e_co2_b">'Emissions B'!$C$4:$L$11</definedName>
    <definedName name="e_co2_g">'Emissions A'!$C$12:$L$12</definedName>
    <definedName name="E_CO2_G_0">'Emissions A'!$B$12</definedName>
    <definedName name="e_co2_g_b">'Emissions B'!$C$12:$L$12</definedName>
    <definedName name="E_GLIN_0">'Base data'!$I$24:$I$31</definedName>
    <definedName name="e_glin_g">'Emissions A'!$C$105:$L$105</definedName>
    <definedName name="E_GLIN_G_0">'Emissions A'!$B$105</definedName>
    <definedName name="e_glin_g_b">'Emissions B'!$C$105:$L$105</definedName>
    <definedName name="e_n2o">'Emissions A'!$C$66:$L$73</definedName>
    <definedName name="E_N2O_0">'Base data'!$H$24:$H$31</definedName>
    <definedName name="e_n2o_b">'Emissions B'!$C$66:$L$73</definedName>
    <definedName name="e_n2o_g">'Emissions A'!$C$74:$L$74</definedName>
    <definedName name="E_N2O_G_0">'Emissions A'!$B$74</definedName>
    <definedName name="e_n2o_g_b">'Emissions B'!$C$74:$L$74</definedName>
    <definedName name="eact_per_cap">'Adaptive costs A'!$B$132:$K$139</definedName>
    <definedName name="eact_per_cap_b">'Adaptive costs B'!$B$132:$K$139</definedName>
    <definedName name="EMIT_CH4">'Preventative costs A'!$C$5:$C$12</definedName>
    <definedName name="EMIT_CH4_1">'Library data'!$C$77</definedName>
    <definedName name="EMIT_CO2">'Preventative costs A'!$B$5:$B$12</definedName>
    <definedName name="EMIT_CO2_1">'Library data'!$C$70</definedName>
    <definedName name="EMIT_GLIN">'Preventative costs A'!$E$5:$E$12</definedName>
    <definedName name="EMIT_GLIN_1">'Library data'!$C$91</definedName>
    <definedName name="EMIT_N2O">'Preventative costs A'!$D$5:$D$12</definedName>
    <definedName name="EMIT_N2O_1">'Library data'!$C$84</definedName>
    <definedName name="EMIT_NAME">'Base data'!$F$32</definedName>
    <definedName name="EMITF">'Library data'!$C$98:$C$104</definedName>
    <definedName name="EMUC">'Base data'!$B$10</definedName>
    <definedName name="EQUITY">'Impacts A'!$C$163:$L$170</definedName>
    <definedName name="EQUITY_0">'Impacts A'!$B$163:$B$170</definedName>
    <definedName name="EQUITY_COSTS">'Base data'!$B$9</definedName>
    <definedName name="EQUITY_G">'Impacts A'!$C$171:$L$171</definedName>
    <definedName name="EQUITY_G_0">'Impacts A'!$B$171</definedName>
    <definedName name="EQUITY_PROP">'Library data'!$C$135</definedName>
    <definedName name="er_ch4_1_a">'Policy A'!$B$14:$B$21</definedName>
    <definedName name="er_ch4_1_b">'Policy B'!$B$14:$B$21</definedName>
    <definedName name="er_ch4_a">'Policy A'!$B$14:$K$21</definedName>
    <definedName name="er_ch4_b">'Policy B'!$B$14:$K$21</definedName>
    <definedName name="er_ch4_not_1_a">'Policy A'!$C$14:$K$21</definedName>
    <definedName name="er_ch4_not_1_b">'Policy B'!$C$14:$K$21</definedName>
    <definedName name="er_co2_1_a">'Policy A'!$B$5:$B$12</definedName>
    <definedName name="er_co2_1_b">'Policy B'!$B$5:$B$12</definedName>
    <definedName name="er_co2_a">'Policy A'!$B$5:$K$12</definedName>
    <definedName name="er_co2_b">'Policy B'!$B$5:$K$12</definedName>
    <definedName name="er_co2_not_1_a">'Policy A'!$C$5:$K$12</definedName>
    <definedName name="er_co2_not_1_b">'Policy B'!$C$5:$K$12</definedName>
    <definedName name="er_glin_1_a">'Policy A'!$B$32:$B$39</definedName>
    <definedName name="er_glin_1_b">'Policy B'!$B$32:$B$39</definedName>
    <definedName name="er_glin_a">'Policy A'!$B$32:$K$39</definedName>
    <definedName name="er_glin_b">'Policy B'!$B$32:$K$39</definedName>
    <definedName name="er_glin_not_1_a">'Policy A'!$C$32:$K$39</definedName>
    <definedName name="er_glin_not_1_b">'Policy B'!$C$32:$K$39</definedName>
    <definedName name="er_n2o_1_a">'Policy A'!$B$23:$B$30</definedName>
    <definedName name="er_n2o_1_b">'Policy B'!$B$23:$B$30</definedName>
    <definedName name="er_n2o_a">'Policy A'!$B$23:$K$30</definedName>
    <definedName name="er_n2o_b">'Policy B'!$B$23:$K$30</definedName>
    <definedName name="er_n2o_not_1_a">'Policy A'!$C$23:$K$30</definedName>
    <definedName name="er_n2o_not_1_b">'Policy B'!$C$23:$K$30</definedName>
    <definedName name="ER_SCC">'Policy B'!$B$2:$K$2</definedName>
    <definedName name="es">'Climate A'!$D$137:$M$137</definedName>
    <definedName name="ES_0">'Climate A'!$C$137</definedName>
    <definedName name="es_b">'Climate B'!$D$137:$M$137</definedName>
    <definedName name="es_not_1">'Climate A'!$E$137:$M$137</definedName>
    <definedName name="es_not_1_b">'Climate B'!$E$137:$M$137</definedName>
    <definedName name="et">'Climate A'!$D$101:$M$108</definedName>
    <definedName name="et_1">'Climate A'!$D$101:$D$108</definedName>
    <definedName name="et_1_b">'Climate B'!$D$101:$D$108</definedName>
    <definedName name="et_b">'Climate B'!$D$101:$M$108</definedName>
    <definedName name="et_not_1">'Climate A'!$E$101:$M$108</definedName>
    <definedName name="et_not_1_b">'Climate B'!$E$101:$M$108</definedName>
    <definedName name="EXC">'Climate A'!$D$9:$G$9</definedName>
    <definedName name="EXC_CH4">'Climate A'!$E$9</definedName>
    <definedName name="EXC_CO2">'Climate A'!$D$9</definedName>
    <definedName name="EXC_GLIN">'Climate A'!$G$9</definedName>
    <definedName name="EXC_N2O">'Climate A'!$F$9</definedName>
    <definedName name="EXF_0">'Base data'!$B$104</definedName>
    <definedName name="exf_a">'Policy A'!$B$50:$K$50</definedName>
    <definedName name="exf_b">'Policy B'!$B$50:$K$50</definedName>
    <definedName name="EXPF_CH4">'Climate A'!$D$32:$M$32</definedName>
    <definedName name="EXPF_CH4_NOT_1">'Climate A'!$E$32:$M$32</definedName>
    <definedName name="EXPF_GLIN">'Climate A'!$D$56:$M$56</definedName>
    <definedName name="EXPF_GLIN_NOT_1">'Climate A'!$E$56:$M$56</definedName>
    <definedName name="EXPF_N2O">'Climate A'!$D$42:$M$42</definedName>
    <definedName name="EXPF_N2O_NOT_1">'Climate A'!$E$42:$M$42</definedName>
    <definedName name="EXPF1_CO2">'Climate A'!$D$17:$M$17</definedName>
    <definedName name="EXPF1_CO2_NOT_1">'Climate A'!$E$17:$M$17</definedName>
    <definedName name="EXPF2_CO2">'Climate A'!$D$18:$M$18</definedName>
    <definedName name="EXPFDIS">'Impacts A'!$C$106:$L$106</definedName>
    <definedName name="EXPFDIS_1">'Impacts A'!$C$106</definedName>
    <definedName name="EXPFDIS_NOT_1">'Impacts A'!$D$106:$L$106</definedName>
    <definedName name="EXPFS">'Climate A'!$D$138:$M$138</definedName>
    <definedName name="EXPFS_1">'Climate A'!$D$138</definedName>
    <definedName name="EXPFS_NOT_1">'Climate A'!$E$138:$M$138</definedName>
    <definedName name="EXPFT">'Climate A'!$D$109:$M$109</definedName>
    <definedName name="EXPFT_NOT_1">'Climate A'!$E$109:$M$109</definedName>
    <definedName name="f_ch4">'Climate A'!$D$50:$M$50</definedName>
    <definedName name="F_CH4_0">'Base data'!$C$21</definedName>
    <definedName name="f_ch4_b">'Climate B'!$D$50:$M$50</definedName>
    <definedName name="f_ch4_no_over">'Climate A'!$D$37:$M$37</definedName>
    <definedName name="f_ch4_no_over_b">'Climate B'!$D$37:$M$37</definedName>
    <definedName name="f_co2">'Climate A'!$D$27:$M$27</definedName>
    <definedName name="F_CO2_0">'Base data'!$B$21</definedName>
    <definedName name="f_co2_b">'Climate B'!$D$27:$M$27</definedName>
    <definedName name="f_glin">'Climate A'!$D$61:$M$61</definedName>
    <definedName name="F_GLIN_0">'Base data'!$E$21</definedName>
    <definedName name="f_glin_b">'Climate B'!$D$61:$M$61</definedName>
    <definedName name="f_n2o">'Climate A'!$D$51:$M$51</definedName>
    <definedName name="F_N2O_0">'Base data'!$D$21</definedName>
    <definedName name="f_n2o_b">'Climate B'!$D$51:$M$51</definedName>
    <definedName name="f_n2o_no_over">'Climate A'!$D$47:$M$47</definedName>
    <definedName name="f_n2o_no_over_b">'Climate B'!$D$47:$M$47</definedName>
    <definedName name="FRT">'Library data'!$C$17</definedName>
    <definedName name="fs">'Climate A'!$D$91:$M$98</definedName>
    <definedName name="fs_b">'Climate B'!$D$91:$M$98</definedName>
    <definedName name="fs_g">'Climate A'!$D$99:$M$99</definedName>
    <definedName name="fs_g_b">'Climate B'!$D$99:$M$99</definedName>
    <definedName name="fsd">'Climate A'!$D$73:$M$80</definedName>
    <definedName name="FSD_0">'Climate A'!$C$73:$C$80</definedName>
    <definedName name="fsd_b">'Climate B'!$D$73:$M$80</definedName>
    <definedName name="fsd_g">'Climate A'!$D$81:$M$81</definedName>
    <definedName name="fsd_g_b">'Climate B'!$D$81:$M$81</definedName>
    <definedName name="fsi">'Climate A'!$D$82:$M$89</definedName>
    <definedName name="fsi_b">'Climate B'!$D$82:$M$89</definedName>
    <definedName name="fsi_g">'Climate A'!$D$90:$M$90</definedName>
    <definedName name="fsi_g_b">'Climate B'!$D$90:$M$90</definedName>
    <definedName name="FSLOPE_CH4">'Base data'!$C$14</definedName>
    <definedName name="FSLOPE_CO2">'Base data'!$B$14</definedName>
    <definedName name="FSLOPE_GLIN">'Base data'!$E$14</definedName>
    <definedName name="FSLOPE_N2O">'Base data'!$D$14</definedName>
    <definedName name="ft">'Climate A'!$D$62:$M$62</definedName>
    <definedName name="FT_0">'Climate A'!$C$62</definedName>
    <definedName name="ft_b">'Climate B'!$D$62:$M$62</definedName>
    <definedName name="gain">'Climate A'!$D$24:$M$24</definedName>
    <definedName name="gain_b">'Climate B'!$D$24:$M$24</definedName>
    <definedName name="GDP">'Impacts A'!$C$110:$L$117</definedName>
    <definedName name="GDP_0">'Base data'!$D$24:$D$31</definedName>
    <definedName name="GDP_G">'Impacts A'!$C$118:$L$118</definedName>
    <definedName name="GDP_G_0">'Impacts A'!$B$118</definedName>
    <definedName name="GDP_G_1">'Impacts A'!$C$118</definedName>
    <definedName name="GDP_G_NOT_1">'Impacts A'!$D$118:$L$118</definedName>
    <definedName name="GDP_NOT_1">'Impacts A'!$D$110:$L$117</definedName>
    <definedName name="GDP_PER_CAP">'Impacts A'!$C$132:$L$139</definedName>
    <definedName name="GDP_PER_CAP_0">'Impacts A'!$B$132:$B$139</definedName>
    <definedName name="gdp_per_cap_after_costs">'Impacts A'!$C$182:$L$189</definedName>
    <definedName name="gdp_per_cap_after_costs_b">'Impacts B'!$C$182:$L$189</definedName>
    <definedName name="GDP_PER_CAP_FOCUS_0">'Impacts A'!$B$132</definedName>
    <definedName name="GDP_PER_CAP_G">'Impacts A'!$C$140:$L$140</definedName>
    <definedName name="GDP_PER_CAP_G_0">'Impacts A'!$B$140</definedName>
    <definedName name="GLIN_NAME">'Base data'!$E$11</definedName>
    <definedName name="GRW">'Base data'!$C$36:$L$43</definedName>
    <definedName name="GRW_1">'Base data'!$C$36:$C$43</definedName>
    <definedName name="GRW_G">'Impacts A'!$C$119:$L$119</definedName>
    <definedName name="GRW_NOT_1">'Base data'!$D$36:$L$43</definedName>
    <definedName name="i_1">'Impacts A'!$C$86:$L$93</definedName>
    <definedName name="i_1_b">'Impacts B'!$C$86:$L$93</definedName>
    <definedName name="I_1_NAME">'Base data'!$B$6</definedName>
    <definedName name="i_2">'Impacts A'!$C$95:$L$102</definedName>
    <definedName name="i_2_b">'Impacts B'!$C$95:$L$102</definedName>
    <definedName name="I_2_NAME">'Base data'!$B$7</definedName>
    <definedName name="i_dis">'Impacts A'!$C$104:$L$104</definedName>
    <definedName name="i_dis_b">'Impacts B'!$C$104:$L$104</definedName>
    <definedName name="i_s">'Impacts A'!$C$77:$L$84</definedName>
    <definedName name="i_s_b">'Impacts B'!$C$77:$L$84</definedName>
    <definedName name="IBEN_1">'Library data'!$C$32</definedName>
    <definedName name="IBEN_2">'Library data'!$C$36</definedName>
    <definedName name="IBEN_S">'Library data'!$C$28</definedName>
    <definedName name="IES_CH4">'Library data'!$C$82</definedName>
    <definedName name="IES_CO2">'Library data'!$C$75</definedName>
    <definedName name="IES_GLIN">'Library data'!$C$96</definedName>
    <definedName name="IES_N2O">'Library data'!$C$89</definedName>
    <definedName name="igdp_1">'Impacts A'!$C$254:$L$261</definedName>
    <definedName name="igdp_1_b">'Impacts B'!$C$254:$L$261</definedName>
    <definedName name="igdp_2">'Impacts A'!$C$308:$L$315</definedName>
    <definedName name="igdp_2_b">'Impacts B'!$C$308:$L$315</definedName>
    <definedName name="igdp_s">'Impacts A'!$C$200:$L$207</definedName>
    <definedName name="igdp_s_b">'Impacts B'!$C$200:$L$207</definedName>
    <definedName name="igdpdis">'Impacts A'!$C$371:$L$378</definedName>
    <definedName name="igdpdis_1">'Impacts A'!$C$371:$C$378</definedName>
    <definedName name="igdpdis_1_b">'Impacts B'!$C$371:$C$378</definedName>
    <definedName name="igdpdis_b">'Impacts B'!$C$371:$L$378</definedName>
    <definedName name="igdpdis_not_1">'Impacts A'!$D$371:$L$378</definedName>
    <definedName name="igdpdis_not_1_b">'Impacts B'!$D$371:$L$378</definedName>
    <definedName name="igdpeqdis">'Impacts A'!$C$362:$L$369</definedName>
    <definedName name="igdpeqdis_1">'Impacts A'!$C$362:$C$369</definedName>
    <definedName name="igdpeqdis_1_b">'Impacts B'!$C$362:$C$369</definedName>
    <definedName name="igdpeqdis_b">'Impacts B'!$C$362:$L$369</definedName>
    <definedName name="igdpeqdis_not_1">'Impacts A'!$D$362:$L$369</definedName>
    <definedName name="igdpeqdis_not_1_b">'Impacts B'!$D$362:$L$369</definedName>
    <definedName name="imp_1">'Impacts A'!$C$59:$L$66</definedName>
    <definedName name="imp_1_b">'Impacts B'!$C$59:$L$66</definedName>
    <definedName name="imp_2">'Impacts A'!$C$68:$L$75</definedName>
    <definedName name="imp_2_b">'Impacts B'!$C$68:$L$75</definedName>
    <definedName name="imp_s">'Impacts A'!$C$50:$L$57</definedName>
    <definedName name="imp_s_b">'Impacts B'!$C$50:$L$57</definedName>
    <definedName name="impmax_1_a">'Policy A'!$I$64:$I$71</definedName>
    <definedName name="impmax_1_b">'Policy B'!$I$64:$I$71</definedName>
    <definedName name="impmax_2_a">'Policy A'!$I$74:$I$81</definedName>
    <definedName name="impmax_2_b">'Policy B'!$I$74:$I$81</definedName>
    <definedName name="impmax_s_a">'Policy A'!$I$54:$I$61</definedName>
    <definedName name="impmax_s_b">'Policy B'!$I$54:$I$61</definedName>
    <definedName name="impred_1_a">'Policy A'!$F$64:$F$71</definedName>
    <definedName name="impred_1_b">'Policy B'!$F$64:$F$71</definedName>
    <definedName name="impred_2_a">'Policy A'!$F$74:$F$81</definedName>
    <definedName name="impred_2_b">'Policy B'!$F$74:$F$81</definedName>
    <definedName name="impred_s_a">'Policy A'!$F$54:$F$61</definedName>
    <definedName name="impred_s_b">'Policy B'!$F$54:$F$61</definedName>
    <definedName name="IND">'Library data'!$C$12</definedName>
    <definedName name="IPOW_1">'Library data'!$C$35</definedName>
    <definedName name="IPOW_2">'Library data'!$C$39</definedName>
    <definedName name="IPOW_S">'Library data'!$C$31</definedName>
    <definedName name="IPOWDIS">'Library data'!$C$41</definedName>
    <definedName name="iref_1">'Impacts A'!$C$245:$L$252</definedName>
    <definedName name="iref_1_b">'Impacts B'!$C$245:$L$252</definedName>
    <definedName name="iref_2">'Impacts A'!$C$299:$L$306</definedName>
    <definedName name="iref_2_b">'Impacts B'!$C$299:$L$306</definedName>
    <definedName name="iref_s">'Impacts A'!$C$191:$L$198</definedName>
    <definedName name="iref_s_b">'Impacts B'!$C$191:$L$198</definedName>
    <definedName name="IREFEQDIS">'Impacts A'!$C$353:$L$360</definedName>
    <definedName name="ISAT">'Library data'!$C$43</definedName>
    <definedName name="isat_1">'Impacts A'!$C$263:$L$270</definedName>
    <definedName name="isat_1_b">'Impacts B'!$C$263:$L$270</definedName>
    <definedName name="isat_1_per_cap">'Impacts A'!$C$272:$L$279</definedName>
    <definedName name="isat_1_per_cap_b">'Impacts B'!$C$272:$L$279</definedName>
    <definedName name="isat_2">'Impacts A'!$C$317:$L$324</definedName>
    <definedName name="isat_2_b">'Impacts B'!$C$317:$L$324</definedName>
    <definedName name="isat_2_per_cap">'Impacts A'!$C$326:$L$333</definedName>
    <definedName name="isat_2_per_cap_b">'Impacts B'!$C$326:$L$333</definedName>
    <definedName name="isat_s">'Impacts A'!$C$209:$L$216</definedName>
    <definedName name="isat_s_b">'Impacts B'!$C$209:$L$216</definedName>
    <definedName name="isat_s_per_cap">'Impacts A'!$C$218:$L$225</definedName>
    <definedName name="isat_s_per_cap_b">'Impacts B'!$C$218:$L$225</definedName>
    <definedName name="isatdis">'Impacts A'!$C$380:$L$387</definedName>
    <definedName name="isatdis_b">'Impacts B'!$C$380:$L$387</definedName>
    <definedName name="isatdis_per_cap">'Impacts A'!$C$389:$L$396</definedName>
    <definedName name="isatdis_per_cap_b">'Impacts B'!$C$389:$L$396</definedName>
    <definedName name="ISATG">'Impacts A'!$C$13</definedName>
    <definedName name="istart_1_a">'Policy A'!$G$64:$G$71</definedName>
    <definedName name="istart_1_b">'Policy B'!$G$64:$G$71</definedName>
    <definedName name="istart_2_a">'Policy A'!$G$74:$G$81</definedName>
    <definedName name="istart_2_b">'Policy B'!$G$74:$G$81</definedName>
    <definedName name="istart_s_a">'Policy A'!$G$54:$G$61</definedName>
    <definedName name="istart_s_b">'Policy B'!$G$54:$G$61</definedName>
    <definedName name="iyears_1_a">'Policy A'!$H$64:$H$71</definedName>
    <definedName name="iyears_1_b">'Policy B'!$H$64:$H$71</definedName>
    <definedName name="iyears_2_a">'Policy A'!$H$74:$H$81</definedName>
    <definedName name="iyears_2_b">'Policy B'!$H$74:$H$81</definedName>
    <definedName name="iyears_s_a">'Policy A'!$H$54:$H$61</definedName>
    <definedName name="iyears_s_b">'Policy B'!$H$54:$H$61</definedName>
    <definedName name="LAT">'Base data'!$M$24:$M$31</definedName>
    <definedName name="LAT_G">'Climate A'!$D$5</definedName>
    <definedName name="LEARN">'Library data'!$C$131</definedName>
    <definedName name="learnfac_ch4">'Preventative costs A'!$B$206:$K$213</definedName>
    <definedName name="learnfac_ch4_b">'Preventative costs B'!$B$206:$K$213</definedName>
    <definedName name="learnfac_co2">'Preventative costs A'!$B$197:$K$204</definedName>
    <definedName name="learnfac_co2_b">'Preventative costs B'!$B$197:$K$204</definedName>
    <definedName name="learnfac_glin">'Preventative costs A'!$B$224:$K$231</definedName>
    <definedName name="learnfac_glin_b">'Preventative costs B'!$B$224:$K$231</definedName>
    <definedName name="learnfac_n2o">'Preventative costs A'!$B$215:$K$222</definedName>
    <definedName name="learnfac_n2o_b">'Preventative costs B'!$B$215:$K$222</definedName>
    <definedName name="mc_ch4">'Preventative costs A'!$B$578:$K$585</definedName>
    <definedName name="mc_ch4_b">'Preventative costs B'!$B$578:$K$585</definedName>
    <definedName name="mc_co2">'Preventative costs A'!$B$569:$K$576</definedName>
    <definedName name="mc_co2_b">'Preventative costs B'!$B$569:$K$576</definedName>
    <definedName name="mc_glin">'Preventative costs A'!$B$596:$K$603</definedName>
    <definedName name="mc_glin_b">'Preventative costs B'!$B$596:$K$603</definedName>
    <definedName name="mc_n2o">'Preventative costs A'!$B$587:$K$594</definedName>
    <definedName name="mc_n2o_b">'Preventative costs B'!$B$587:$K$594</definedName>
    <definedName name="MODEL_NAME">'Base data'!$A$1</definedName>
    <definedName name="NF_0">'Base data'!$K$24:$K$31</definedName>
    <definedName name="nte_ch4">'Climate A'!$D$29:$M$29</definedName>
    <definedName name="NTE_CH4_0">'Climate A'!$C$29</definedName>
    <definedName name="nte_ch4_b">'Climate B'!$D$29:$M$29</definedName>
    <definedName name="nte_glin">'Climate A'!$D$53:$M$53</definedName>
    <definedName name="NTE_GLIN_0">'Climate A'!$C$53</definedName>
    <definedName name="nte_glin_b">'Climate B'!$D$53:$M$53</definedName>
    <definedName name="nte_n2o">'Climate A'!$D$39:$M$39</definedName>
    <definedName name="NTE_N2O_0">'Climate A'!$C$39</definedName>
    <definedName name="nte_n2o_b">'Climate B'!$D$39:$M$39</definedName>
    <definedName name="occur_dis">'Impacts A'!$C$108:$L$108</definedName>
    <definedName name="occur_dis_1">'Impacts A'!$C$108</definedName>
    <definedName name="occur_dis_1_b">'Impacts B'!$C$108</definedName>
    <definedName name="occur_dis_b">'Impacts B'!$C$108:$L$108</definedName>
    <definedName name="occur_dis_not_1">'Impacts A'!$D$108:$L$108</definedName>
    <definedName name="occur_dis_not_1_b">'Impacts B'!$D$108:$L$108</definedName>
    <definedName name="OCCUR_SCC">'Base data'!$C$4:$L$4</definedName>
    <definedName name="OCEAN_PROP">'Climate A'!$D$4</definedName>
    <definedName name="over_ch4">'Climate A'!$D$48:$M$48</definedName>
    <definedName name="over_ch4_b">'Climate B'!$D$48:$M$48</definedName>
    <definedName name="over_n2o">'Climate A'!$D$49:$M$49</definedName>
    <definedName name="over_n2o_b">'Climate B'!$D$49:$M$49</definedName>
    <definedName name="Pal_Workbook_GUID" hidden="1">"IFFU95UGL1TENSCVCVM3E7H4"</definedName>
    <definedName name="PalisadeReportWorkbookCreatedBy">"AtRisk"</definedName>
    <definedName name="PalisadeReportWorksheetCreatedBy" localSheetId="1">"AtRisk"</definedName>
    <definedName name="pcdat">'Preventative costs A'!$B$706:$K$713</definedName>
    <definedName name="pcdat_b">'Preventative costs B'!$B$706:$K$713</definedName>
    <definedName name="pcdat_g">'Preventative costs A'!$B$714:$K$714</definedName>
    <definedName name="pcdat_g_ab">'Preventative costs A-B'!$B$714:$K$714</definedName>
    <definedName name="pcdat_g_b">'Preventative costs B'!$B$714:$K$714</definedName>
    <definedName name="pcdat_gt">'Preventative costs A'!$L$714</definedName>
    <definedName name="pcdat_gt_b">'Preventative costs B'!$L$714</definedName>
    <definedName name="pcdt">'Preventative costs A'!$B$696:$K$703</definedName>
    <definedName name="pcdt_b">'Preventative costs B'!$B$696:$K$703</definedName>
    <definedName name="pcdt_g">'Preventative costs A'!$B$704:$K$704</definedName>
    <definedName name="pcdt_g_ab">'Preventative costs A-B'!$B$704:$K$704</definedName>
    <definedName name="pcdt_g_b">'Preventative costs B'!$B$704:$K$704</definedName>
    <definedName name="pct">'Preventative costs A'!$B$677:$K$684</definedName>
    <definedName name="pct_b">'Preventative costs B'!$B$677:$K$684</definedName>
    <definedName name="pct_g">'Preventative costs A'!$B$685:$K$685</definedName>
    <definedName name="pct_g_ab">'Preventative costs A-B'!$B$685:$K$685</definedName>
    <definedName name="pct_g_b">'Preventative costs B'!$B$685:$K$685</definedName>
    <definedName name="pct_per_cap">'Preventative costs A'!$B$668:$K$675</definedName>
    <definedName name="pct_per_cap_b">'Preventative costs B'!$B$668:$K$675</definedName>
    <definedName name="PDIS">'Library data'!$C$22</definedName>
    <definedName name="PIC">'Base data'!$B$12:$E$12</definedName>
    <definedName name="PIC_CH4">'Base data'!$C$12</definedName>
    <definedName name="PIC_CO2">'Base data'!$B$12</definedName>
    <definedName name="PIC_GLIN">'Base data'!$E$12</definedName>
    <definedName name="PIC_N2O">'Base data'!$D$12</definedName>
    <definedName name="plateau_1_a">'Policy A'!$B$64:$B$71</definedName>
    <definedName name="plateau_1_b">'Policy B'!$B$64:$B$71</definedName>
    <definedName name="plateau_2_a">'Policy A'!$B$74:$B$81</definedName>
    <definedName name="plateau_2_b">'Policy B'!$B$74:$B$81</definedName>
    <definedName name="plateau_s_a">'Policy A'!$B$54:$B$61</definedName>
    <definedName name="plateau_s_b">'Policy B'!$B$54:$B$61</definedName>
    <definedName name="POLE">'Library data'!$C$10</definedName>
    <definedName name="POP">'Impacts A'!$C$121:$L$128</definedName>
    <definedName name="POP_0">'Base data'!$E$24:$E$31</definedName>
    <definedName name="POP_G">'Impacts A'!$C$129:$L$129</definedName>
    <definedName name="POP_G_0">'Impacts A'!$B$129</definedName>
    <definedName name="POP_G_1">'Impacts A'!$C$129</definedName>
    <definedName name="POP_G_NOT_1">'Impacts A'!$D$129:$L$129</definedName>
    <definedName name="POP_GRW">'Base data'!$C$47:$L$54</definedName>
    <definedName name="POP_GRW_1">'Base data'!$C$47:$C$54</definedName>
    <definedName name="POP_GRW_G">'Impacts A'!$C$130:$L$130</definedName>
    <definedName name="POP_GRW_NOT_1">'Base data'!$D$47:$L$54</definedName>
    <definedName name="POP_NOT_1">'Impacts A'!$D$121:$L$128</definedName>
    <definedName name="POP_UNIT_NAME">'Base data'!$E$32</definedName>
    <definedName name="POW_1">'Library data'!$C$34</definedName>
    <definedName name="POW_2">'Library data'!$C$38</definedName>
    <definedName name="POW_S">'Library data'!$C$30</definedName>
    <definedName name="prob_dis">'Impacts A'!$C$105:$L$105</definedName>
    <definedName name="prob_dis_b">'Impacts B'!$C$105:$L$105</definedName>
    <definedName name="pse_a">'Policy A'!$B$41:$K$48</definedName>
    <definedName name="pse_b">'Policy B'!$B$41:$K$48</definedName>
    <definedName name="pstart_1_a">'Policy A'!$C$64:$C$71</definedName>
    <definedName name="pstart_1_b">'Policy B'!$C$64:$C$71</definedName>
    <definedName name="pstart_2_a">'Policy A'!$C$74:$C$81</definedName>
    <definedName name="pstart_2_b">'Policy B'!$C$74:$C$81</definedName>
    <definedName name="pstart_s_a">'Policy A'!$C$54:$C$61</definedName>
    <definedName name="pstart_s_b">'Policy B'!$C$54:$C$61</definedName>
    <definedName name="PTP">'Base data'!$B$8</definedName>
    <definedName name="pyears_1_a">'Policy A'!$D$64:$D$71</definedName>
    <definedName name="pyears_1_b">'Policy B'!$D$64:$D$71</definedName>
    <definedName name="pyears_2_a">'Policy A'!$D$74:$D$81</definedName>
    <definedName name="pyears_2_b">'Policy B'!$D$74:$D$81</definedName>
    <definedName name="pyears_s_a">'Policy A'!$D$54:$D$61</definedName>
    <definedName name="pyears_s_b">'Policy B'!$D$54:$D$61</definedName>
    <definedName name="Q0_CH4">'Preventative costs A'!$B$290:$K$297</definedName>
    <definedName name="Q0_CO2">'Preventative costs A'!$B$281:$K$288</definedName>
    <definedName name="Q0_GLIN">'Preventative costs A'!$B$308:$K$315</definedName>
    <definedName name="Q0_N2O">'Preventative costs A'!$B$299:$K$306</definedName>
    <definedName name="Q0_PROP_CH4">'Preventative costs A'!$B$254:$K$261</definedName>
    <definedName name="Q0_PROP_CO2">'Preventative costs A'!$B$245:$K$252</definedName>
    <definedName name="Q0_PROP_GLIN">'Preventative costs A'!$B$272:$K$279</definedName>
    <definedName name="Q0_PROP_INIT_CH4">'Preventative costs A'!$C$18:$C$25</definedName>
    <definedName name="Q0_PROP_INIT_CH4_1">'Library data'!$C$78</definedName>
    <definedName name="Q0_PROP_INIT_CO2">'Preventative costs A'!$B$18:$B$25</definedName>
    <definedName name="Q0_PROP_INIT_CO2_1">'Library data'!$C$71</definedName>
    <definedName name="Q0_PROP_INIT_GLIN">'Preventative costs A'!$E$18:$E$25</definedName>
    <definedName name="Q0_PROP_INIT_GLIN_1">'Library data'!$C$92</definedName>
    <definedName name="Q0_PROP_INIT_N2O">'Preventative costs A'!$D$18:$D$25</definedName>
    <definedName name="Q0_PROP_INIT_N2O_1">'Library data'!$C$85</definedName>
    <definedName name="Q0_PROP_N2O">'Preventative costs A'!$B$263:$K$270</definedName>
    <definedName name="Q0F">'Library data'!$C$106:$C$112</definedName>
    <definedName name="Q0PROPG">'Library data'!$C$123</definedName>
    <definedName name="Q0PROPMULT">'Library data'!$C$122</definedName>
    <definedName name="QMAX_CH4">'Preventative costs A'!$B$326:$K$333</definedName>
    <definedName name="QMAX_CO2">'Preventative costs A'!$B$317:$K$324</definedName>
    <definedName name="QMAX_GLIN">'Preventative costs A'!$B$344:$K$351</definedName>
    <definedName name="QMAX_MINUS_Q0_PROP_CH4">'Preventative costs A'!$B$241:$K$241</definedName>
    <definedName name="QMAX_MINUS_Q0_PROP_CO2">'Preventative costs A'!$B$240:$K$240</definedName>
    <definedName name="QMAX_MINUS_Q0_PROP_GLIN">'Preventative costs A'!$B$243:$K$243</definedName>
    <definedName name="QMAX_MINUS_Q0_PROP_INIT_CH4">'Library data'!$C$80</definedName>
    <definedName name="QMAX_MINUS_Q0_PROP_INIT_CO2">'Library data'!$C$73</definedName>
    <definedName name="QMAX_MINUS_Q0_PROP_INIT_GLIN">'Library data'!$C$94</definedName>
    <definedName name="QMAX_MINUS_Q0_PROP_INIT_N2O">'Library data'!$C$87</definedName>
    <definedName name="QMAX_MINUS_Q0_PROP_N2O">'Preventative costs A'!$B$242:$K$242</definedName>
    <definedName name="QMAX_MINUS_Q0_PROPG">'Library data'!$C$125</definedName>
    <definedName name="QMAX_MINUS_Q0_PROPMULT">'Library data'!$C$124</definedName>
    <definedName name="QMAX_N2O">'Preventative costs A'!$B$335:$K$342</definedName>
    <definedName name="R_CODE">'Base data'!$B$24:$B$31</definedName>
    <definedName name="R_CODE_1">'Base data'!$B$24</definedName>
    <definedName name="R_CODE_NOT_1">'Base data'!$B$25:$B$31</definedName>
    <definedName name="R_NAME">'Base data'!$A$24:$A$31</definedName>
    <definedName name="R_NAME_1">'Base data'!$A$24</definedName>
    <definedName name="RAND_DIS">'Impacts A'!$B$107</definedName>
    <definedName name="rcons_1_per_cap">'Impacts A'!$C$281:$L$288</definedName>
    <definedName name="rcons_1_per_cap_b">'Impacts B'!$C$281:$L$288</definedName>
    <definedName name="rcons_2_per_cap">'Impacts A'!$C$335:$L$342</definedName>
    <definedName name="rcons_2_per_cap_b">'Impacts B'!$C$335:$L$342</definedName>
    <definedName name="rcons_s_per_cap">'Impacts A'!$C$227:$L$234</definedName>
    <definedName name="rcons_s_per_cap_b">'Impacts B'!$C$227:$L$234</definedName>
    <definedName name="rconsdis_per_cap">'Impacts A'!$C$398:$L$405</definedName>
    <definedName name="rconsdis_per_cap_b">'Impacts B'!$C$398:$L$405</definedName>
    <definedName name="re_ch4">'Climate A'!$D$35:$M$35</definedName>
    <definedName name="RE_CH4_0">'Climate A'!$E$10</definedName>
    <definedName name="re_ch4_b">'Climate B'!$D$35:$M$35</definedName>
    <definedName name="re_co2">'Climate A'!$D$25:$M$25</definedName>
    <definedName name="RE_CO2_0">'Climate A'!$D$10</definedName>
    <definedName name="re_co2_b">'Climate B'!$D$25:$M$25</definedName>
    <definedName name="RE_CO2_NO_CCF_0">'Climate A'!$C$22</definedName>
    <definedName name="re_co2_no_ccff">'Climate A'!$D$22:$M$22</definedName>
    <definedName name="re_co2_no_ccff_b">'Climate B'!$D$22:$M$22</definedName>
    <definedName name="re_glin">'Climate A'!$D$59:$M$59</definedName>
    <definedName name="RE_GLIN_0">'Climate A'!$G$10</definedName>
    <definedName name="re_glin_b">'Climate B'!$D$59:$M$59</definedName>
    <definedName name="re_n2o">'Climate A'!$D$45:$M$45</definedName>
    <definedName name="RE_N2O_0">'Climate A'!$F$10</definedName>
    <definedName name="re_n2o_b">'Climate B'!$D$45:$M$45</definedName>
    <definedName name="ref_ch4">'Climate A'!$D$33:$M$33</definedName>
    <definedName name="ref_ch4_b">'Climate B'!$D$33:$M$33</definedName>
    <definedName name="ref_co2">'Climate A'!$D$20:$M$20</definedName>
    <definedName name="ref_co2_b">'Climate B'!$D$20:$M$20</definedName>
    <definedName name="ref_glin">'Climate A'!$D$57:$M$57</definedName>
    <definedName name="ref_glin_b">'Climate B'!$D$57:$M$57</definedName>
    <definedName name="ref_n2o">'Climate A'!$D$43:$M$43</definedName>
    <definedName name="ref_n2o_b">'Climate B'!$D$43:$M$43</definedName>
    <definedName name="RES_CH4">'Base data'!$C$18</definedName>
    <definedName name="RES_CO2">'Library data'!$C$5</definedName>
    <definedName name="RES_GLIN">'Base data'!$E$18</definedName>
    <definedName name="RES_N2O">'Base data'!$D$18</definedName>
    <definedName name="rgdp_1_per_cap">'Impacts A'!$C$290:$L$297</definedName>
    <definedName name="rgdp_1_per_cap_b">'Impacts B'!$C$290:$L$297</definedName>
    <definedName name="rgdp_2_per_cap">'Impacts A'!$C$344:$L$351</definedName>
    <definedName name="rgdp_2_per_cap_b">'Impacts B'!$C$344:$L$351</definedName>
    <definedName name="rgdp_s_per_cap">'Impacts A'!$C$236:$L$243</definedName>
    <definedName name="rgdp_s_per_cap_b">'Impacts B'!$C$236:$L$243</definedName>
    <definedName name="rgdpdis_per_cap">'Impacts A'!$C$407:$L$414</definedName>
    <definedName name="rgdpdis_per_cap_b">'Impacts B'!$C$407:$L$414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8675309</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"$N$4"</definedName>
    <definedName name="RiskStandardRecalc" hidden="1">1</definedName>
    <definedName name="RiskSwapReportSheet" hidden="1">'@RISK Summary'!$A$1</definedName>
    <definedName name="RiskSwapState" hidden="1">TRUE</definedName>
    <definedName name="RiskUpdateDisplay" hidden="1">FALSE</definedName>
    <definedName name="RiskUseDifferentSeedForEachSim" hidden="1">FALSE</definedName>
    <definedName name="RiskUseFixedSeed" hidden="1">TRUE</definedName>
    <definedName name="RiskUseMultipleCPUs" hidden="1">TRUE</definedName>
    <definedName name="RLO">'Library data'!$C$9</definedName>
    <definedName name="rt">'Climate A'!$D$118:$M$125</definedName>
    <definedName name="RT_ADJ">'Climate A'!$D$110:$M$117</definedName>
    <definedName name="RT_ADJ_1">'Climate A'!$D$110:$D$117</definedName>
    <definedName name="rt_b">'Climate B'!$D$118:$M$125</definedName>
    <definedName name="rt_g">'Climate A'!$D$136:$M$136</definedName>
    <definedName name="RT_G_0">'Climate A'!$C$136</definedName>
    <definedName name="rt_g_b">'Climate B'!$D$136:$M$136</definedName>
    <definedName name="rtl">'Climate A'!$D$126:$M$133</definedName>
    <definedName name="RTL_0">'Base data'!$L$24:$L$31</definedName>
    <definedName name="rtl_b">'Climate B'!$D$126:$M$133</definedName>
    <definedName name="rtl_g">'Climate A'!$D$134:$M$134</definedName>
    <definedName name="RTL_G_0">'Climate A'!$D$6</definedName>
    <definedName name="rtl_g_b">'Climate B'!$D$134:$M$134</definedName>
    <definedName name="rto_g">'Climate A'!$D$135:$M$135</definedName>
    <definedName name="RTO_G_0">'Climate A'!$C$135</definedName>
    <definedName name="rto_g_b">'Climate B'!$D$135:$M$135</definedName>
    <definedName name="s">'Climate A'!$D$139:$M$139</definedName>
    <definedName name="S_0">'Library data'!$C$13</definedName>
    <definedName name="s_b">'Climate B'!$D$139:$M$139</definedName>
    <definedName name="SAVE">'Library data'!$C$25</definedName>
    <definedName name="SCAL">'Library data'!$C$26</definedName>
    <definedName name="SCCO2">'Impacts A-B'!#REF!</definedName>
    <definedName name="SE_0">'Base data'!$J$24:$J$31</definedName>
    <definedName name="SENS">'Library data'!$C$18</definedName>
    <definedName name="sfx">'Climate A'!$D$64:$M$71</definedName>
    <definedName name="SFX_0">'Climate A'!$C$64:$C$71</definedName>
    <definedName name="sfx_b">'Climate B'!$D$64:$M$71</definedName>
    <definedName name="sfx_g">'Climate A'!$D$72:$M$72</definedName>
    <definedName name="SFX_G_0">'Climate A'!$C$72</definedName>
    <definedName name="sfx_g_b">'Climate B'!$D$72:$M$72</definedName>
    <definedName name="Shock">'Policy B'!$B$49:$K$49</definedName>
    <definedName name="SLA">'Library data'!$C$15</definedName>
    <definedName name="SLTAU">'Library data'!$C$16</definedName>
    <definedName name="SLTEMP">'Library data'!$C$14</definedName>
    <definedName name="STAY_CO2">'Base data'!$B$16</definedName>
    <definedName name="STIM_CH4">'Base data'!$C$15</definedName>
    <definedName name="STIM_GLIN">'Base data'!$E$15</definedName>
    <definedName name="STIM_N2O">'Base data'!$D$15</definedName>
    <definedName name="tac">'Adaptive costs A'!$L$179</definedName>
    <definedName name="tac_ab">'Adaptive costs A-B'!$L$179</definedName>
    <definedName name="tac_b">'Adaptive costs B'!$L$179</definedName>
    <definedName name="tc_ch4">'Preventative costs A'!$B$614:$K$621</definedName>
    <definedName name="tc_ch4_b">'Preventative costs B'!$B$614:$K$621</definedName>
    <definedName name="tc_co2">'Preventative costs A'!$B$605:$K$612</definedName>
    <definedName name="tc_co2_b">'Preventative costs B'!$B$605:$K$612</definedName>
    <definedName name="tc_glin">'Preventative costs A'!$B$632:$K$639</definedName>
    <definedName name="tc_glin_b">'Preventative costs B'!$B$632:$K$639</definedName>
    <definedName name="tc_n2o">'Preventative costs A'!$B$623:$K$630</definedName>
    <definedName name="tc_n2o_b">'Preventative costs B'!$B$623:$K$630</definedName>
    <definedName name="TCAL">'Library data'!$C$27</definedName>
    <definedName name="TCQ0_CH4">'Preventative costs A'!$B$542:$K$549</definedName>
    <definedName name="TCQ0_CO2">'Preventative costs A'!$B$533:$K$540</definedName>
    <definedName name="TCQ0_GLIN">'Preventative costs A'!$B$560:$K$567</definedName>
    <definedName name="TCQ0_N2O">'Preventative costs A'!$B$551:$K$558</definedName>
    <definedName name="TCR">'Library data'!$C$6</definedName>
    <definedName name="tct">'Preventative costs A'!$B$641:$K$648</definedName>
    <definedName name="tct_b">'Preventative costs B'!$B$641:$K$648</definedName>
    <definedName name="tct_per_cap">'Preventative costs A'!$B$650:$K$657</definedName>
    <definedName name="tct_per_cap_b">'Preventative costs B'!$B$650:$K$657</definedName>
    <definedName name="td">'Impacts A'!$M$445</definedName>
    <definedName name="td_ab">'Impacts A-B'!$M$445</definedName>
    <definedName name="td_b">'Impacts B'!$M$445</definedName>
    <definedName name="TDIS">'Library data'!$C$21</definedName>
    <definedName name="tdu">'Impacts A'!$M$449</definedName>
    <definedName name="tdu_b">'Impacts B'!$M$449</definedName>
    <definedName name="te_a">Totals!$L$12</definedName>
    <definedName name="te_ab">Totals!$L$34</definedName>
    <definedName name="te_b">Totals!$L$23</definedName>
    <definedName name="tea_ch4">'Climate A'!$D$30:$M$30</definedName>
    <definedName name="TEA_CH4_0">'Climate A'!$C$30</definedName>
    <definedName name="tea_ch4_b">'Climate B'!$D$30:$M$30</definedName>
    <definedName name="tea_ch4_not_1">'Climate A'!$E$30:$M$30</definedName>
    <definedName name="tea_ch4_not_1_b">'Climate B'!$E$30:$M$30</definedName>
    <definedName name="tea_co2">'Climate A'!$D$14:$M$14</definedName>
    <definedName name="TEA_CO2_0">'Climate A'!$C$14</definedName>
    <definedName name="tea_co2_b">'Climate B'!$D$14:$M$14</definedName>
    <definedName name="tea_co2_not_1">'Climate A'!$E$14:$M$14</definedName>
    <definedName name="tea_co2_not_1_b">'Climate B'!$E$14:$M$14</definedName>
    <definedName name="tea_glin">'Climate A'!$D$54:$M$54</definedName>
    <definedName name="TEA_GLIN_0">'Climate A'!$C$54</definedName>
    <definedName name="tea_glin_b">'Climate B'!$D$54:$M$54</definedName>
    <definedName name="tea_glin_not_1">'Climate A'!$E$54:$M$54</definedName>
    <definedName name="tea_glin_not_1_b">'Climate B'!$E$54:$M$54</definedName>
    <definedName name="tea_n2o">'Climate A'!$D$40:$M$40</definedName>
    <definedName name="TEA_N2O_0">'Climate A'!$C$40</definedName>
    <definedName name="tea_n2o_b">'Climate B'!$D$40:$M$40</definedName>
    <definedName name="tea_n2o_not_1">'Climate A'!$E$40:$M$40</definedName>
    <definedName name="tea_n2o_not_1_b">'Climate B'!$E$40:$M$40</definedName>
    <definedName name="teay_ch4">'Climate A'!$D$31:$M$31</definedName>
    <definedName name="teay_ch4_b">'Climate B'!$D$31:$M$31</definedName>
    <definedName name="teay_co2">'Climate A'!$D$15:$M$15</definedName>
    <definedName name="teay_co2_b">'Climate B'!$D$15:$M$15</definedName>
    <definedName name="teay_co2_not_1">'Climate A'!$E$15:$M$15</definedName>
    <definedName name="teay_co2_not_1_b">'Climate B'!$E$15:$M$15</definedName>
    <definedName name="teay_glin">'Climate A'!$D$55:$M$55</definedName>
    <definedName name="teay_glin_b">'Climate B'!$D$55:$M$55</definedName>
    <definedName name="teay_n2o">'Climate A'!$D$41:$M$41</definedName>
    <definedName name="teay_n2o_b">'Climate B'!$D$41:$M$41</definedName>
    <definedName name="thipf_ch4_b">'Climate B'!$D$34:$M$34</definedName>
    <definedName name="thispf_ch4">'Climate A'!$D$34:$M$34</definedName>
    <definedName name="thispf_co2">'Climate A'!$D$21:$M$21</definedName>
    <definedName name="thispf_co2_b">'Climate B'!$D$21:$M$21</definedName>
    <definedName name="thispf_glin">'Climate A'!$D$58:$M$58</definedName>
    <definedName name="thispf_glin_b">'Climate B'!$D$58:$M$58</definedName>
    <definedName name="thispf_n2o">'Climate A'!$D$44:$M$44</definedName>
    <definedName name="thispf_n2o_b">'Climate B'!$D$44:$M$44</definedName>
    <definedName name="tpc">'Preventative costs A'!$L$715</definedName>
    <definedName name="tpc_ab">'Preventative costs A-B'!$L$715</definedName>
    <definedName name="tpc_b">'Preventative costs B'!$L$715</definedName>
    <definedName name="UDF">'Impacts A'!$C$447:$L$447</definedName>
    <definedName name="UDFT">'Impacts A'!$M$447:$M$447</definedName>
    <definedName name="VERSION">'Base data'!$C$1</definedName>
    <definedName name="W_1">'Library data'!$C$33</definedName>
    <definedName name="W_2">'Library data'!$C$37</definedName>
    <definedName name="W_S">'Library data'!$C$29</definedName>
    <definedName name="wacdt">'Adaptive costs A'!$B$160:$K$167</definedName>
    <definedName name="wacdt_b">'Adaptive costs B'!$B$160:$K$167</definedName>
    <definedName name="wacdt_g">'Adaptive costs A'!$B$168:$K$168</definedName>
    <definedName name="wacdt_g_ab">'Adaptive costs A-B'!$B$168:$K$168</definedName>
    <definedName name="wacdt_g_b">'Adaptive costs B'!$B$168:$K$168</definedName>
    <definedName name="wact">'Adaptive costs A'!$B$150:$K$157</definedName>
    <definedName name="wact_b">'Adaptive costs B'!$B$150:$K$157</definedName>
    <definedName name="wact_g">'Adaptive costs A'!$B$158:$K$158</definedName>
    <definedName name="wact_g_ab">'Adaptive costs A-B'!$B$158:$K$158</definedName>
    <definedName name="wact_g_b">'Adaptive costs B'!$B$158:$K$158</definedName>
    <definedName name="wact_per_cap">'Adaptive costs A'!$B$141:$K$148</definedName>
    <definedName name="wact_per_cap_b">'Adaptive costs B'!$B$141:$K$148</definedName>
    <definedName name="WDIS">'Library data'!$C$40</definedName>
    <definedName name="WF">'Library data'!$C$45:$C$51</definedName>
    <definedName name="widt">'Impacts A'!$C$426:$L$433</definedName>
    <definedName name="widt_b">'Impacts B'!$C$426:$L$433</definedName>
    <definedName name="widt_g">'Impacts A'!$C$434:$L$434</definedName>
    <definedName name="widt_g_ab">'Impacts A-B'!$C$434:$L$434</definedName>
    <definedName name="widt_g_b">'Impacts B'!$C$434:$L$434</definedName>
    <definedName name="WINCF">'Impacts A'!$C$5:$C$12</definedName>
    <definedName name="wit">'Impacts A'!$C$416:$L$423</definedName>
    <definedName name="wit_b">'Impacts B'!$C$416:$L$423</definedName>
    <definedName name="wit_g">'Impacts A'!$C$424:$L$424</definedName>
    <definedName name="wit_g_ab">'Impacts A-B'!$C$424:$L$424</definedName>
    <definedName name="wit_g_b">'Impacts B'!$C$424:$L$424</definedName>
    <definedName name="wtct_per_cap">'Preventative costs A'!$B$659:$K$666</definedName>
    <definedName name="wtct_per_cap_b">'Preventative costs B'!$B$659:$K$666</definedName>
    <definedName name="Y">'Base data'!$C$3:$L$3</definedName>
    <definedName name="Y_0">'Base data'!$B$2</definedName>
    <definedName name="Y_1">'Base data'!$C$3</definedName>
    <definedName name="Y_HI">'Impacts A'!$C$17:$L$17</definedName>
    <definedName name="Y_LAST">'Base data'!$L$3</definedName>
    <definedName name="Y_LO">'Impacts A'!$C$18:$L$18</definedName>
    <definedName name="Y_NOT_1">'Base data'!$D$3:$L$3</definedName>
    <definedName name="Y_SCC">'Base data'!$B$4</definedName>
    <definedName name="YAGG">'Impacts A'!$C$19:$L$19</definedName>
    <definedName name="YMINUSY0">'Preventative costs A'!$B$46:$K$46</definedName>
    <definedName name="YMINUSY0_LAST">'Preventative costs A'!$K$46</definedName>
    <definedName name="YP">'Climate A'!$D$13:$M$13</definedName>
    <definedName name="YP_1">'Climate A'!$D$13</definedName>
    <definedName name="YP_NOT_1">'Climate A'!$E$13:$M$13</definedName>
    <definedName name="ZC_CH4">'Preventative costs A'!$B$58:$K$65</definedName>
    <definedName name="ZC_CH4_1">'Preventative costs A'!$B$58:$B$65</definedName>
    <definedName name="ZC_CH4_NOT_1">'Preventative costs A'!$C$58:$K$65</definedName>
    <definedName name="ZC_CO2">'Preventative costs A'!$B$49:$K$56</definedName>
    <definedName name="ZC_CO2_1">'Preventative costs A'!$B$49:$B$56</definedName>
    <definedName name="ZC_CO2_NOT_1">'Preventative costs A'!$C$49:$K$56</definedName>
    <definedName name="ZC_GLIN">'Preventative costs A'!$B$76:$K$83</definedName>
    <definedName name="ZC_GLIN_1">'Preventative costs A'!$B$76:$B$83</definedName>
    <definedName name="ZC_GLIN_NOT_1">'Preventative costs A'!$C$76:$K$83</definedName>
    <definedName name="ZC_N2O">'Preventative costs A'!$B$67:$K$74</definedName>
    <definedName name="ZC_N2O_1">'Preventative costs A'!$B$67:$B$74</definedName>
    <definedName name="ZC_N2O_NOT_1">'Preventative costs A'!$C$67:$K$74</definedName>
  </definedNames>
  <calcPr calcId="181029" concurrentCalc="0"/>
</workbook>
</file>

<file path=xl/calcChain.xml><?xml version="1.0" encoding="utf-8"?>
<calcChain xmlns="http://schemas.openxmlformats.org/spreadsheetml/2006/main">
  <c r="C25" i="2" l="1"/>
  <c r="B143" i="6" a="1"/>
  <c r="B143" i="6"/>
  <c r="B16" i="1"/>
  <c r="C2" i="77"/>
  <c r="D2" i="77"/>
  <c r="C4" i="2"/>
  <c r="E2" i="77"/>
  <c r="F2" i="77"/>
  <c r="C5" i="2"/>
  <c r="G2" i="77"/>
  <c r="H2" i="77"/>
  <c r="C6" i="2"/>
  <c r="I2" i="77"/>
  <c r="J2" i="77"/>
  <c r="C7" i="2"/>
  <c r="K2" i="77"/>
  <c r="L2" i="77"/>
  <c r="C8" i="2"/>
  <c r="M2" i="77"/>
  <c r="N2" i="77"/>
  <c r="C9" i="2"/>
  <c r="O2" i="77"/>
  <c r="P2" i="77"/>
  <c r="C10" i="2"/>
  <c r="Q2" i="77"/>
  <c r="R2" i="77"/>
  <c r="C11" i="2"/>
  <c r="S2" i="77"/>
  <c r="T2" i="77"/>
  <c r="C12" i="2"/>
  <c r="U2" i="77"/>
  <c r="V2" i="77"/>
  <c r="C13" i="2"/>
  <c r="W2" i="77"/>
  <c r="X2" i="77"/>
  <c r="C14" i="2"/>
  <c r="Y2" i="77"/>
  <c r="Z2" i="77"/>
  <c r="C15" i="2"/>
  <c r="AA2" i="77"/>
  <c r="AB2" i="77"/>
  <c r="C16" i="2"/>
  <c r="AC2" i="77"/>
  <c r="AD2" i="77"/>
  <c r="C17" i="2"/>
  <c r="AE2" i="77"/>
  <c r="AF2" i="77"/>
  <c r="C18" i="2"/>
  <c r="AG2" i="77"/>
  <c r="AH2" i="77"/>
  <c r="C21" i="2"/>
  <c r="AI2" i="77"/>
  <c r="AJ2" i="77"/>
  <c r="C22" i="2"/>
  <c r="AK2" i="77"/>
  <c r="AL2" i="77"/>
  <c r="AM2" i="77"/>
  <c r="AN2" i="77"/>
  <c r="C26" i="2"/>
  <c r="AO2" i="77"/>
  <c r="AP2" i="77"/>
  <c r="C27" i="2"/>
  <c r="AQ2" i="77"/>
  <c r="AR2" i="77"/>
  <c r="C28" i="2"/>
  <c r="AS2" i="77"/>
  <c r="AT2" i="77"/>
  <c r="C29" i="2"/>
  <c r="AU2" i="77"/>
  <c r="AV2" i="77"/>
  <c r="C30" i="2"/>
  <c r="AW2" i="77"/>
  <c r="AX2" i="77"/>
  <c r="C31" i="2"/>
  <c r="AY2" i="77"/>
  <c r="AZ2" i="77"/>
  <c r="C32" i="2"/>
  <c r="BA2" i="77"/>
  <c r="BB2" i="77"/>
  <c r="C33" i="2"/>
  <c r="BC2" i="77"/>
  <c r="BD2" i="77"/>
  <c r="C34" i="2"/>
  <c r="BE2" i="77"/>
  <c r="BF2" i="77"/>
  <c r="C35" i="2"/>
  <c r="BG2" i="77"/>
  <c r="BH2" i="77"/>
  <c r="C36" i="2"/>
  <c r="BI2" i="77"/>
  <c r="BJ2" i="77"/>
  <c r="C37" i="2"/>
  <c r="BK2" i="77"/>
  <c r="BL2" i="77"/>
  <c r="C38" i="2"/>
  <c r="BM2" i="77"/>
  <c r="BN2" i="77"/>
  <c r="C39" i="2"/>
  <c r="BO2" i="77"/>
  <c r="BP2" i="77"/>
  <c r="C40" i="2"/>
  <c r="BQ2" i="77"/>
  <c r="BR2" i="77"/>
  <c r="C41" i="2"/>
  <c r="BS2" i="77"/>
  <c r="BT2" i="77"/>
  <c r="C42" i="2"/>
  <c r="BU2" i="77"/>
  <c r="BV2" i="77"/>
  <c r="C43" i="2"/>
  <c r="BW2" i="77"/>
  <c r="BX2" i="77"/>
  <c r="C44" i="2"/>
  <c r="BY2" i="77"/>
  <c r="BZ2" i="77"/>
  <c r="C45" i="2"/>
  <c r="CA2" i="77"/>
  <c r="CB2" i="77"/>
  <c r="C46" i="2"/>
  <c r="CC2" i="77"/>
  <c r="CD2" i="77"/>
  <c r="C47" i="2"/>
  <c r="CE2" i="77"/>
  <c r="CF2" i="77"/>
  <c r="C48" i="2"/>
  <c r="CG2" i="77"/>
  <c r="CH2" i="77"/>
  <c r="C49" i="2"/>
  <c r="CI2" i="77"/>
  <c r="CJ2" i="77"/>
  <c r="C50" i="2"/>
  <c r="CK2" i="77"/>
  <c r="CL2" i="77"/>
  <c r="C51" i="2"/>
  <c r="CM2" i="77"/>
  <c r="CN2" i="77"/>
  <c r="C54" i="2"/>
  <c r="CO2" i="77"/>
  <c r="CP2" i="77"/>
  <c r="C55" i="2"/>
  <c r="CQ2" i="77"/>
  <c r="CR2" i="77"/>
  <c r="C56" i="2"/>
  <c r="CS2" i="77"/>
  <c r="CT2" i="77"/>
  <c r="C57" i="2"/>
  <c r="CU2" i="77"/>
  <c r="CV2" i="77"/>
  <c r="C58" i="2"/>
  <c r="CW2" i="77"/>
  <c r="CX2" i="77"/>
  <c r="C59" i="2"/>
  <c r="CY2" i="77"/>
  <c r="CZ2" i="77"/>
  <c r="C60" i="2"/>
  <c r="DA2" i="77"/>
  <c r="DB2" i="77"/>
  <c r="C61" i="2"/>
  <c r="DC2" i="77"/>
  <c r="DD2" i="77"/>
  <c r="C62" i="2"/>
  <c r="DE2" i="77"/>
  <c r="DF2" i="77"/>
  <c r="C63" i="2"/>
  <c r="DG2" i="77"/>
  <c r="DH2" i="77"/>
  <c r="C64" i="2"/>
  <c r="DI2" i="77"/>
  <c r="DJ2" i="77"/>
  <c r="C65" i="2"/>
  <c r="DK2" i="77"/>
  <c r="DL2" i="77"/>
  <c r="C66" i="2"/>
  <c r="DM2" i="77"/>
  <c r="DN2" i="77"/>
  <c r="C70" i="2"/>
  <c r="DO2" i="77"/>
  <c r="DP2" i="77"/>
  <c r="C71" i="2"/>
  <c r="DQ2" i="77"/>
  <c r="DR2" i="77"/>
  <c r="C72" i="2"/>
  <c r="DS2" i="77"/>
  <c r="DT2" i="77"/>
  <c r="C73" i="2"/>
  <c r="DU2" i="77"/>
  <c r="DV2" i="77"/>
  <c r="C74" i="2"/>
  <c r="DW2" i="77"/>
  <c r="DX2" i="77"/>
  <c r="C75" i="2"/>
  <c r="DY2" i="77"/>
  <c r="DZ2" i="77"/>
  <c r="C77" i="2"/>
  <c r="EA2" i="77"/>
  <c r="EB2" i="77"/>
  <c r="C78" i="2"/>
  <c r="EC2" i="77"/>
  <c r="ED2" i="77"/>
  <c r="C79" i="2"/>
  <c r="EE2" i="77"/>
  <c r="EF2" i="77"/>
  <c r="C80" i="2"/>
  <c r="EG2" i="77"/>
  <c r="EH2" i="77"/>
  <c r="C81" i="2"/>
  <c r="EI2" i="77"/>
  <c r="EJ2" i="77"/>
  <c r="C82" i="2"/>
  <c r="EK2" i="77"/>
  <c r="EL2" i="77"/>
  <c r="C84" i="2"/>
  <c r="EM2" i="77"/>
  <c r="EN2" i="77"/>
  <c r="C85" i="2"/>
  <c r="EO2" i="77"/>
  <c r="EP2" i="77"/>
  <c r="C86" i="2"/>
  <c r="EQ2" i="77"/>
  <c r="ER2" i="77"/>
  <c r="C87" i="2"/>
  <c r="ES2" i="77"/>
  <c r="ET2" i="77"/>
  <c r="C88" i="2"/>
  <c r="EU2" i="77"/>
  <c r="EV2" i="77"/>
  <c r="C89" i="2"/>
  <c r="EW2" i="77"/>
  <c r="EX2" i="77"/>
  <c r="C91" i="2"/>
  <c r="EY2" i="77"/>
  <c r="EZ2" i="77"/>
  <c r="C92" i="2"/>
  <c r="FA2" i="77"/>
  <c r="FB2" i="77"/>
  <c r="C93" i="2"/>
  <c r="FC2" i="77"/>
  <c r="FD2" i="77"/>
  <c r="C94" i="2"/>
  <c r="FE2" i="77"/>
  <c r="FF2" i="77"/>
  <c r="C95" i="2"/>
  <c r="FG2" i="77"/>
  <c r="FH2" i="77"/>
  <c r="C96" i="2"/>
  <c r="FI2" i="77"/>
  <c r="FJ2" i="77"/>
  <c r="C98" i="2"/>
  <c r="FK2" i="77"/>
  <c r="FL2" i="77"/>
  <c r="C99" i="2"/>
  <c r="FM2" i="77"/>
  <c r="FN2" i="77"/>
  <c r="C100" i="2"/>
  <c r="FO2" i="77"/>
  <c r="FP2" i="77"/>
  <c r="C101" i="2"/>
  <c r="FQ2" i="77"/>
  <c r="FR2" i="77"/>
  <c r="C102" i="2"/>
  <c r="FS2" i="77"/>
  <c r="FT2" i="77"/>
  <c r="C103" i="2"/>
  <c r="FU2" i="77"/>
  <c r="FV2" i="77"/>
  <c r="C104" i="2"/>
  <c r="FW2" i="77"/>
  <c r="FX2" i="77"/>
  <c r="C106" i="2"/>
  <c r="FY2" i="77"/>
  <c r="FZ2" i="77"/>
  <c r="C107" i="2"/>
  <c r="GA2" i="77"/>
  <c r="GB2" i="77"/>
  <c r="C108" i="2"/>
  <c r="GC2" i="77"/>
  <c r="GD2" i="77"/>
  <c r="C109" i="2"/>
  <c r="GE2" i="77"/>
  <c r="GF2" i="77"/>
  <c r="C110" i="2"/>
  <c r="GG2" i="77"/>
  <c r="GH2" i="77"/>
  <c r="C111" i="2"/>
  <c r="GI2" i="77"/>
  <c r="GJ2" i="77"/>
  <c r="C112" i="2"/>
  <c r="GK2" i="77"/>
  <c r="GL2" i="77"/>
  <c r="C114" i="2"/>
  <c r="GM2" i="77"/>
  <c r="GN2" i="77"/>
  <c r="C115" i="2"/>
  <c r="GO2" i="77"/>
  <c r="GP2" i="77"/>
  <c r="C116" i="2"/>
  <c r="GQ2" i="77"/>
  <c r="GR2" i="77"/>
  <c r="C117" i="2"/>
  <c r="GS2" i="77"/>
  <c r="GT2" i="77"/>
  <c r="C118" i="2"/>
  <c r="GU2" i="77"/>
  <c r="GV2" i="77"/>
  <c r="C119" i="2"/>
  <c r="GW2" i="77"/>
  <c r="GX2" i="77"/>
  <c r="C120" i="2"/>
  <c r="GY2" i="77"/>
  <c r="GZ2" i="77"/>
  <c r="C122" i="2"/>
  <c r="HA2" i="77"/>
  <c r="HB2" i="77"/>
  <c r="C124" i="2"/>
  <c r="HC2" i="77"/>
  <c r="HD2" i="77"/>
  <c r="C126" i="2"/>
  <c r="HE2" i="77"/>
  <c r="HF2" i="77"/>
  <c r="C128" i="2"/>
  <c r="HG2" i="77"/>
  <c r="HH2" i="77"/>
  <c r="C129" i="2"/>
  <c r="HI2" i="77"/>
  <c r="HJ2" i="77"/>
  <c r="C130" i="2"/>
  <c r="HK2" i="77"/>
  <c r="HL2" i="77"/>
  <c r="C131" i="2"/>
  <c r="HM2" i="77"/>
  <c r="HN2" i="77"/>
  <c r="C133" i="2"/>
  <c r="HO2" i="77"/>
  <c r="HP2" i="77"/>
  <c r="C135" i="2"/>
  <c r="HQ2" i="77"/>
  <c r="HR2" i="77"/>
  <c r="C16" i="4"/>
  <c r="D17" i="4"/>
  <c r="D19" i="4"/>
  <c r="C135" i="4"/>
  <c r="C136" i="4"/>
  <c r="C22" i="4"/>
  <c r="D20" i="4"/>
  <c r="C14" i="4"/>
  <c r="D14" i="4" a="1"/>
  <c r="D14" i="4"/>
  <c r="D15" i="4"/>
  <c r="D16" i="4"/>
  <c r="E17" i="4"/>
  <c r="E19" i="4"/>
  <c r="D19" i="29"/>
  <c r="D20" i="29"/>
  <c r="D14" i="29" a="1"/>
  <c r="D14" i="29"/>
  <c r="D15" i="29"/>
  <c r="D18" i="4"/>
  <c r="D21" i="29"/>
  <c r="D22" i="29"/>
  <c r="D23" i="29"/>
  <c r="D24" i="29"/>
  <c r="D25" i="29"/>
  <c r="D26" i="29"/>
  <c r="O26" i="29"/>
  <c r="MI2" i="77"/>
  <c r="MJ2" i="77"/>
  <c r="D16" i="29"/>
  <c r="E19" i="29"/>
  <c r="E20" i="29"/>
  <c r="D27" i="29"/>
  <c r="O27" i="29"/>
  <c r="NC2" i="77"/>
  <c r="ND2" i="77"/>
  <c r="D62" i="29"/>
  <c r="O62" i="29"/>
  <c r="NW2" i="77"/>
  <c r="NX2" i="77"/>
  <c r="B107" i="6"/>
  <c r="XC2" i="77"/>
  <c r="XD2" i="77"/>
  <c r="B7" i="76"/>
  <c r="B8" i="76"/>
  <c r="B9" i="76"/>
  <c r="B10" i="76"/>
  <c r="B11" i="76"/>
  <c r="B12" i="76"/>
  <c r="B13" i="76"/>
  <c r="B14" i="76"/>
  <c r="B15" i="76"/>
  <c r="B16" i="76"/>
  <c r="B18" i="76"/>
  <c r="B19" i="76"/>
  <c r="B20" i="76"/>
  <c r="B21" i="76"/>
  <c r="B22" i="76"/>
  <c r="B23" i="76"/>
  <c r="B24" i="76"/>
  <c r="B25" i="76"/>
  <c r="B26" i="76"/>
  <c r="B27" i="76"/>
  <c r="B28" i="76"/>
  <c r="B29" i="76"/>
  <c r="B31" i="76"/>
  <c r="B32" i="76"/>
  <c r="B33" i="76"/>
  <c r="B34" i="76"/>
  <c r="B35" i="76"/>
  <c r="B36" i="76"/>
  <c r="B37" i="76"/>
  <c r="B38" i="76"/>
  <c r="B39" i="76"/>
  <c r="B40" i="76"/>
  <c r="B42" i="76"/>
  <c r="B43" i="76"/>
  <c r="B44" i="76"/>
  <c r="B45" i="76"/>
  <c r="B46" i="76"/>
  <c r="B47" i="76"/>
  <c r="B48" i="76"/>
  <c r="B49" i="76"/>
  <c r="B50" i="76"/>
  <c r="B51" i="76"/>
  <c r="B53" i="76"/>
  <c r="B54" i="76"/>
  <c r="B55" i="76"/>
  <c r="B56" i="76"/>
  <c r="B57" i="76"/>
  <c r="B58" i="76"/>
  <c r="B59" i="76"/>
  <c r="B60" i="76"/>
  <c r="B61" i="76"/>
  <c r="B62" i="76"/>
  <c r="B64" i="76"/>
  <c r="B65" i="76"/>
  <c r="B66" i="76"/>
  <c r="B67" i="76"/>
  <c r="B68" i="76"/>
  <c r="B69" i="76"/>
  <c r="B70" i="76"/>
  <c r="B71" i="76"/>
  <c r="B72" i="76"/>
  <c r="B73" i="76"/>
  <c r="B75" i="76"/>
  <c r="B76" i="76"/>
  <c r="B77" i="76"/>
  <c r="B78" i="76"/>
  <c r="B79" i="76"/>
  <c r="B80" i="76"/>
  <c r="B81" i="76"/>
  <c r="B82" i="76"/>
  <c r="B83" i="76"/>
  <c r="B84" i="76"/>
  <c r="B86" i="76"/>
  <c r="B87" i="76"/>
  <c r="B88" i="76"/>
  <c r="B89" i="76"/>
  <c r="B90" i="76"/>
  <c r="B91" i="76"/>
  <c r="B92" i="76"/>
  <c r="B93" i="76"/>
  <c r="B94" i="76"/>
  <c r="B95" i="76"/>
  <c r="B97" i="76"/>
  <c r="B98" i="76"/>
  <c r="B99" i="76"/>
  <c r="B100" i="76"/>
  <c r="B101" i="76"/>
  <c r="B102" i="76"/>
  <c r="B103" i="76"/>
  <c r="B104" i="76"/>
  <c r="B105" i="76"/>
  <c r="B106" i="76"/>
  <c r="B108" i="76"/>
  <c r="B109" i="76"/>
  <c r="B110" i="76"/>
  <c r="B111" i="76"/>
  <c r="B112" i="76"/>
  <c r="B113" i="76"/>
  <c r="B114" i="76"/>
  <c r="B115" i="76"/>
  <c r="B116" i="76"/>
  <c r="B117" i="76"/>
  <c r="B119" i="76"/>
  <c r="B120" i="76"/>
  <c r="B121" i="76"/>
  <c r="B122" i="76"/>
  <c r="B123" i="76"/>
  <c r="B124" i="76"/>
  <c r="B125" i="76"/>
  <c r="B126" i="76"/>
  <c r="B127" i="76"/>
  <c r="B128" i="76"/>
  <c r="B130" i="76"/>
  <c r="B131" i="76"/>
  <c r="B132" i="76"/>
  <c r="B133" i="76"/>
  <c r="B134" i="76"/>
  <c r="B135" i="76"/>
  <c r="B136" i="76"/>
  <c r="B137" i="76"/>
  <c r="B138" i="76"/>
  <c r="B140" i="76"/>
  <c r="B141" i="76"/>
  <c r="B142" i="76"/>
  <c r="B143" i="76"/>
  <c r="B144" i="76"/>
  <c r="B145" i="76"/>
  <c r="B146" i="76"/>
  <c r="B147" i="76"/>
  <c r="B148" i="76"/>
  <c r="B149" i="76"/>
  <c r="B150" i="76"/>
  <c r="B151" i="76"/>
  <c r="B152" i="76"/>
  <c r="B153" i="76"/>
  <c r="B154" i="76"/>
  <c r="B155" i="76"/>
  <c r="B156" i="76"/>
  <c r="B157" i="76"/>
  <c r="B158" i="76"/>
  <c r="B159" i="76"/>
  <c r="B161" i="76"/>
  <c r="B162" i="76"/>
  <c r="B163" i="76"/>
  <c r="B164" i="76"/>
  <c r="B165" i="76"/>
  <c r="B166" i="76"/>
  <c r="B167" i="76"/>
  <c r="B168" i="76"/>
  <c r="B169" i="76"/>
  <c r="B170" i="76"/>
  <c r="B172" i="76"/>
  <c r="B173" i="76"/>
  <c r="B174" i="76"/>
  <c r="B175" i="76"/>
  <c r="B176" i="76"/>
  <c r="B177" i="76"/>
  <c r="B178" i="76"/>
  <c r="B179" i="76"/>
  <c r="B180" i="76"/>
  <c r="B181" i="76"/>
  <c r="B183" i="76"/>
  <c r="B184" i="76"/>
  <c r="B185" i="76"/>
  <c r="B186" i="76"/>
  <c r="B187" i="76"/>
  <c r="B188" i="76"/>
  <c r="B189" i="76"/>
  <c r="B190" i="76"/>
  <c r="B191" i="76"/>
  <c r="B192" i="76"/>
  <c r="B194" i="76"/>
  <c r="B195" i="76"/>
  <c r="B196" i="76"/>
  <c r="B197" i="76"/>
  <c r="B198" i="76"/>
  <c r="B199" i="76"/>
  <c r="B200" i="76"/>
  <c r="B201" i="76"/>
  <c r="B202" i="76"/>
  <c r="B203" i="76"/>
  <c r="B205" i="76"/>
  <c r="B206" i="76"/>
  <c r="B207" i="76"/>
  <c r="B208" i="76"/>
  <c r="B209" i="76"/>
  <c r="B210" i="76"/>
  <c r="B211" i="76"/>
  <c r="B212" i="76"/>
  <c r="B213" i="76"/>
  <c r="B214" i="76"/>
  <c r="B216" i="76"/>
  <c r="B217" i="76"/>
  <c r="B218" i="76"/>
  <c r="B219" i="76"/>
  <c r="B220" i="76"/>
  <c r="B221" i="76"/>
  <c r="B222" i="76"/>
  <c r="B223" i="76"/>
  <c r="B224" i="76"/>
  <c r="B225" i="76"/>
  <c r="B227" i="76"/>
  <c r="B228" i="76"/>
  <c r="B229" i="76"/>
  <c r="B230" i="76"/>
  <c r="B231" i="76"/>
  <c r="B232" i="76"/>
  <c r="B233" i="76"/>
  <c r="B234" i="76"/>
  <c r="B235" i="76"/>
  <c r="B237" i="76"/>
  <c r="B238" i="76"/>
  <c r="B239" i="76"/>
  <c r="B240" i="76"/>
  <c r="B241" i="76"/>
  <c r="B242" i="76"/>
  <c r="B243" i="76"/>
  <c r="B244" i="76"/>
  <c r="B245" i="76"/>
  <c r="B246" i="76"/>
  <c r="B248" i="76"/>
  <c r="B249" i="76"/>
  <c r="B250" i="76"/>
  <c r="B251" i="76"/>
  <c r="B252" i="76"/>
  <c r="B253" i="76"/>
  <c r="B254" i="76"/>
  <c r="B255" i="76"/>
  <c r="B256" i="76"/>
  <c r="B257" i="76"/>
  <c r="B259" i="76"/>
  <c r="B260" i="76"/>
  <c r="B261" i="76"/>
  <c r="B262" i="76"/>
  <c r="B263" i="76"/>
  <c r="B264" i="76"/>
  <c r="B265" i="76"/>
  <c r="B266" i="76"/>
  <c r="B267" i="76"/>
  <c r="B268" i="76"/>
  <c r="B270" i="76"/>
  <c r="B271" i="76"/>
  <c r="B272" i="76"/>
  <c r="B278" i="76"/>
  <c r="B279" i="76"/>
  <c r="B280" i="76"/>
  <c r="B281" i="76"/>
  <c r="B282" i="76"/>
  <c r="B283" i="76"/>
  <c r="B284" i="76"/>
  <c r="B285" i="76"/>
  <c r="B286" i="76"/>
  <c r="B287" i="76"/>
  <c r="B288" i="76"/>
  <c r="B289" i="76"/>
  <c r="B290" i="76"/>
  <c r="B291" i="76"/>
  <c r="B292" i="76"/>
  <c r="B293" i="76"/>
  <c r="B294" i="76"/>
  <c r="B295" i="76"/>
  <c r="B296" i="76"/>
  <c r="B297" i="76"/>
  <c r="B298" i="76"/>
  <c r="B299" i="76"/>
  <c r="B300" i="76"/>
  <c r="B301" i="76"/>
  <c r="B302" i="76"/>
  <c r="B303" i="76"/>
  <c r="B304" i="76"/>
  <c r="B305" i="76"/>
  <c r="B306" i="76"/>
  <c r="B307" i="76"/>
  <c r="B308" i="76"/>
  <c r="B309" i="76"/>
  <c r="B310" i="76"/>
  <c r="B311" i="76"/>
  <c r="B312" i="76"/>
  <c r="B313" i="76"/>
  <c r="B314" i="76"/>
  <c r="B315" i="76"/>
  <c r="B316" i="76"/>
  <c r="B317" i="76"/>
  <c r="B318" i="76"/>
  <c r="B319" i="76"/>
  <c r="B320" i="76"/>
  <c r="B321" i="76"/>
  <c r="B322" i="76"/>
  <c r="B323" i="76"/>
  <c r="B324" i="76"/>
  <c r="B325" i="76"/>
  <c r="B326" i="76"/>
  <c r="B327" i="76"/>
  <c r="B328" i="76"/>
  <c r="B329" i="76"/>
  <c r="B330" i="76"/>
  <c r="B331" i="76"/>
  <c r="B332" i="76"/>
  <c r="B333" i="76"/>
  <c r="B334" i="76"/>
  <c r="B335" i="76"/>
  <c r="B336" i="76"/>
  <c r="B337" i="76"/>
  <c r="B338" i="76"/>
  <c r="B339" i="76"/>
  <c r="B340" i="76"/>
  <c r="B341" i="76"/>
  <c r="B342" i="76"/>
  <c r="B343" i="76"/>
  <c r="B344" i="76"/>
  <c r="B345" i="76"/>
  <c r="B346" i="76"/>
  <c r="B347" i="76"/>
  <c r="B348" i="76"/>
  <c r="B349" i="76"/>
  <c r="B350" i="76"/>
  <c r="B351" i="76"/>
  <c r="B352" i="76"/>
  <c r="B353" i="76"/>
  <c r="B354" i="76"/>
  <c r="B355" i="76"/>
  <c r="B356" i="76"/>
  <c r="B357" i="76"/>
  <c r="B358" i="76"/>
  <c r="B359" i="76"/>
  <c r="B360" i="76"/>
  <c r="B361" i="76"/>
  <c r="B362" i="76"/>
  <c r="B363" i="76"/>
  <c r="B364" i="76"/>
  <c r="B365" i="76"/>
  <c r="B366" i="76"/>
  <c r="B367" i="76"/>
  <c r="B368" i="76"/>
  <c r="B369" i="76"/>
  <c r="B370" i="76"/>
  <c r="B371" i="76"/>
  <c r="B372" i="76"/>
  <c r="B373" i="76"/>
  <c r="B374" i="76"/>
  <c r="B375" i="76"/>
  <c r="B376" i="76"/>
  <c r="B377" i="76"/>
  <c r="B378" i="76"/>
  <c r="B379" i="76"/>
  <c r="B380" i="76"/>
  <c r="B381" i="76"/>
  <c r="B382" i="76"/>
  <c r="B383" i="76"/>
  <c r="B384" i="76"/>
  <c r="B385" i="76"/>
  <c r="B386" i="76"/>
  <c r="B387" i="76"/>
  <c r="B388" i="76"/>
  <c r="B389" i="76"/>
  <c r="B390" i="76"/>
  <c r="D13" i="4"/>
  <c r="C110" i="6" a="1"/>
  <c r="C110" i="6"/>
  <c r="C121" i="6" a="1"/>
  <c r="C121" i="6"/>
  <c r="D17" i="4" a="1"/>
  <c r="D3" i="4"/>
  <c r="D6" i="4" a="1"/>
  <c r="D6" i="4"/>
  <c r="D4" i="4"/>
  <c r="B4" i="5" a="1"/>
  <c r="B4" i="5"/>
  <c r="B5" i="5"/>
  <c r="B6" i="5"/>
  <c r="B7" i="5"/>
  <c r="B8" i="5"/>
  <c r="B9" i="5"/>
  <c r="B10" i="5"/>
  <c r="B11" i="5"/>
  <c r="B12" i="5"/>
  <c r="D18" i="4" a="1"/>
  <c r="D24" i="4"/>
  <c r="D9" i="4" a="1"/>
  <c r="D9" i="4"/>
  <c r="E13" i="4" a="1"/>
  <c r="E13" i="4"/>
  <c r="B20" i="1"/>
  <c r="C111" i="6"/>
  <c r="C112" i="6"/>
  <c r="C113" i="6"/>
  <c r="C114" i="6"/>
  <c r="C115" i="6"/>
  <c r="C116" i="6"/>
  <c r="C117" i="6"/>
  <c r="C118" i="6"/>
  <c r="B110" i="6" a="1"/>
  <c r="B110" i="6"/>
  <c r="B111" i="6"/>
  <c r="B112" i="6"/>
  <c r="B113" i="6"/>
  <c r="B114" i="6"/>
  <c r="B115" i="6"/>
  <c r="B116" i="6"/>
  <c r="B117" i="6"/>
  <c r="B118" i="6"/>
  <c r="C119" i="6"/>
  <c r="Q119" i="6"/>
  <c r="N3" i="1"/>
  <c r="B50" i="27" a="1"/>
  <c r="B50" i="27"/>
  <c r="C50" i="27"/>
  <c r="D50" i="27"/>
  <c r="E50" i="27"/>
  <c r="F50" i="27"/>
  <c r="G50" i="27"/>
  <c r="H50" i="27"/>
  <c r="I50" i="27"/>
  <c r="J50" i="27"/>
  <c r="K50" i="27"/>
  <c r="C4" i="1"/>
  <c r="D4" i="1"/>
  <c r="E4" i="1"/>
  <c r="F4" i="1"/>
  <c r="G4" i="1"/>
  <c r="H4" i="1"/>
  <c r="I4" i="1"/>
  <c r="J4" i="1"/>
  <c r="K4" i="1"/>
  <c r="E19" i="1"/>
  <c r="D19" i="1"/>
  <c r="C19" i="1"/>
  <c r="C2" i="75"/>
  <c r="C3" i="75"/>
  <c r="C4" i="75"/>
  <c r="C5" i="75"/>
  <c r="C6" i="75"/>
  <c r="C7" i="75"/>
  <c r="C8" i="75"/>
  <c r="C9" i="75"/>
  <c r="C10" i="75"/>
  <c r="C11" i="75"/>
  <c r="C12" i="75"/>
  <c r="C13" i="75"/>
  <c r="C14" i="75"/>
  <c r="C15" i="75"/>
  <c r="C16" i="75"/>
  <c r="C17" i="75"/>
  <c r="C18" i="75"/>
  <c r="C19" i="75"/>
  <c r="C20" i="75"/>
  <c r="C21" i="75"/>
  <c r="C22" i="75"/>
  <c r="C23" i="75"/>
  <c r="C24" i="75"/>
  <c r="C25" i="75"/>
  <c r="C26" i="75"/>
  <c r="C27" i="75"/>
  <c r="C28" i="75"/>
  <c r="C29" i="75"/>
  <c r="C30" i="75"/>
  <c r="C31" i="75"/>
  <c r="C32" i="75"/>
  <c r="C33" i="75"/>
  <c r="C34" i="75"/>
  <c r="C35" i="75"/>
  <c r="C36" i="75"/>
  <c r="C37" i="75"/>
  <c r="C38" i="75"/>
  <c r="C39" i="75"/>
  <c r="C40" i="75"/>
  <c r="C41" i="75"/>
  <c r="C42" i="75"/>
  <c r="C43" i="75"/>
  <c r="C44" i="75"/>
  <c r="C45" i="75"/>
  <c r="C46" i="75"/>
  <c r="C47" i="75"/>
  <c r="C48" i="75"/>
  <c r="C49" i="75"/>
  <c r="C50" i="75"/>
  <c r="C51" i="75"/>
  <c r="C52" i="75"/>
  <c r="C53" i="75"/>
  <c r="C54" i="75"/>
  <c r="C55" i="75"/>
  <c r="C56" i="75"/>
  <c r="C57" i="75"/>
  <c r="C58" i="75"/>
  <c r="C59" i="75"/>
  <c r="C60" i="75"/>
  <c r="C61" i="75"/>
  <c r="C62" i="75"/>
  <c r="C63" i="75"/>
  <c r="C64" i="75"/>
  <c r="C65" i="75"/>
  <c r="C66" i="75"/>
  <c r="C67" i="75"/>
  <c r="C68" i="75"/>
  <c r="C69" i="75"/>
  <c r="C70" i="75"/>
  <c r="C71" i="75"/>
  <c r="C72" i="75"/>
  <c r="C73" i="75"/>
  <c r="C74" i="75"/>
  <c r="C75" i="75"/>
  <c r="C76" i="75"/>
  <c r="C77" i="75"/>
  <c r="C78" i="75"/>
  <c r="C79" i="75"/>
  <c r="C80" i="75"/>
  <c r="C81" i="75"/>
  <c r="C82" i="75"/>
  <c r="C83" i="75"/>
  <c r="C84" i="75"/>
  <c r="C85" i="75"/>
  <c r="C86" i="75"/>
  <c r="C87" i="75"/>
  <c r="C88" i="75"/>
  <c r="C89" i="75"/>
  <c r="C90" i="75"/>
  <c r="C91" i="75"/>
  <c r="C92" i="75"/>
  <c r="C93" i="75"/>
  <c r="C94" i="75"/>
  <c r="C95" i="75"/>
  <c r="C96" i="75"/>
  <c r="C97" i="75"/>
  <c r="C98" i="75"/>
  <c r="C99" i="75"/>
  <c r="C100" i="75"/>
  <c r="C101" i="75"/>
  <c r="C102" i="75"/>
  <c r="C103" i="75"/>
  <c r="C104" i="75"/>
  <c r="C105" i="75"/>
  <c r="C106" i="75"/>
  <c r="C107" i="75"/>
  <c r="C108" i="75"/>
  <c r="C109" i="75"/>
  <c r="C110" i="75"/>
  <c r="C111" i="75"/>
  <c r="C112" i="75"/>
  <c r="C113" i="75"/>
  <c r="C114" i="75"/>
  <c r="C115" i="75"/>
  <c r="C116" i="75"/>
  <c r="C117" i="75"/>
  <c r="C118" i="75"/>
  <c r="C119" i="75"/>
  <c r="C120" i="75"/>
  <c r="C121" i="75"/>
  <c r="C122" i="75"/>
  <c r="C123" i="75"/>
  <c r="C124" i="75"/>
  <c r="C125" i="75"/>
  <c r="C126" i="75"/>
  <c r="C127" i="75"/>
  <c r="C128" i="75"/>
  <c r="C129" i="75"/>
  <c r="C130" i="75"/>
  <c r="C131" i="75"/>
  <c r="C132" i="75"/>
  <c r="C133" i="75"/>
  <c r="C134" i="75"/>
  <c r="C135" i="75"/>
  <c r="C136" i="75"/>
  <c r="C137" i="75"/>
  <c r="C138" i="75"/>
  <c r="C139" i="75"/>
  <c r="C140" i="75"/>
  <c r="C141" i="75"/>
  <c r="C142" i="75"/>
  <c r="C143" i="75"/>
  <c r="C144" i="75"/>
  <c r="C145" i="75"/>
  <c r="C146" i="75"/>
  <c r="C147" i="75"/>
  <c r="C148" i="75"/>
  <c r="C149" i="75"/>
  <c r="C150" i="75"/>
  <c r="C151" i="75"/>
  <c r="C152" i="75"/>
  <c r="C153" i="75"/>
  <c r="C154" i="75"/>
  <c r="C155" i="75"/>
  <c r="C156" i="75"/>
  <c r="C157" i="75"/>
  <c r="C158" i="75"/>
  <c r="C159" i="75"/>
  <c r="C160" i="75"/>
  <c r="C161" i="75"/>
  <c r="C162" i="75"/>
  <c r="C163" i="75"/>
  <c r="C164" i="75"/>
  <c r="C165" i="75"/>
  <c r="C166" i="75"/>
  <c r="C167" i="75"/>
  <c r="C168" i="75"/>
  <c r="C169" i="75"/>
  <c r="C170" i="75"/>
  <c r="C171" i="75"/>
  <c r="C172" i="75"/>
  <c r="C173" i="75"/>
  <c r="C174" i="75"/>
  <c r="C175" i="75"/>
  <c r="C176" i="75"/>
  <c r="C177" i="75"/>
  <c r="C178" i="75"/>
  <c r="C179" i="75"/>
  <c r="C180" i="75"/>
  <c r="C181" i="75"/>
  <c r="C182" i="75"/>
  <c r="C183" i="75"/>
  <c r="C184" i="75"/>
  <c r="C185" i="75"/>
  <c r="C186" i="75"/>
  <c r="C187" i="75"/>
  <c r="C188" i="75"/>
  <c r="C189" i="75"/>
  <c r="C190" i="75"/>
  <c r="C191" i="75"/>
  <c r="C192" i="75"/>
  <c r="C193" i="75"/>
  <c r="C194" i="75"/>
  <c r="C195" i="75"/>
  <c r="C196" i="75"/>
  <c r="C197" i="75"/>
  <c r="C198" i="75"/>
  <c r="C199" i="75"/>
  <c r="C200" i="75"/>
  <c r="C201" i="75"/>
  <c r="C202" i="75"/>
  <c r="C203" i="75"/>
  <c r="C204" i="75"/>
  <c r="C205" i="75"/>
  <c r="C206" i="75"/>
  <c r="C207" i="75"/>
  <c r="C208" i="75"/>
  <c r="C209" i="75"/>
  <c r="C210" i="75"/>
  <c r="C211" i="75"/>
  <c r="C212" i="75"/>
  <c r="C213" i="75"/>
  <c r="C214" i="75"/>
  <c r="C215" i="75"/>
  <c r="C216" i="75"/>
  <c r="C217" i="75"/>
  <c r="C218" i="75"/>
  <c r="C219" i="75"/>
  <c r="C220" i="75"/>
  <c r="C221" i="75"/>
  <c r="C222" i="75"/>
  <c r="C223" i="75"/>
  <c r="C224" i="75"/>
  <c r="C225" i="75"/>
  <c r="C226" i="75"/>
  <c r="C227" i="75"/>
  <c r="C228" i="75"/>
  <c r="C229" i="75"/>
  <c r="C230" i="75"/>
  <c r="C231" i="75"/>
  <c r="C232" i="75"/>
  <c r="C233" i="75"/>
  <c r="C234" i="75"/>
  <c r="C235" i="75"/>
  <c r="C236" i="75"/>
  <c r="C237" i="75"/>
  <c r="C238" i="75"/>
  <c r="C239" i="75"/>
  <c r="C240" i="75"/>
  <c r="C241" i="75"/>
  <c r="C242" i="75"/>
  <c r="C243" i="75"/>
  <c r="C244" i="75"/>
  <c r="C245" i="75"/>
  <c r="C246" i="75"/>
  <c r="C247" i="75"/>
  <c r="C248" i="75"/>
  <c r="C249" i="75"/>
  <c r="C250" i="75"/>
  <c r="C251" i="75"/>
  <c r="C252" i="75"/>
  <c r="C253" i="75"/>
  <c r="C254" i="75"/>
  <c r="C255" i="75"/>
  <c r="C256" i="75"/>
  <c r="C257" i="75"/>
  <c r="C258" i="75"/>
  <c r="C259" i="75"/>
  <c r="C260" i="75"/>
  <c r="C261" i="75"/>
  <c r="C262" i="75"/>
  <c r="C263" i="75"/>
  <c r="C264" i="75"/>
  <c r="C265" i="75"/>
  <c r="C266" i="75"/>
  <c r="C267" i="75"/>
  <c r="C268" i="75"/>
  <c r="C269" i="75"/>
  <c r="C270" i="75"/>
  <c r="C271" i="75"/>
  <c r="C272" i="75"/>
  <c r="C273" i="75"/>
  <c r="C274" i="75"/>
  <c r="C275" i="75"/>
  <c r="C276" i="75"/>
  <c r="C277" i="75"/>
  <c r="C278" i="75"/>
  <c r="C279" i="75"/>
  <c r="C280" i="75"/>
  <c r="C281" i="75"/>
  <c r="C282" i="75"/>
  <c r="C283" i="75"/>
  <c r="C284" i="75"/>
  <c r="C285" i="75"/>
  <c r="C286" i="75"/>
  <c r="C287" i="75"/>
  <c r="C288" i="75"/>
  <c r="C289" i="75"/>
  <c r="C290" i="75"/>
  <c r="C291" i="75"/>
  <c r="C292" i="75"/>
  <c r="C293" i="75"/>
  <c r="C294" i="75"/>
  <c r="C295" i="75"/>
  <c r="C296" i="75"/>
  <c r="C297" i="75"/>
  <c r="C298" i="75"/>
  <c r="C299" i="75"/>
  <c r="C300" i="75"/>
  <c r="C301" i="75"/>
  <c r="C302" i="75"/>
  <c r="C303" i="75"/>
  <c r="C304" i="75"/>
  <c r="C305" i="75"/>
  <c r="C306" i="75"/>
  <c r="C307" i="75"/>
  <c r="C308" i="75"/>
  <c r="C309" i="75"/>
  <c r="C310" i="75"/>
  <c r="C311" i="75"/>
  <c r="C312" i="75"/>
  <c r="C313" i="75"/>
  <c r="C314" i="75"/>
  <c r="C315" i="75"/>
  <c r="C316" i="75"/>
  <c r="C317" i="75"/>
  <c r="C318" i="75"/>
  <c r="C319" i="75"/>
  <c r="C320" i="75"/>
  <c r="C321" i="75"/>
  <c r="C322" i="75"/>
  <c r="C323" i="75"/>
  <c r="C324" i="75"/>
  <c r="C325" i="75"/>
  <c r="C326" i="75"/>
  <c r="C327" i="75"/>
  <c r="C328" i="75"/>
  <c r="C329" i="75"/>
  <c r="C330" i="75"/>
  <c r="C331" i="75"/>
  <c r="C332" i="75"/>
  <c r="C333" i="75"/>
  <c r="C334" i="75"/>
  <c r="C335" i="75"/>
  <c r="C336" i="75"/>
  <c r="C337" i="75"/>
  <c r="C338" i="75"/>
  <c r="C339" i="75"/>
  <c r="C340" i="75"/>
  <c r="C341" i="75"/>
  <c r="C342" i="75"/>
  <c r="C343" i="75"/>
  <c r="C344" i="75"/>
  <c r="C345" i="75"/>
  <c r="C346" i="75"/>
  <c r="C347" i="75"/>
  <c r="C348" i="75"/>
  <c r="C349" i="75"/>
  <c r="C350" i="75"/>
  <c r="C351" i="75"/>
  <c r="C352" i="75"/>
  <c r="C353" i="75"/>
  <c r="C354" i="75"/>
  <c r="C355" i="75"/>
  <c r="C356" i="75"/>
  <c r="C357" i="75"/>
  <c r="C358" i="75"/>
  <c r="C359" i="75"/>
  <c r="C360" i="75"/>
  <c r="C361" i="75"/>
  <c r="C362" i="75"/>
  <c r="C363" i="75"/>
  <c r="C364" i="75"/>
  <c r="C365" i="75"/>
  <c r="C366" i="75"/>
  <c r="C367" i="75"/>
  <c r="C368" i="75"/>
  <c r="C369" i="75"/>
  <c r="C370" i="75"/>
  <c r="C371" i="75"/>
  <c r="C372" i="75"/>
  <c r="C373" i="75"/>
  <c r="C374" i="75"/>
  <c r="C375" i="75"/>
  <c r="C376" i="75"/>
  <c r="C377" i="75"/>
  <c r="C378" i="75"/>
  <c r="C379" i="75"/>
  <c r="C380" i="75"/>
  <c r="C381" i="75"/>
  <c r="C382" i="75"/>
  <c r="C383" i="75"/>
  <c r="C384" i="75"/>
  <c r="C385" i="75"/>
  <c r="C386" i="75"/>
  <c r="C387" i="75"/>
  <c r="C388" i="75"/>
  <c r="C389" i="75"/>
  <c r="C390" i="75"/>
  <c r="C391" i="75"/>
  <c r="C392" i="75"/>
  <c r="C393" i="75"/>
  <c r="C394" i="75"/>
  <c r="C395" i="75"/>
  <c r="C396" i="75"/>
  <c r="C397" i="75"/>
  <c r="C398" i="75"/>
  <c r="C399" i="75"/>
  <c r="C400" i="75"/>
  <c r="C401" i="75"/>
  <c r="C402" i="75"/>
  <c r="C403" i="75"/>
  <c r="C404" i="75"/>
  <c r="C405" i="75"/>
  <c r="C406" i="75"/>
  <c r="C407" i="75"/>
  <c r="C408" i="75"/>
  <c r="C409" i="75"/>
  <c r="C410" i="75"/>
  <c r="C411" i="75"/>
  <c r="C412" i="75"/>
  <c r="C413" i="75"/>
  <c r="C414" i="75"/>
  <c r="C415" i="75"/>
  <c r="C416" i="75"/>
  <c r="C417" i="75"/>
  <c r="C418" i="75"/>
  <c r="C419" i="75"/>
  <c r="C420" i="75"/>
  <c r="C421" i="75"/>
  <c r="C422" i="75"/>
  <c r="C423" i="75"/>
  <c r="C424" i="75"/>
  <c r="C425" i="75"/>
  <c r="C426" i="75"/>
  <c r="C427" i="75"/>
  <c r="C428" i="75"/>
  <c r="C429" i="75"/>
  <c r="C430" i="75"/>
  <c r="C431" i="75"/>
  <c r="C432" i="75"/>
  <c r="C433" i="75"/>
  <c r="C434" i="75"/>
  <c r="C435" i="75"/>
  <c r="C436" i="75"/>
  <c r="C437" i="75"/>
  <c r="C438" i="75"/>
  <c r="C439" i="75"/>
  <c r="C440" i="75"/>
  <c r="C441" i="75"/>
  <c r="C442" i="75"/>
  <c r="C443" i="75"/>
  <c r="C444" i="75"/>
  <c r="C445" i="75"/>
  <c r="C446" i="75"/>
  <c r="C447" i="75"/>
  <c r="C448" i="75"/>
  <c r="C449" i="75"/>
  <c r="C450" i="75"/>
  <c r="C451" i="75"/>
  <c r="C452" i="75"/>
  <c r="C453" i="75"/>
  <c r="C454" i="75"/>
  <c r="C455" i="75"/>
  <c r="C456" i="75"/>
  <c r="C457" i="75"/>
  <c r="C458" i="75"/>
  <c r="C459" i="75"/>
  <c r="C460" i="75"/>
  <c r="C461" i="75"/>
  <c r="C462" i="75"/>
  <c r="C463" i="75"/>
  <c r="C464" i="75"/>
  <c r="C465" i="75"/>
  <c r="C466" i="75"/>
  <c r="C467" i="75"/>
  <c r="C468" i="75"/>
  <c r="C469" i="75"/>
  <c r="C470" i="75"/>
  <c r="C471" i="75"/>
  <c r="C472" i="75"/>
  <c r="C473" i="75"/>
  <c r="C474" i="75"/>
  <c r="C475" i="75"/>
  <c r="C476" i="75"/>
  <c r="C477" i="75"/>
  <c r="C478" i="75"/>
  <c r="C479" i="75"/>
  <c r="C480" i="75"/>
  <c r="C481" i="75"/>
  <c r="C482" i="75"/>
  <c r="C483" i="75"/>
  <c r="C484" i="75"/>
  <c r="C485" i="75"/>
  <c r="C486" i="75"/>
  <c r="C487" i="75"/>
  <c r="C488" i="75"/>
  <c r="C489" i="75"/>
  <c r="C490" i="75"/>
  <c r="C491" i="75"/>
  <c r="C492" i="75"/>
  <c r="C493" i="75"/>
  <c r="C494" i="75"/>
  <c r="C495" i="75"/>
  <c r="C496" i="75"/>
  <c r="C497" i="75"/>
  <c r="C498" i="75"/>
  <c r="C499" i="75"/>
  <c r="C500" i="75"/>
  <c r="C501" i="75"/>
  <c r="C502" i="75"/>
  <c r="C503" i="75"/>
  <c r="C504" i="75"/>
  <c r="C505" i="75"/>
  <c r="C506" i="75"/>
  <c r="C507" i="75"/>
  <c r="C508" i="75"/>
  <c r="C509" i="75"/>
  <c r="C510" i="75"/>
  <c r="C511" i="75"/>
  <c r="C512" i="75"/>
  <c r="C513" i="75"/>
  <c r="C514" i="75"/>
  <c r="C515" i="75"/>
  <c r="C516" i="75"/>
  <c r="C517" i="75"/>
  <c r="C518" i="75"/>
  <c r="C519" i="75"/>
  <c r="C520" i="75"/>
  <c r="C521" i="75"/>
  <c r="C522" i="75"/>
  <c r="C523" i="75"/>
  <c r="C524" i="75"/>
  <c r="C525" i="75"/>
  <c r="C526" i="75"/>
  <c r="C527" i="75"/>
  <c r="C528" i="75"/>
  <c r="C529" i="75"/>
  <c r="C530" i="75"/>
  <c r="C531" i="75"/>
  <c r="C532" i="75"/>
  <c r="C533" i="75"/>
  <c r="C534" i="75"/>
  <c r="C535" i="75"/>
  <c r="C536" i="75"/>
  <c r="C537" i="75"/>
  <c r="C538" i="75"/>
  <c r="C539" i="75"/>
  <c r="C540" i="75"/>
  <c r="C541" i="75"/>
  <c r="C542" i="75"/>
  <c r="C543" i="75"/>
  <c r="C544" i="75"/>
  <c r="C545" i="75"/>
  <c r="C546" i="75"/>
  <c r="C547" i="75"/>
  <c r="C548" i="75"/>
  <c r="C549" i="75"/>
  <c r="C550" i="75"/>
  <c r="C551" i="75"/>
  <c r="C552" i="75"/>
  <c r="C553" i="75"/>
  <c r="C554" i="75"/>
  <c r="C555" i="75"/>
  <c r="C556" i="75"/>
  <c r="C557" i="75"/>
  <c r="C558" i="75"/>
  <c r="C559" i="75"/>
  <c r="C560" i="75"/>
  <c r="C561" i="75"/>
  <c r="C562" i="75"/>
  <c r="C563" i="75"/>
  <c r="C564" i="75"/>
  <c r="C565" i="75"/>
  <c r="C566" i="75"/>
  <c r="C567" i="75"/>
  <c r="C568" i="75"/>
  <c r="C569" i="75"/>
  <c r="C570" i="75"/>
  <c r="C571" i="75"/>
  <c r="C572" i="75"/>
  <c r="C573" i="75"/>
  <c r="C574" i="75"/>
  <c r="C575" i="75"/>
  <c r="C576" i="75"/>
  <c r="C577" i="75"/>
  <c r="C578" i="75"/>
  <c r="C579" i="75"/>
  <c r="C580" i="75"/>
  <c r="C581" i="75"/>
  <c r="C582" i="75"/>
  <c r="C583" i="75"/>
  <c r="C584" i="75"/>
  <c r="C585" i="75"/>
  <c r="C586" i="75"/>
  <c r="C587" i="75"/>
  <c r="C588" i="75"/>
  <c r="C589" i="75"/>
  <c r="C590" i="75"/>
  <c r="C591" i="75"/>
  <c r="C592" i="75"/>
  <c r="C593" i="75"/>
  <c r="C594" i="75"/>
  <c r="C595" i="75"/>
  <c r="C596" i="75"/>
  <c r="C597" i="75"/>
  <c r="C598" i="75"/>
  <c r="C599" i="75"/>
  <c r="C600" i="75"/>
  <c r="C601" i="75"/>
  <c r="C602" i="75"/>
  <c r="C603" i="75"/>
  <c r="C604" i="75"/>
  <c r="C605" i="75"/>
  <c r="C606" i="75"/>
  <c r="C607" i="75"/>
  <c r="C608" i="75"/>
  <c r="C609" i="75"/>
  <c r="C610" i="75"/>
  <c r="C611" i="75"/>
  <c r="C612" i="75"/>
  <c r="C613" i="75"/>
  <c r="C614" i="75"/>
  <c r="C615" i="75"/>
  <c r="C616" i="75"/>
  <c r="C617" i="75"/>
  <c r="C618" i="75"/>
  <c r="C619" i="75"/>
  <c r="C620" i="75"/>
  <c r="C621" i="75"/>
  <c r="C622" i="75"/>
  <c r="C623" i="75"/>
  <c r="C624" i="75"/>
  <c r="C625" i="75"/>
  <c r="C626" i="75"/>
  <c r="C627" i="75"/>
  <c r="C628" i="75"/>
  <c r="C629" i="75"/>
  <c r="C630" i="75"/>
  <c r="C631" i="75"/>
  <c r="C632" i="75"/>
  <c r="C633" i="75"/>
  <c r="C634" i="75"/>
  <c r="C635" i="75"/>
  <c r="C636" i="75"/>
  <c r="C637" i="75"/>
  <c r="C638" i="75"/>
  <c r="C639" i="75"/>
  <c r="C640" i="75"/>
  <c r="C641" i="75"/>
  <c r="C642" i="75"/>
  <c r="C643" i="75"/>
  <c r="C644" i="75"/>
  <c r="C645" i="75"/>
  <c r="C646" i="75"/>
  <c r="C647" i="75"/>
  <c r="C648" i="75"/>
  <c r="C649" i="75"/>
  <c r="C650" i="75"/>
  <c r="C651" i="75"/>
  <c r="C652" i="75"/>
  <c r="C653" i="75"/>
  <c r="C654" i="75"/>
  <c r="C655" i="75"/>
  <c r="C656" i="75"/>
  <c r="C657" i="75"/>
  <c r="C658" i="75"/>
  <c r="C659" i="75"/>
  <c r="C660" i="75"/>
  <c r="C661" i="75"/>
  <c r="C662" i="75"/>
  <c r="C663" i="75"/>
  <c r="C664" i="75"/>
  <c r="C665" i="75"/>
  <c r="C666" i="75"/>
  <c r="C667" i="75"/>
  <c r="C668" i="75"/>
  <c r="C669" i="75"/>
  <c r="C670" i="75"/>
  <c r="C671" i="75"/>
  <c r="C672" i="75"/>
  <c r="C673" i="75"/>
  <c r="C674" i="75"/>
  <c r="C675" i="75"/>
  <c r="C676" i="75"/>
  <c r="C677" i="75"/>
  <c r="C678" i="75"/>
  <c r="C679" i="75"/>
  <c r="C680" i="75"/>
  <c r="C681" i="75"/>
  <c r="C682" i="75"/>
  <c r="C683" i="75"/>
  <c r="C684" i="75"/>
  <c r="C685" i="75"/>
  <c r="C686" i="75"/>
  <c r="C687" i="75"/>
  <c r="C688" i="75"/>
  <c r="C689" i="75"/>
  <c r="C690" i="75"/>
  <c r="C691" i="75"/>
  <c r="C692" i="75"/>
  <c r="C693" i="75"/>
  <c r="C694" i="75"/>
  <c r="C695" i="75"/>
  <c r="C696" i="75"/>
  <c r="C697" i="75"/>
  <c r="C698" i="75"/>
  <c r="C699" i="75"/>
  <c r="C700" i="75"/>
  <c r="C701" i="75"/>
  <c r="C702" i="75"/>
  <c r="C703" i="75"/>
  <c r="C704" i="75"/>
  <c r="C705" i="75"/>
  <c r="C706" i="75"/>
  <c r="C707" i="75"/>
  <c r="C708" i="75"/>
  <c r="C709" i="75"/>
  <c r="C710" i="75"/>
  <c r="C711" i="75"/>
  <c r="C712" i="75"/>
  <c r="C713" i="75"/>
  <c r="C714" i="75"/>
  <c r="C715" i="75"/>
  <c r="C716" i="75"/>
  <c r="C717" i="75"/>
  <c r="C718" i="75"/>
  <c r="C719" i="75"/>
  <c r="C720" i="75"/>
  <c r="C721" i="75"/>
  <c r="C722" i="75"/>
  <c r="C723" i="75"/>
  <c r="C724" i="75"/>
  <c r="C725" i="75"/>
  <c r="C726" i="75"/>
  <c r="C727" i="75"/>
  <c r="C728" i="75"/>
  <c r="C729" i="75"/>
  <c r="C730" i="75"/>
  <c r="C731" i="75"/>
  <c r="C732" i="75"/>
  <c r="C733" i="75"/>
  <c r="C737" i="75"/>
  <c r="C738" i="75"/>
  <c r="C739" i="75"/>
  <c r="C740" i="75"/>
  <c r="C741" i="75"/>
  <c r="C742" i="75"/>
  <c r="C743" i="75"/>
  <c r="C744" i="75"/>
  <c r="C745" i="75"/>
  <c r="C746" i="75"/>
  <c r="C747" i="75"/>
  <c r="C748" i="75"/>
  <c r="C749" i="75"/>
  <c r="C750" i="75"/>
  <c r="C751" i="75"/>
  <c r="C752" i="75"/>
  <c r="C753" i="75"/>
  <c r="C754" i="75"/>
  <c r="C755" i="75"/>
  <c r="C756" i="75"/>
  <c r="C757" i="75"/>
  <c r="C758" i="75"/>
  <c r="C759" i="75"/>
  <c r="C760" i="75"/>
  <c r="C761" i="75"/>
  <c r="C762" i="75"/>
  <c r="C763" i="75"/>
  <c r="C764" i="75"/>
  <c r="C765" i="75"/>
  <c r="C766" i="75"/>
  <c r="C767" i="75"/>
  <c r="C768" i="75"/>
  <c r="C769" i="75"/>
  <c r="C770" i="75"/>
  <c r="C771" i="75"/>
  <c r="C772" i="75"/>
  <c r="C773" i="75"/>
  <c r="C774" i="75"/>
  <c r="C775" i="75"/>
  <c r="C776" i="75"/>
  <c r="C777" i="75"/>
  <c r="C778" i="75"/>
  <c r="C779" i="75"/>
  <c r="C780" i="75"/>
  <c r="C781" i="75"/>
  <c r="C782" i="75"/>
  <c r="C783" i="75"/>
  <c r="C784" i="75"/>
  <c r="C785" i="75"/>
  <c r="C786" i="75"/>
  <c r="C787" i="75"/>
  <c r="C788" i="75"/>
  <c r="C789" i="75"/>
  <c r="C790" i="75"/>
  <c r="C791" i="75"/>
  <c r="C792" i="75"/>
  <c r="C793" i="75"/>
  <c r="C794" i="75"/>
  <c r="C795" i="75"/>
  <c r="C796" i="75"/>
  <c r="C797" i="75"/>
  <c r="C798" i="75"/>
  <c r="C799" i="75"/>
  <c r="C800" i="75"/>
  <c r="C801" i="75"/>
  <c r="C802" i="75"/>
  <c r="C803" i="75"/>
  <c r="C804" i="75"/>
  <c r="C805" i="75"/>
  <c r="C806" i="75"/>
  <c r="C807" i="75"/>
  <c r="C808" i="75"/>
  <c r="C809" i="75"/>
  <c r="C810" i="75"/>
  <c r="C811" i="75"/>
  <c r="C812" i="75"/>
  <c r="C813" i="75"/>
  <c r="C814" i="75"/>
  <c r="C815" i="75"/>
  <c r="C816" i="75"/>
  <c r="C817" i="75"/>
  <c r="C818" i="75"/>
  <c r="C819" i="75"/>
  <c r="C820" i="75"/>
  <c r="C821" i="75"/>
  <c r="C822" i="75"/>
  <c r="C823" i="75"/>
  <c r="C824" i="75"/>
  <c r="C825" i="75"/>
  <c r="C826" i="75"/>
  <c r="C827" i="75"/>
  <c r="C828" i="75"/>
  <c r="C829" i="75"/>
  <c r="C830" i="75"/>
  <c r="C831" i="75"/>
  <c r="C832" i="75"/>
  <c r="C833" i="75"/>
  <c r="C834" i="75"/>
  <c r="C835" i="75"/>
  <c r="C836" i="75"/>
  <c r="C736" i="75"/>
  <c r="C734" i="75"/>
  <c r="C735" i="75"/>
  <c r="E18" i="75"/>
  <c r="E19" i="75"/>
  <c r="E20" i="75"/>
  <c r="E21" i="75"/>
  <c r="E22" i="75"/>
  <c r="E23" i="75"/>
  <c r="E24" i="75"/>
  <c r="E25" i="75"/>
  <c r="E26" i="75"/>
  <c r="E27" i="75"/>
  <c r="E28" i="75"/>
  <c r="E29" i="75"/>
  <c r="E30" i="75"/>
  <c r="E31" i="75"/>
  <c r="E32" i="75"/>
  <c r="E33" i="75"/>
  <c r="E34" i="75"/>
  <c r="E35" i="75"/>
  <c r="E36" i="75"/>
  <c r="E37" i="75"/>
  <c r="E38" i="75"/>
  <c r="E39" i="75"/>
  <c r="E40" i="75"/>
  <c r="E41" i="75"/>
  <c r="E42" i="75"/>
  <c r="E43" i="75"/>
  <c r="E44" i="75"/>
  <c r="E45" i="75"/>
  <c r="E46" i="75"/>
  <c r="E47" i="75"/>
  <c r="E48" i="75"/>
  <c r="E49" i="75"/>
  <c r="E50" i="75"/>
  <c r="E51" i="75"/>
  <c r="E52" i="75"/>
  <c r="E53" i="75"/>
  <c r="E54" i="75"/>
  <c r="E55" i="75"/>
  <c r="E56" i="75"/>
  <c r="E57" i="75"/>
  <c r="E58" i="75"/>
  <c r="E59" i="75"/>
  <c r="E60" i="75"/>
  <c r="E61" i="75"/>
  <c r="E62" i="75"/>
  <c r="E63" i="75"/>
  <c r="E64" i="75"/>
  <c r="E65" i="75"/>
  <c r="E66" i="75"/>
  <c r="E67" i="75"/>
  <c r="E68" i="75"/>
  <c r="E69" i="75"/>
  <c r="E70" i="75"/>
  <c r="E71" i="75"/>
  <c r="E72" i="75"/>
  <c r="E73" i="75"/>
  <c r="E74" i="75"/>
  <c r="E75" i="75"/>
  <c r="E76" i="75"/>
  <c r="E77" i="75"/>
  <c r="E78" i="75"/>
  <c r="E79" i="75"/>
  <c r="E80" i="75"/>
  <c r="E81" i="75"/>
  <c r="E82" i="75"/>
  <c r="E83" i="75"/>
  <c r="E84" i="75"/>
  <c r="E85" i="75"/>
  <c r="E86" i="75"/>
  <c r="E87" i="75"/>
  <c r="E88" i="75"/>
  <c r="E89" i="75"/>
  <c r="E90" i="75"/>
  <c r="E91" i="75"/>
  <c r="E92" i="75"/>
  <c r="E93" i="75"/>
  <c r="E94" i="75"/>
  <c r="E95" i="75"/>
  <c r="E96" i="75"/>
  <c r="E97" i="75"/>
  <c r="E98" i="75"/>
  <c r="E99" i="75"/>
  <c r="E100" i="75"/>
  <c r="E101" i="75"/>
  <c r="E102" i="75"/>
  <c r="E103" i="75"/>
  <c r="E104" i="75"/>
  <c r="E105" i="75"/>
  <c r="E106" i="75"/>
  <c r="E107" i="75"/>
  <c r="E108" i="75"/>
  <c r="E109" i="75"/>
  <c r="E110" i="75"/>
  <c r="E111" i="75"/>
  <c r="E112" i="75"/>
  <c r="E113" i="75"/>
  <c r="E114" i="75"/>
  <c r="E115" i="75"/>
  <c r="E116" i="75"/>
  <c r="E117" i="75"/>
  <c r="E118" i="75"/>
  <c r="E119" i="75"/>
  <c r="E120" i="75"/>
  <c r="E121" i="75"/>
  <c r="E122" i="75"/>
  <c r="E123" i="75"/>
  <c r="E124" i="75"/>
  <c r="E125" i="75"/>
  <c r="E126" i="75"/>
  <c r="E127" i="75"/>
  <c r="E128" i="75"/>
  <c r="E129" i="75"/>
  <c r="E130" i="75"/>
  <c r="E131" i="75"/>
  <c r="E132" i="75"/>
  <c r="E133" i="75"/>
  <c r="E134" i="75"/>
  <c r="E135" i="75"/>
  <c r="E136" i="75"/>
  <c r="E137" i="75"/>
  <c r="E138" i="75"/>
  <c r="E139" i="75"/>
  <c r="E140" i="75"/>
  <c r="E141" i="75"/>
  <c r="E142" i="75"/>
  <c r="E143" i="75"/>
  <c r="E144" i="75"/>
  <c r="E145" i="75"/>
  <c r="E146" i="75"/>
  <c r="E147" i="75"/>
  <c r="E148" i="75"/>
  <c r="E149" i="75"/>
  <c r="E150" i="75"/>
  <c r="E151" i="75"/>
  <c r="E152" i="75"/>
  <c r="E153" i="75"/>
  <c r="E154" i="75"/>
  <c r="E155" i="75"/>
  <c r="E156" i="75"/>
  <c r="E157" i="75"/>
  <c r="E158" i="75"/>
  <c r="E159" i="75"/>
  <c r="E160" i="75"/>
  <c r="E161" i="75"/>
  <c r="E162" i="75"/>
  <c r="E163" i="75"/>
  <c r="E164" i="75"/>
  <c r="E165" i="75"/>
  <c r="E166" i="75"/>
  <c r="E167" i="75"/>
  <c r="E168" i="75"/>
  <c r="E169" i="75"/>
  <c r="E170" i="75"/>
  <c r="E171" i="75"/>
  <c r="E172" i="75"/>
  <c r="E173" i="75"/>
  <c r="E174" i="75"/>
  <c r="E175" i="75"/>
  <c r="E176" i="75"/>
  <c r="E177" i="75"/>
  <c r="E178" i="75"/>
  <c r="E179" i="75"/>
  <c r="E180" i="75"/>
  <c r="E181" i="75"/>
  <c r="E182" i="75"/>
  <c r="E183" i="75"/>
  <c r="E184" i="75"/>
  <c r="E185" i="75"/>
  <c r="E186" i="75"/>
  <c r="E187" i="75"/>
  <c r="E188" i="75"/>
  <c r="E189" i="75"/>
  <c r="E190" i="75"/>
  <c r="E191" i="75"/>
  <c r="E192" i="75"/>
  <c r="E193" i="75"/>
  <c r="E194" i="75"/>
  <c r="E195" i="75"/>
  <c r="E196" i="75"/>
  <c r="E197" i="75"/>
  <c r="E198" i="75"/>
  <c r="E199" i="75"/>
  <c r="E200" i="75"/>
  <c r="E201" i="75"/>
  <c r="E202" i="75"/>
  <c r="E203" i="75"/>
  <c r="E204" i="75"/>
  <c r="E205" i="75"/>
  <c r="E206" i="75"/>
  <c r="E207" i="75"/>
  <c r="E208" i="75"/>
  <c r="E209" i="75"/>
  <c r="E210" i="75"/>
  <c r="E211" i="75"/>
  <c r="E212" i="75"/>
  <c r="E213" i="75"/>
  <c r="E214" i="75"/>
  <c r="E215" i="75"/>
  <c r="E216" i="75"/>
  <c r="E217" i="75"/>
  <c r="E218" i="75"/>
  <c r="E219" i="75"/>
  <c r="E220" i="75"/>
  <c r="E221" i="75"/>
  <c r="E222" i="75"/>
  <c r="E223" i="75"/>
  <c r="E224" i="75"/>
  <c r="E225" i="75"/>
  <c r="E226" i="75"/>
  <c r="E227" i="75"/>
  <c r="E228" i="75"/>
  <c r="E229" i="75"/>
  <c r="E230" i="75"/>
  <c r="E231" i="75"/>
  <c r="E232" i="75"/>
  <c r="E233" i="75"/>
  <c r="E234" i="75"/>
  <c r="E235" i="75"/>
  <c r="E236" i="75"/>
  <c r="E237" i="75"/>
  <c r="E238" i="75"/>
  <c r="E239" i="75"/>
  <c r="E240" i="75"/>
  <c r="E241" i="75"/>
  <c r="E242" i="75"/>
  <c r="E243" i="75"/>
  <c r="E244" i="75"/>
  <c r="E245" i="75"/>
  <c r="E246" i="75"/>
  <c r="E247" i="75"/>
  <c r="E248" i="75"/>
  <c r="E249" i="75"/>
  <c r="E250" i="75"/>
  <c r="E251" i="75"/>
  <c r="E252" i="75"/>
  <c r="E253" i="75"/>
  <c r="E254" i="75"/>
  <c r="E255" i="75"/>
  <c r="E256" i="75"/>
  <c r="E257" i="75"/>
  <c r="E258" i="75"/>
  <c r="E259" i="75"/>
  <c r="E260" i="75"/>
  <c r="E261" i="75"/>
  <c r="E262" i="75"/>
  <c r="E263" i="75"/>
  <c r="E264" i="75"/>
  <c r="E265" i="75"/>
  <c r="E266" i="75"/>
  <c r="E267" i="75"/>
  <c r="E268" i="75"/>
  <c r="E269" i="75"/>
  <c r="E270" i="75"/>
  <c r="E271" i="75"/>
  <c r="E272" i="75"/>
  <c r="E273" i="75"/>
  <c r="E274" i="75"/>
  <c r="E275" i="75"/>
  <c r="E276" i="75"/>
  <c r="E277" i="75"/>
  <c r="E278" i="75"/>
  <c r="E279" i="75"/>
  <c r="E280" i="75"/>
  <c r="E281" i="75"/>
  <c r="E282" i="75"/>
  <c r="E283" i="75"/>
  <c r="E284" i="75"/>
  <c r="E285" i="75"/>
  <c r="E286" i="75"/>
  <c r="E287" i="75"/>
  <c r="E288" i="75"/>
  <c r="E289" i="75"/>
  <c r="E290" i="75"/>
  <c r="E291" i="75"/>
  <c r="E292" i="75"/>
  <c r="E293" i="75"/>
  <c r="E294" i="75"/>
  <c r="E295" i="75"/>
  <c r="E296" i="75"/>
  <c r="E297" i="75"/>
  <c r="E298" i="75"/>
  <c r="E299" i="75"/>
  <c r="E300" i="75"/>
  <c r="E301" i="75"/>
  <c r="E302" i="75"/>
  <c r="E303" i="75"/>
  <c r="E304" i="75"/>
  <c r="E305" i="75"/>
  <c r="E306" i="75"/>
  <c r="E307" i="75"/>
  <c r="E308" i="75"/>
  <c r="E309" i="75"/>
  <c r="E310" i="75"/>
  <c r="E311" i="75"/>
  <c r="E312" i="75"/>
  <c r="E313" i="75"/>
  <c r="E314" i="75"/>
  <c r="E315" i="75"/>
  <c r="E316" i="75"/>
  <c r="E317" i="75"/>
  <c r="E318" i="75"/>
  <c r="E319" i="75"/>
  <c r="E320" i="75"/>
  <c r="E321" i="75"/>
  <c r="E322" i="75"/>
  <c r="E323" i="75"/>
  <c r="E324" i="75"/>
  <c r="E325" i="75"/>
  <c r="E326" i="75"/>
  <c r="E327" i="75"/>
  <c r="E328" i="75"/>
  <c r="E329" i="75"/>
  <c r="E330" i="75"/>
  <c r="E331" i="75"/>
  <c r="E332" i="75"/>
  <c r="E333" i="75"/>
  <c r="E334" i="75"/>
  <c r="E335" i="75"/>
  <c r="E336" i="75"/>
  <c r="E337" i="75"/>
  <c r="E338" i="75"/>
  <c r="E339" i="75"/>
  <c r="E340" i="75"/>
  <c r="E341" i="75"/>
  <c r="E342" i="75"/>
  <c r="E343" i="75"/>
  <c r="E344" i="75"/>
  <c r="E345" i="75"/>
  <c r="E346" i="75"/>
  <c r="E347" i="75"/>
  <c r="E348" i="75"/>
  <c r="E349" i="75"/>
  <c r="E350" i="75"/>
  <c r="E351" i="75"/>
  <c r="E352" i="75"/>
  <c r="E353" i="75"/>
  <c r="E354" i="75"/>
  <c r="E355" i="75"/>
  <c r="E356" i="75"/>
  <c r="E357" i="75"/>
  <c r="E358" i="75"/>
  <c r="E359" i="75"/>
  <c r="E360" i="75"/>
  <c r="E361" i="75"/>
  <c r="E362" i="75"/>
  <c r="E363" i="75"/>
  <c r="E364" i="75"/>
  <c r="E365" i="75"/>
  <c r="E366" i="75"/>
  <c r="E367" i="75"/>
  <c r="E368" i="75"/>
  <c r="E369" i="75"/>
  <c r="E370" i="75"/>
  <c r="E371" i="75"/>
  <c r="E372" i="75"/>
  <c r="E373" i="75"/>
  <c r="E374" i="75"/>
  <c r="E375" i="75"/>
  <c r="E376" i="75"/>
  <c r="E377" i="75"/>
  <c r="E378" i="75"/>
  <c r="E379" i="75"/>
  <c r="E380" i="75"/>
  <c r="E381" i="75"/>
  <c r="E382" i="75"/>
  <c r="E383" i="75"/>
  <c r="E384" i="75"/>
  <c r="E385" i="75"/>
  <c r="E386" i="75"/>
  <c r="E387" i="75"/>
  <c r="E388" i="75"/>
  <c r="E389" i="75"/>
  <c r="E390" i="75"/>
  <c r="E391" i="75"/>
  <c r="E392" i="75"/>
  <c r="E393" i="75"/>
  <c r="E394" i="75"/>
  <c r="E395" i="75"/>
  <c r="E396" i="75"/>
  <c r="E397" i="75"/>
  <c r="E398" i="75"/>
  <c r="E399" i="75"/>
  <c r="E400" i="75"/>
  <c r="E401" i="75"/>
  <c r="E402" i="75"/>
  <c r="E403" i="75"/>
  <c r="E404" i="75"/>
  <c r="E405" i="75"/>
  <c r="E406" i="75"/>
  <c r="E407" i="75"/>
  <c r="E408" i="75"/>
  <c r="E409" i="75"/>
  <c r="E410" i="75"/>
  <c r="E411" i="75"/>
  <c r="E412" i="75"/>
  <c r="E413" i="75"/>
  <c r="E414" i="75"/>
  <c r="E415" i="75"/>
  <c r="E416" i="75"/>
  <c r="E417" i="75"/>
  <c r="E418" i="75"/>
  <c r="E419" i="75"/>
  <c r="E420" i="75"/>
  <c r="E421" i="75"/>
  <c r="E422" i="75"/>
  <c r="E423" i="75"/>
  <c r="E424" i="75"/>
  <c r="E425" i="75"/>
  <c r="E426" i="75"/>
  <c r="E427" i="75"/>
  <c r="E428" i="75"/>
  <c r="E429" i="75"/>
  <c r="E430" i="75"/>
  <c r="E431" i="75"/>
  <c r="E432" i="75"/>
  <c r="E433" i="75"/>
  <c r="E434" i="75"/>
  <c r="E435" i="75"/>
  <c r="E436" i="75"/>
  <c r="E437" i="75"/>
  <c r="E438" i="75"/>
  <c r="E439" i="75"/>
  <c r="E440" i="75"/>
  <c r="E441" i="75"/>
  <c r="E442" i="75"/>
  <c r="E443" i="75"/>
  <c r="E444" i="75"/>
  <c r="E445" i="75"/>
  <c r="E446" i="75"/>
  <c r="E447" i="75"/>
  <c r="E448" i="75"/>
  <c r="E449" i="75"/>
  <c r="E450" i="75"/>
  <c r="E451" i="75"/>
  <c r="E452" i="75"/>
  <c r="E453" i="75"/>
  <c r="E454" i="75"/>
  <c r="E455" i="75"/>
  <c r="E456" i="75"/>
  <c r="E457" i="75"/>
  <c r="E458" i="75"/>
  <c r="E459" i="75"/>
  <c r="E460" i="75"/>
  <c r="E461" i="75"/>
  <c r="E462" i="75"/>
  <c r="E463" i="75"/>
  <c r="E464" i="75"/>
  <c r="E465" i="75"/>
  <c r="E466" i="75"/>
  <c r="E467" i="75"/>
  <c r="E468" i="75"/>
  <c r="E469" i="75"/>
  <c r="E470" i="75"/>
  <c r="E471" i="75"/>
  <c r="E472" i="75"/>
  <c r="E473" i="75"/>
  <c r="E474" i="75"/>
  <c r="E475" i="75"/>
  <c r="E476" i="75"/>
  <c r="E477" i="75"/>
  <c r="E478" i="75"/>
  <c r="E479" i="75"/>
  <c r="E480" i="75"/>
  <c r="E481" i="75"/>
  <c r="E482" i="75"/>
  <c r="E483" i="75"/>
  <c r="E484" i="75"/>
  <c r="E485" i="75"/>
  <c r="E486" i="75"/>
  <c r="E487" i="75"/>
  <c r="E488" i="75"/>
  <c r="E489" i="75"/>
  <c r="E490" i="75"/>
  <c r="E491" i="75"/>
  <c r="E492" i="75"/>
  <c r="E493" i="75"/>
  <c r="E494" i="75"/>
  <c r="E495" i="75"/>
  <c r="E496" i="75"/>
  <c r="E497" i="75"/>
  <c r="E498" i="75"/>
  <c r="E499" i="75"/>
  <c r="E500" i="75"/>
  <c r="E501" i="75"/>
  <c r="E502" i="75"/>
  <c r="E503" i="75"/>
  <c r="E504" i="75"/>
  <c r="E505" i="75"/>
  <c r="E506" i="75"/>
  <c r="E507" i="75"/>
  <c r="E508" i="75"/>
  <c r="E509" i="75"/>
  <c r="E510" i="75"/>
  <c r="E511" i="75"/>
  <c r="E512" i="75"/>
  <c r="E513" i="75"/>
  <c r="E514" i="75"/>
  <c r="E515" i="75"/>
  <c r="E516" i="75"/>
  <c r="E517" i="75"/>
  <c r="E518" i="75"/>
  <c r="E519" i="75"/>
  <c r="E520" i="75"/>
  <c r="E521" i="75"/>
  <c r="E522" i="75"/>
  <c r="E523" i="75"/>
  <c r="E524" i="75"/>
  <c r="E525" i="75"/>
  <c r="E526" i="75"/>
  <c r="E527" i="75"/>
  <c r="E528" i="75"/>
  <c r="E529" i="75"/>
  <c r="E530" i="75"/>
  <c r="E531" i="75"/>
  <c r="E532" i="75"/>
  <c r="E533" i="75"/>
  <c r="E534" i="75"/>
  <c r="E535" i="75"/>
  <c r="E536" i="75"/>
  <c r="E537" i="75"/>
  <c r="E538" i="75"/>
  <c r="E539" i="75"/>
  <c r="E540" i="75"/>
  <c r="E541" i="75"/>
  <c r="E542" i="75"/>
  <c r="E543" i="75"/>
  <c r="E544" i="75"/>
  <c r="E545" i="75"/>
  <c r="E546" i="75"/>
  <c r="E547" i="75"/>
  <c r="E548" i="75"/>
  <c r="E549" i="75"/>
  <c r="E550" i="75"/>
  <c r="E551" i="75"/>
  <c r="E552" i="75"/>
  <c r="E553" i="75"/>
  <c r="E554" i="75"/>
  <c r="E555" i="75"/>
  <c r="E556" i="75"/>
  <c r="E557" i="75"/>
  <c r="E558" i="75"/>
  <c r="E559" i="75"/>
  <c r="E560" i="75"/>
  <c r="E561" i="75"/>
  <c r="E562" i="75"/>
  <c r="E563" i="75"/>
  <c r="E564" i="75"/>
  <c r="E565" i="75"/>
  <c r="E566" i="75"/>
  <c r="E567" i="75"/>
  <c r="E568" i="75"/>
  <c r="E569" i="75"/>
  <c r="E570" i="75"/>
  <c r="E571" i="75"/>
  <c r="E572" i="75"/>
  <c r="E573" i="75"/>
  <c r="E574" i="75"/>
  <c r="E575" i="75"/>
  <c r="E576" i="75"/>
  <c r="E577" i="75"/>
  <c r="E578" i="75"/>
  <c r="E579" i="75"/>
  <c r="E580" i="75"/>
  <c r="E581" i="75"/>
  <c r="E582" i="75"/>
  <c r="E583" i="75"/>
  <c r="E584" i="75"/>
  <c r="E585" i="75"/>
  <c r="E586" i="75"/>
  <c r="E587" i="75"/>
  <c r="E588" i="75"/>
  <c r="E589" i="75"/>
  <c r="E590" i="75"/>
  <c r="E591" i="75"/>
  <c r="E592" i="75"/>
  <c r="E593" i="75"/>
  <c r="E594" i="75"/>
  <c r="E595" i="75"/>
  <c r="E596" i="75"/>
  <c r="E597" i="75"/>
  <c r="E598" i="75"/>
  <c r="E599" i="75"/>
  <c r="E600" i="75"/>
  <c r="E601" i="75"/>
  <c r="E602" i="75"/>
  <c r="E603" i="75"/>
  <c r="E604" i="75"/>
  <c r="E605" i="75"/>
  <c r="E606" i="75"/>
  <c r="E607" i="75"/>
  <c r="E608" i="75"/>
  <c r="E609" i="75"/>
  <c r="E610" i="75"/>
  <c r="E611" i="75"/>
  <c r="E612" i="75"/>
  <c r="E613" i="75"/>
  <c r="E614" i="75"/>
  <c r="E615" i="75"/>
  <c r="E616" i="75"/>
  <c r="E617" i="75"/>
  <c r="E618" i="75"/>
  <c r="E619" i="75"/>
  <c r="E620" i="75"/>
  <c r="E621" i="75"/>
  <c r="E622" i="75"/>
  <c r="E623" i="75"/>
  <c r="E624" i="75"/>
  <c r="E625" i="75"/>
  <c r="E626" i="75"/>
  <c r="E627" i="75"/>
  <c r="E628" i="75"/>
  <c r="E629" i="75"/>
  <c r="E630" i="75"/>
  <c r="E631" i="75"/>
  <c r="E632" i="75"/>
  <c r="E633" i="75"/>
  <c r="E634" i="75"/>
  <c r="E635" i="75"/>
  <c r="E636" i="75"/>
  <c r="E637" i="75"/>
  <c r="E638" i="75"/>
  <c r="E639" i="75"/>
  <c r="E640" i="75"/>
  <c r="E641" i="75"/>
  <c r="E642" i="75"/>
  <c r="E643" i="75"/>
  <c r="E644" i="75"/>
  <c r="E645" i="75"/>
  <c r="E646" i="75"/>
  <c r="E647" i="75"/>
  <c r="E648" i="75"/>
  <c r="E649" i="75"/>
  <c r="E650" i="75"/>
  <c r="E651" i="75"/>
  <c r="E652" i="75"/>
  <c r="E653" i="75"/>
  <c r="E654" i="75"/>
  <c r="E655" i="75"/>
  <c r="E656" i="75"/>
  <c r="E657" i="75"/>
  <c r="E658" i="75"/>
  <c r="E659" i="75"/>
  <c r="E660" i="75"/>
  <c r="E661" i="75"/>
  <c r="E662" i="75"/>
  <c r="E663" i="75"/>
  <c r="E664" i="75"/>
  <c r="E665" i="75"/>
  <c r="E666" i="75"/>
  <c r="E667" i="75"/>
  <c r="E668" i="75"/>
  <c r="E669" i="75"/>
  <c r="E670" i="75"/>
  <c r="E671" i="75"/>
  <c r="E672" i="75"/>
  <c r="E673" i="75"/>
  <c r="E674" i="75"/>
  <c r="E675" i="75"/>
  <c r="E676" i="75"/>
  <c r="E677" i="75"/>
  <c r="E678" i="75"/>
  <c r="E679" i="75"/>
  <c r="E680" i="75"/>
  <c r="E681" i="75"/>
  <c r="E682" i="75"/>
  <c r="E683" i="75"/>
  <c r="E684" i="75"/>
  <c r="E685" i="75"/>
  <c r="E686" i="75"/>
  <c r="E687" i="75"/>
  <c r="E688" i="75"/>
  <c r="E689" i="75"/>
  <c r="E690" i="75"/>
  <c r="E691" i="75"/>
  <c r="E692" i="75"/>
  <c r="E693" i="75"/>
  <c r="E694" i="75"/>
  <c r="E695" i="75"/>
  <c r="E696" i="75"/>
  <c r="E697" i="75"/>
  <c r="E698" i="75"/>
  <c r="E699" i="75"/>
  <c r="E700" i="75"/>
  <c r="E701" i="75"/>
  <c r="E702" i="75"/>
  <c r="E703" i="75"/>
  <c r="E704" i="75"/>
  <c r="E705" i="75"/>
  <c r="E706" i="75"/>
  <c r="E707" i="75"/>
  <c r="E708" i="75"/>
  <c r="E709" i="75"/>
  <c r="E710" i="75"/>
  <c r="E711" i="75"/>
  <c r="E712" i="75"/>
  <c r="E713" i="75"/>
  <c r="E714" i="75"/>
  <c r="E715" i="75"/>
  <c r="E716" i="75"/>
  <c r="E717" i="75"/>
  <c r="E718" i="75"/>
  <c r="E719" i="75"/>
  <c r="E720" i="75"/>
  <c r="E721" i="75"/>
  <c r="E722" i="75"/>
  <c r="E723" i="75"/>
  <c r="E724" i="75"/>
  <c r="E725" i="75"/>
  <c r="E726" i="75"/>
  <c r="E727" i="75"/>
  <c r="E728" i="75"/>
  <c r="E729" i="75"/>
  <c r="E730" i="75"/>
  <c r="E731" i="75"/>
  <c r="E732" i="75"/>
  <c r="E733" i="75"/>
  <c r="E734" i="75"/>
  <c r="E735" i="75"/>
  <c r="E736" i="75"/>
  <c r="E737" i="75"/>
  <c r="E738" i="75"/>
  <c r="E739" i="75"/>
  <c r="E740" i="75"/>
  <c r="E741" i="75"/>
  <c r="E742" i="75"/>
  <c r="E743" i="75"/>
  <c r="E744" i="75"/>
  <c r="E745" i="75"/>
  <c r="E746" i="75"/>
  <c r="E747" i="75"/>
  <c r="E748" i="75"/>
  <c r="E749" i="75"/>
  <c r="E750" i="75"/>
  <c r="E751" i="75"/>
  <c r="E752" i="75"/>
  <c r="E753" i="75"/>
  <c r="E754" i="75"/>
  <c r="E755" i="75"/>
  <c r="E756" i="75"/>
  <c r="E757" i="75"/>
  <c r="E758" i="75"/>
  <c r="E759" i="75"/>
  <c r="E760" i="75"/>
  <c r="E761" i="75"/>
  <c r="E762" i="75"/>
  <c r="E763" i="75"/>
  <c r="E764" i="75"/>
  <c r="E765" i="75"/>
  <c r="E766" i="75"/>
  <c r="E767" i="75"/>
  <c r="E768" i="75"/>
  <c r="E769" i="75"/>
  <c r="E770" i="75"/>
  <c r="E771" i="75"/>
  <c r="E772" i="75"/>
  <c r="E773" i="75"/>
  <c r="E774" i="75"/>
  <c r="E775" i="75"/>
  <c r="E776" i="75"/>
  <c r="E777" i="75"/>
  <c r="E778" i="75"/>
  <c r="E779" i="75"/>
  <c r="E780" i="75"/>
  <c r="E781" i="75"/>
  <c r="E782" i="75"/>
  <c r="E783" i="75"/>
  <c r="E784" i="75"/>
  <c r="E785" i="75"/>
  <c r="E786" i="75"/>
  <c r="E787" i="75"/>
  <c r="E788" i="75"/>
  <c r="E789" i="75"/>
  <c r="E790" i="75"/>
  <c r="E791" i="75"/>
  <c r="E792" i="75"/>
  <c r="E793" i="75"/>
  <c r="E794" i="75"/>
  <c r="E795" i="75"/>
  <c r="E796" i="75"/>
  <c r="E797" i="75"/>
  <c r="E798" i="75"/>
  <c r="E799" i="75"/>
  <c r="E800" i="75"/>
  <c r="E801" i="75"/>
  <c r="E802" i="75"/>
  <c r="E803" i="75"/>
  <c r="E804" i="75"/>
  <c r="E805" i="75"/>
  <c r="E806" i="75"/>
  <c r="E807" i="75"/>
  <c r="E808" i="75"/>
  <c r="E809" i="75"/>
  <c r="E810" i="75"/>
  <c r="E811" i="75"/>
  <c r="E812" i="75"/>
  <c r="E813" i="75"/>
  <c r="E814" i="75"/>
  <c r="E815" i="75"/>
  <c r="E816" i="75"/>
  <c r="E817" i="75"/>
  <c r="E818" i="75"/>
  <c r="E819" i="75"/>
  <c r="E820" i="75"/>
  <c r="E821" i="75"/>
  <c r="E822" i="75"/>
  <c r="E823" i="75"/>
  <c r="E824" i="75"/>
  <c r="E825" i="75"/>
  <c r="E826" i="75"/>
  <c r="E827" i="75"/>
  <c r="E828" i="75"/>
  <c r="E829" i="75"/>
  <c r="E830" i="75"/>
  <c r="E831" i="75"/>
  <c r="E832" i="75"/>
  <c r="E833" i="75"/>
  <c r="E834" i="75"/>
  <c r="E835" i="75"/>
  <c r="E836" i="75"/>
  <c r="E6" i="75"/>
  <c r="E7" i="75"/>
  <c r="E8" i="75"/>
  <c r="E9" i="75"/>
  <c r="E10" i="75"/>
  <c r="E11" i="75"/>
  <c r="E12" i="75"/>
  <c r="E13" i="75"/>
  <c r="E14" i="75"/>
  <c r="E15" i="75"/>
  <c r="E16" i="75"/>
  <c r="E17" i="75"/>
  <c r="E3" i="75"/>
  <c r="E4" i="75"/>
  <c r="E5" i="75"/>
  <c r="E2" i="75"/>
  <c r="AN3" i="25"/>
  <c r="C128" i="6"/>
  <c r="C127" i="6"/>
  <c r="C126" i="6"/>
  <c r="C125" i="6"/>
  <c r="C124" i="6"/>
  <c r="C123" i="6"/>
  <c r="C122" i="6"/>
  <c r="M13" i="4"/>
  <c r="L13" i="4"/>
  <c r="K13" i="4"/>
  <c r="J13" i="4"/>
  <c r="I13" i="4"/>
  <c r="H13" i="4"/>
  <c r="G13" i="4"/>
  <c r="F13" i="4"/>
  <c r="B2" i="27" a="1"/>
  <c r="J2" i="27"/>
  <c r="I2" i="27"/>
  <c r="H2" i="27"/>
  <c r="G2" i="27"/>
  <c r="F2" i="27"/>
  <c r="E2" i="27"/>
  <c r="D2" i="27"/>
  <c r="C2" i="27"/>
  <c r="B2" i="27"/>
  <c r="C4" i="5" a="1"/>
  <c r="C4" i="5"/>
  <c r="C5" i="5"/>
  <c r="C6" i="5"/>
  <c r="C7" i="5"/>
  <c r="C8" i="5"/>
  <c r="C9" i="5"/>
  <c r="C10" i="5"/>
  <c r="C11" i="5"/>
  <c r="C12" i="5"/>
  <c r="L4" i="5"/>
  <c r="L5" i="5"/>
  <c r="L6" i="5"/>
  <c r="L7" i="5"/>
  <c r="L8" i="5"/>
  <c r="L9" i="5"/>
  <c r="L10" i="5"/>
  <c r="L11" i="5"/>
  <c r="L12" i="5"/>
  <c r="M5" i="1"/>
  <c r="D5" i="4" a="1"/>
  <c r="D5" i="4"/>
  <c r="M715" i="38"/>
  <c r="M714" i="38"/>
  <c r="M713" i="38"/>
  <c r="M712" i="38"/>
  <c r="M711" i="38"/>
  <c r="M710" i="38"/>
  <c r="M709" i="38"/>
  <c r="M708" i="38"/>
  <c r="M707" i="38"/>
  <c r="M706" i="38"/>
  <c r="A706" i="38" a="1"/>
  <c r="A706" i="38"/>
  <c r="A707" i="38"/>
  <c r="A708" i="38"/>
  <c r="A709" i="38"/>
  <c r="A710" i="38"/>
  <c r="A711" i="38"/>
  <c r="A712" i="38"/>
  <c r="A713" i="38"/>
  <c r="M704" i="38"/>
  <c r="M703" i="38"/>
  <c r="M702" i="38"/>
  <c r="M701" i="38"/>
  <c r="M700" i="38"/>
  <c r="M699" i="38"/>
  <c r="M698" i="38"/>
  <c r="M697" i="38"/>
  <c r="M696" i="38"/>
  <c r="A696" i="38" a="1"/>
  <c r="A696" i="38"/>
  <c r="A697" i="38"/>
  <c r="A698" i="38"/>
  <c r="A699" i="38"/>
  <c r="A700" i="38"/>
  <c r="A701" i="38"/>
  <c r="A702" i="38"/>
  <c r="A703" i="38"/>
  <c r="A687" i="38" a="1"/>
  <c r="A687" i="38"/>
  <c r="A688" i="38"/>
  <c r="A689" i="38"/>
  <c r="A690" i="38"/>
  <c r="A691" i="38"/>
  <c r="A692" i="38"/>
  <c r="A693" i="38"/>
  <c r="A694" i="38"/>
  <c r="M685" i="38"/>
  <c r="M684" i="38"/>
  <c r="M683" i="38"/>
  <c r="M682" i="38"/>
  <c r="M681" i="38"/>
  <c r="M680" i="38"/>
  <c r="M679" i="38"/>
  <c r="M678" i="38"/>
  <c r="M677" i="38"/>
  <c r="A677" i="38" a="1"/>
  <c r="A677" i="38"/>
  <c r="A678" i="38"/>
  <c r="A679" i="38"/>
  <c r="A680" i="38"/>
  <c r="A681" i="38"/>
  <c r="A682" i="38"/>
  <c r="A683" i="38"/>
  <c r="A684" i="38"/>
  <c r="M675" i="38"/>
  <c r="M674" i="38"/>
  <c r="M673" i="38"/>
  <c r="M672" i="38"/>
  <c r="M671" i="38"/>
  <c r="M670" i="38"/>
  <c r="M669" i="38"/>
  <c r="M668" i="38"/>
  <c r="A668" i="38" a="1"/>
  <c r="A668" i="38"/>
  <c r="A669" i="38"/>
  <c r="A670" i="38"/>
  <c r="A671" i="38"/>
  <c r="A672" i="38"/>
  <c r="A673" i="38"/>
  <c r="A674" i="38"/>
  <c r="A675" i="38"/>
  <c r="M666" i="38"/>
  <c r="M665" i="38"/>
  <c r="M664" i="38"/>
  <c r="M663" i="38"/>
  <c r="M662" i="38"/>
  <c r="M661" i="38"/>
  <c r="M660" i="38"/>
  <c r="M659" i="38"/>
  <c r="A659" i="38" a="1"/>
  <c r="A659" i="38"/>
  <c r="A660" i="38"/>
  <c r="A661" i="38"/>
  <c r="A662" i="38"/>
  <c r="A663" i="38"/>
  <c r="A664" i="38"/>
  <c r="A665" i="38"/>
  <c r="A666" i="38"/>
  <c r="M657" i="38"/>
  <c r="M656" i="38"/>
  <c r="M655" i="38"/>
  <c r="M654" i="38"/>
  <c r="M653" i="38"/>
  <c r="M652" i="38"/>
  <c r="M651" i="38"/>
  <c r="M650" i="38"/>
  <c r="A650" i="38" a="1"/>
  <c r="A650" i="38"/>
  <c r="A651" i="38"/>
  <c r="A652" i="38"/>
  <c r="A653" i="38"/>
  <c r="A654" i="38"/>
  <c r="A655" i="38"/>
  <c r="A656" i="38"/>
  <c r="A657" i="38"/>
  <c r="M648" i="38"/>
  <c r="M647" i="38"/>
  <c r="M646" i="38"/>
  <c r="M645" i="38"/>
  <c r="M644" i="38"/>
  <c r="M643" i="38"/>
  <c r="M642" i="38"/>
  <c r="M641" i="38"/>
  <c r="A641" i="38" a="1"/>
  <c r="A641" i="38"/>
  <c r="A642" i="38"/>
  <c r="A643" i="38"/>
  <c r="A644" i="38"/>
  <c r="A645" i="38"/>
  <c r="A646" i="38"/>
  <c r="A647" i="38"/>
  <c r="A648" i="38"/>
  <c r="M639" i="38"/>
  <c r="M638" i="38"/>
  <c r="M637" i="38"/>
  <c r="M636" i="38"/>
  <c r="M635" i="38"/>
  <c r="M634" i="38"/>
  <c r="M633" i="38"/>
  <c r="M632" i="38"/>
  <c r="A632" i="38" a="1"/>
  <c r="A632" i="38"/>
  <c r="A633" i="38"/>
  <c r="A634" i="38"/>
  <c r="A635" i="38"/>
  <c r="A636" i="38"/>
  <c r="A637" i="38"/>
  <c r="A638" i="38"/>
  <c r="A639" i="38"/>
  <c r="M630" i="38"/>
  <c r="M629" i="38"/>
  <c r="M628" i="38"/>
  <c r="M627" i="38"/>
  <c r="M626" i="38"/>
  <c r="M625" i="38"/>
  <c r="M624" i="38"/>
  <c r="M623" i="38"/>
  <c r="A623" i="38" a="1"/>
  <c r="A623" i="38"/>
  <c r="A624" i="38"/>
  <c r="A625" i="38"/>
  <c r="A626" i="38"/>
  <c r="A627" i="38"/>
  <c r="A628" i="38"/>
  <c r="A629" i="38"/>
  <c r="A630" i="38"/>
  <c r="M621" i="38"/>
  <c r="M620" i="38"/>
  <c r="M619" i="38"/>
  <c r="M618" i="38"/>
  <c r="M617" i="38"/>
  <c r="M616" i="38"/>
  <c r="M615" i="38"/>
  <c r="M614" i="38"/>
  <c r="A614" i="38" a="1"/>
  <c r="A614" i="38"/>
  <c r="A615" i="38"/>
  <c r="A616" i="38"/>
  <c r="A617" i="38"/>
  <c r="A618" i="38"/>
  <c r="A619" i="38"/>
  <c r="A620" i="38"/>
  <c r="A621" i="38"/>
  <c r="M612" i="38"/>
  <c r="M611" i="38"/>
  <c r="M610" i="38"/>
  <c r="M609" i="38"/>
  <c r="M608" i="38"/>
  <c r="M607" i="38"/>
  <c r="M606" i="38"/>
  <c r="M605" i="38"/>
  <c r="A605" i="38" a="1"/>
  <c r="A605" i="38"/>
  <c r="A606" i="38"/>
  <c r="A607" i="38"/>
  <c r="A608" i="38"/>
  <c r="A609" i="38"/>
  <c r="A610" i="38"/>
  <c r="A611" i="38"/>
  <c r="A612" i="38"/>
  <c r="M603" i="38"/>
  <c r="M602" i="38"/>
  <c r="M601" i="38"/>
  <c r="M600" i="38"/>
  <c r="M599" i="38"/>
  <c r="M598" i="38"/>
  <c r="M597" i="38"/>
  <c r="M596" i="38"/>
  <c r="A596" i="38" a="1"/>
  <c r="A596" i="38"/>
  <c r="A597" i="38"/>
  <c r="A598" i="38"/>
  <c r="A599" i="38"/>
  <c r="A600" i="38"/>
  <c r="A601" i="38"/>
  <c r="A602" i="38"/>
  <c r="A603" i="38"/>
  <c r="M594" i="38"/>
  <c r="M593" i="38"/>
  <c r="M592" i="38"/>
  <c r="M591" i="38"/>
  <c r="M590" i="38"/>
  <c r="M589" i="38"/>
  <c r="M588" i="38"/>
  <c r="M587" i="38"/>
  <c r="A587" i="38" a="1"/>
  <c r="A587" i="38"/>
  <c r="A588" i="38"/>
  <c r="A589" i="38"/>
  <c r="A590" i="38"/>
  <c r="A591" i="38"/>
  <c r="A592" i="38"/>
  <c r="A593" i="38"/>
  <c r="A594" i="38"/>
  <c r="M585" i="38"/>
  <c r="M584" i="38"/>
  <c r="M583" i="38"/>
  <c r="M582" i="38"/>
  <c r="M581" i="38"/>
  <c r="M580" i="38"/>
  <c r="M579" i="38"/>
  <c r="M578" i="38"/>
  <c r="A578" i="38" a="1"/>
  <c r="A578" i="38"/>
  <c r="A579" i="38"/>
  <c r="A580" i="38"/>
  <c r="A581" i="38"/>
  <c r="A582" i="38"/>
  <c r="A583" i="38"/>
  <c r="A584" i="38"/>
  <c r="A585" i="38"/>
  <c r="M576" i="38"/>
  <c r="M575" i="38"/>
  <c r="M574" i="38"/>
  <c r="M573" i="38"/>
  <c r="M572" i="38"/>
  <c r="M571" i="38"/>
  <c r="M570" i="38"/>
  <c r="M569" i="38"/>
  <c r="A569" i="38" a="1"/>
  <c r="A569" i="38"/>
  <c r="A570" i="38"/>
  <c r="A571" i="38"/>
  <c r="A572" i="38"/>
  <c r="A573" i="38"/>
  <c r="A574" i="38"/>
  <c r="A575" i="38"/>
  <c r="A576" i="38"/>
  <c r="M567" i="38"/>
  <c r="M566" i="38"/>
  <c r="M565" i="38"/>
  <c r="M564" i="38"/>
  <c r="M563" i="38"/>
  <c r="M562" i="38"/>
  <c r="M561" i="38"/>
  <c r="M560" i="38"/>
  <c r="A560" i="38" a="1"/>
  <c r="A560" i="38"/>
  <c r="A561" i="38"/>
  <c r="A562" i="38"/>
  <c r="A563" i="38"/>
  <c r="A564" i="38"/>
  <c r="A565" i="38"/>
  <c r="A566" i="38"/>
  <c r="A567" i="38"/>
  <c r="M558" i="38"/>
  <c r="M557" i="38"/>
  <c r="M556" i="38"/>
  <c r="M555" i="38"/>
  <c r="M554" i="38"/>
  <c r="M553" i="38"/>
  <c r="M552" i="38"/>
  <c r="M551" i="38"/>
  <c r="A551" i="38" a="1"/>
  <c r="A551" i="38"/>
  <c r="A552" i="38"/>
  <c r="A553" i="38"/>
  <c r="A554" i="38"/>
  <c r="A555" i="38"/>
  <c r="A556" i="38"/>
  <c r="A557" i="38"/>
  <c r="A558" i="38"/>
  <c r="M549" i="38"/>
  <c r="M548" i="38"/>
  <c r="M547" i="38"/>
  <c r="M546" i="38"/>
  <c r="M545" i="38"/>
  <c r="M544" i="38"/>
  <c r="M543" i="38"/>
  <c r="M542" i="38"/>
  <c r="A542" i="38" a="1"/>
  <c r="A542" i="38"/>
  <c r="A543" i="38"/>
  <c r="A544" i="38"/>
  <c r="A545" i="38"/>
  <c r="A546" i="38"/>
  <c r="A547" i="38"/>
  <c r="A548" i="38"/>
  <c r="A549" i="38"/>
  <c r="M540" i="38"/>
  <c r="M539" i="38"/>
  <c r="M538" i="38"/>
  <c r="M537" i="38"/>
  <c r="M536" i="38"/>
  <c r="M535" i="38"/>
  <c r="M534" i="38"/>
  <c r="M533" i="38"/>
  <c r="A533" i="38" a="1"/>
  <c r="A533" i="38"/>
  <c r="A534" i="38"/>
  <c r="A535" i="38"/>
  <c r="A536" i="38"/>
  <c r="A537" i="38"/>
  <c r="A538" i="38"/>
  <c r="A539" i="38"/>
  <c r="A540" i="38"/>
  <c r="M531" i="38"/>
  <c r="M530" i="38"/>
  <c r="M529" i="38"/>
  <c r="M528" i="38"/>
  <c r="M527" i="38"/>
  <c r="M526" i="38"/>
  <c r="M525" i="38"/>
  <c r="M524" i="38"/>
  <c r="A524" i="38" a="1"/>
  <c r="A524" i="38"/>
  <c r="A525" i="38"/>
  <c r="A526" i="38"/>
  <c r="A527" i="38"/>
  <c r="A528" i="38"/>
  <c r="A529" i="38"/>
  <c r="A530" i="38"/>
  <c r="A531" i="38"/>
  <c r="M522" i="38"/>
  <c r="M521" i="38"/>
  <c r="M520" i="38"/>
  <c r="M519" i="38"/>
  <c r="M518" i="38"/>
  <c r="M517" i="38"/>
  <c r="M516" i="38"/>
  <c r="M515" i="38"/>
  <c r="A515" i="38" a="1"/>
  <c r="A515" i="38"/>
  <c r="A516" i="38"/>
  <c r="A517" i="38"/>
  <c r="A518" i="38"/>
  <c r="A519" i="38"/>
  <c r="A520" i="38"/>
  <c r="A521" i="38"/>
  <c r="A522" i="38"/>
  <c r="M513" i="38"/>
  <c r="M512" i="38"/>
  <c r="M511" i="38"/>
  <c r="M510" i="38"/>
  <c r="M509" i="38"/>
  <c r="M508" i="38"/>
  <c r="M507" i="38"/>
  <c r="M506" i="38"/>
  <c r="A506" i="38" a="1"/>
  <c r="A506" i="38"/>
  <c r="A507" i="38"/>
  <c r="A508" i="38"/>
  <c r="A509" i="38"/>
  <c r="A510" i="38"/>
  <c r="A511" i="38"/>
  <c r="A512" i="38"/>
  <c r="A513" i="38"/>
  <c r="M504" i="38"/>
  <c r="M503" i="38"/>
  <c r="M502" i="38"/>
  <c r="M501" i="38"/>
  <c r="M500" i="38"/>
  <c r="M499" i="38"/>
  <c r="M498" i="38"/>
  <c r="M497" i="38"/>
  <c r="A497" i="38" a="1"/>
  <c r="A497" i="38"/>
  <c r="A498" i="38"/>
  <c r="A499" i="38"/>
  <c r="A500" i="38"/>
  <c r="A501" i="38"/>
  <c r="A502" i="38"/>
  <c r="A503" i="38"/>
  <c r="A504" i="38"/>
  <c r="M495" i="38"/>
  <c r="M494" i="38"/>
  <c r="M493" i="38"/>
  <c r="M492" i="38"/>
  <c r="M491" i="38"/>
  <c r="M490" i="38"/>
  <c r="M489" i="38"/>
  <c r="M488" i="38"/>
  <c r="A488" i="38" a="1"/>
  <c r="A488" i="38"/>
  <c r="A489" i="38"/>
  <c r="A490" i="38"/>
  <c r="A491" i="38"/>
  <c r="A492" i="38"/>
  <c r="A493" i="38"/>
  <c r="A494" i="38"/>
  <c r="A495" i="38"/>
  <c r="M486" i="38"/>
  <c r="M485" i="38"/>
  <c r="M484" i="38"/>
  <c r="M483" i="38"/>
  <c r="M482" i="38"/>
  <c r="M481" i="38"/>
  <c r="M480" i="38"/>
  <c r="M479" i="38"/>
  <c r="A479" i="38" a="1"/>
  <c r="A479" i="38"/>
  <c r="A480" i="38"/>
  <c r="A481" i="38"/>
  <c r="A482" i="38"/>
  <c r="A483" i="38"/>
  <c r="A484" i="38"/>
  <c r="A485" i="38"/>
  <c r="A486" i="38"/>
  <c r="M477" i="38"/>
  <c r="M476" i="38"/>
  <c r="M475" i="38"/>
  <c r="M474" i="38"/>
  <c r="M473" i="38"/>
  <c r="M472" i="38"/>
  <c r="M471" i="38"/>
  <c r="M470" i="38"/>
  <c r="A470" i="38" a="1"/>
  <c r="A470" i="38"/>
  <c r="A471" i="38"/>
  <c r="A472" i="38"/>
  <c r="A473" i="38"/>
  <c r="A474" i="38"/>
  <c r="A475" i="38"/>
  <c r="A476" i="38"/>
  <c r="A477" i="38"/>
  <c r="M468" i="38"/>
  <c r="M467" i="38"/>
  <c r="M466" i="38"/>
  <c r="M465" i="38"/>
  <c r="M464" i="38"/>
  <c r="M463" i="38"/>
  <c r="M462" i="38"/>
  <c r="M461" i="38"/>
  <c r="A461" i="38" a="1"/>
  <c r="A461" i="38"/>
  <c r="A462" i="38"/>
  <c r="A463" i="38"/>
  <c r="A464" i="38"/>
  <c r="A465" i="38"/>
  <c r="A466" i="38"/>
  <c r="A467" i="38"/>
  <c r="A468" i="38"/>
  <c r="M459" i="38"/>
  <c r="M458" i="38"/>
  <c r="M457" i="38"/>
  <c r="M456" i="38"/>
  <c r="M455" i="38"/>
  <c r="M454" i="38"/>
  <c r="M453" i="38"/>
  <c r="M452" i="38"/>
  <c r="A452" i="38" a="1"/>
  <c r="A452" i="38"/>
  <c r="A453" i="38"/>
  <c r="A454" i="38"/>
  <c r="A455" i="38"/>
  <c r="A456" i="38"/>
  <c r="A457" i="38"/>
  <c r="A458" i="38"/>
  <c r="A459" i="38"/>
  <c r="M450" i="38"/>
  <c r="M449" i="38"/>
  <c r="M448" i="38"/>
  <c r="M447" i="38"/>
  <c r="M446" i="38"/>
  <c r="M445" i="38"/>
  <c r="M444" i="38"/>
  <c r="M443" i="38"/>
  <c r="A443" i="38" a="1"/>
  <c r="A443" i="38"/>
  <c r="A444" i="38"/>
  <c r="A445" i="38"/>
  <c r="A446" i="38"/>
  <c r="A447" i="38"/>
  <c r="A448" i="38"/>
  <c r="A449" i="38"/>
  <c r="A450" i="38"/>
  <c r="M441" i="38"/>
  <c r="M440" i="38"/>
  <c r="M439" i="38"/>
  <c r="M438" i="38"/>
  <c r="M437" i="38"/>
  <c r="M436" i="38"/>
  <c r="M435" i="38"/>
  <c r="M434" i="38"/>
  <c r="A434" i="38" a="1"/>
  <c r="A434" i="38"/>
  <c r="A435" i="38"/>
  <c r="A436" i="38"/>
  <c r="A437" i="38"/>
  <c r="A438" i="38"/>
  <c r="A439" i="38"/>
  <c r="A440" i="38"/>
  <c r="A441" i="38"/>
  <c r="M432" i="38"/>
  <c r="M431" i="38"/>
  <c r="M430" i="38"/>
  <c r="M429" i="38"/>
  <c r="M428" i="38"/>
  <c r="M427" i="38"/>
  <c r="M426" i="38"/>
  <c r="M425" i="38"/>
  <c r="A425" i="38" a="1"/>
  <c r="A425" i="38"/>
  <c r="A426" i="38"/>
  <c r="A427" i="38"/>
  <c r="A428" i="38"/>
  <c r="A429" i="38"/>
  <c r="A430" i="38"/>
  <c r="A431" i="38"/>
  <c r="A432" i="38"/>
  <c r="M423" i="38"/>
  <c r="M422" i="38"/>
  <c r="M421" i="38"/>
  <c r="M420" i="38"/>
  <c r="M419" i="38"/>
  <c r="M418" i="38"/>
  <c r="M417" i="38"/>
  <c r="M416" i="38"/>
  <c r="A416" i="38" a="1"/>
  <c r="A416" i="38"/>
  <c r="A417" i="38"/>
  <c r="A418" i="38"/>
  <c r="A419" i="38"/>
  <c r="A420" i="38"/>
  <c r="A421" i="38"/>
  <c r="A422" i="38"/>
  <c r="A423" i="38"/>
  <c r="M414" i="38"/>
  <c r="M413" i="38"/>
  <c r="M412" i="38"/>
  <c r="M411" i="38"/>
  <c r="M410" i="38"/>
  <c r="M409" i="38"/>
  <c r="M408" i="38"/>
  <c r="M407" i="38"/>
  <c r="A407" i="38" a="1"/>
  <c r="A407" i="38"/>
  <c r="A408" i="38"/>
  <c r="A409" i="38"/>
  <c r="A410" i="38"/>
  <c r="A411" i="38"/>
  <c r="A412" i="38"/>
  <c r="A413" i="38"/>
  <c r="A414" i="38"/>
  <c r="M405" i="38"/>
  <c r="M404" i="38"/>
  <c r="M403" i="38"/>
  <c r="M402" i="38"/>
  <c r="M401" i="38"/>
  <c r="M400" i="38"/>
  <c r="M399" i="38"/>
  <c r="M398" i="38"/>
  <c r="A398" i="38" a="1"/>
  <c r="A398" i="38"/>
  <c r="A399" i="38"/>
  <c r="A400" i="38"/>
  <c r="A401" i="38"/>
  <c r="A402" i="38"/>
  <c r="A403" i="38"/>
  <c r="A404" i="38"/>
  <c r="A405" i="38"/>
  <c r="M396" i="38"/>
  <c r="M395" i="38"/>
  <c r="M394" i="38"/>
  <c r="M393" i="38"/>
  <c r="M392" i="38"/>
  <c r="M391" i="38"/>
  <c r="M390" i="38"/>
  <c r="M389" i="38"/>
  <c r="A389" i="38" a="1"/>
  <c r="A389" i="38"/>
  <c r="A390" i="38"/>
  <c r="A391" i="38"/>
  <c r="A392" i="38"/>
  <c r="A393" i="38"/>
  <c r="A394" i="38"/>
  <c r="A395" i="38"/>
  <c r="A396" i="38"/>
  <c r="M387" i="38"/>
  <c r="M386" i="38"/>
  <c r="M385" i="38"/>
  <c r="M384" i="38"/>
  <c r="M383" i="38"/>
  <c r="M382" i="38"/>
  <c r="M381" i="38"/>
  <c r="M380" i="38"/>
  <c r="A380" i="38" a="1"/>
  <c r="A380" i="38"/>
  <c r="A381" i="38"/>
  <c r="A382" i="38"/>
  <c r="A383" i="38"/>
  <c r="A384" i="38"/>
  <c r="A385" i="38"/>
  <c r="A386" i="38"/>
  <c r="A387" i="38"/>
  <c r="M378" i="38"/>
  <c r="M377" i="38"/>
  <c r="M376" i="38"/>
  <c r="M375" i="38"/>
  <c r="M374" i="38"/>
  <c r="M373" i="38"/>
  <c r="M372" i="38"/>
  <c r="M371" i="38"/>
  <c r="A371" i="38" a="1"/>
  <c r="A371" i="38"/>
  <c r="A372" i="38"/>
  <c r="A373" i="38"/>
  <c r="A374" i="38"/>
  <c r="A375" i="38"/>
  <c r="A376" i="38"/>
  <c r="A377" i="38"/>
  <c r="A378" i="38"/>
  <c r="M369" i="38"/>
  <c r="M368" i="38"/>
  <c r="M367" i="38"/>
  <c r="M366" i="38"/>
  <c r="M365" i="38"/>
  <c r="M364" i="38"/>
  <c r="M363" i="38"/>
  <c r="M362" i="38"/>
  <c r="A362" i="38" a="1"/>
  <c r="A362" i="38"/>
  <c r="A363" i="38"/>
  <c r="A364" i="38"/>
  <c r="A365" i="38"/>
  <c r="A366" i="38"/>
  <c r="A367" i="38"/>
  <c r="A368" i="38"/>
  <c r="A369" i="38"/>
  <c r="M360" i="38"/>
  <c r="M359" i="38"/>
  <c r="M358" i="38"/>
  <c r="M357" i="38"/>
  <c r="M356" i="38"/>
  <c r="M355" i="38"/>
  <c r="M354" i="38"/>
  <c r="M353" i="38"/>
  <c r="A353" i="38" a="1"/>
  <c r="A353" i="38"/>
  <c r="A354" i="38"/>
  <c r="A355" i="38"/>
  <c r="A356" i="38"/>
  <c r="A357" i="38"/>
  <c r="A358" i="38"/>
  <c r="A359" i="38"/>
  <c r="A360" i="38"/>
  <c r="M351" i="38"/>
  <c r="M350" i="38"/>
  <c r="M349" i="38"/>
  <c r="M348" i="38"/>
  <c r="M347" i="38"/>
  <c r="M346" i="38"/>
  <c r="M345" i="38"/>
  <c r="M344" i="38"/>
  <c r="A344" i="38" a="1"/>
  <c r="A344" i="38"/>
  <c r="A345" i="38"/>
  <c r="A346" i="38"/>
  <c r="A347" i="38"/>
  <c r="A348" i="38"/>
  <c r="A349" i="38"/>
  <c r="A350" i="38"/>
  <c r="A351" i="38"/>
  <c r="M342" i="38"/>
  <c r="M341" i="38"/>
  <c r="M340" i="38"/>
  <c r="M339" i="38"/>
  <c r="M338" i="38"/>
  <c r="M337" i="38"/>
  <c r="M336" i="38"/>
  <c r="M335" i="38"/>
  <c r="A335" i="38" a="1"/>
  <c r="A335" i="38"/>
  <c r="A336" i="38"/>
  <c r="A337" i="38"/>
  <c r="A338" i="38"/>
  <c r="A339" i="38"/>
  <c r="A340" i="38"/>
  <c r="A341" i="38"/>
  <c r="A342" i="38"/>
  <c r="M333" i="38"/>
  <c r="M332" i="38"/>
  <c r="M331" i="38"/>
  <c r="M330" i="38"/>
  <c r="M329" i="38"/>
  <c r="M328" i="38"/>
  <c r="M327" i="38"/>
  <c r="M326" i="38"/>
  <c r="A326" i="38" a="1"/>
  <c r="A326" i="38"/>
  <c r="A327" i="38"/>
  <c r="A328" i="38"/>
  <c r="A329" i="38"/>
  <c r="A330" i="38"/>
  <c r="A331" i="38"/>
  <c r="A332" i="38"/>
  <c r="A333" i="38"/>
  <c r="M324" i="38"/>
  <c r="M323" i="38"/>
  <c r="M322" i="38"/>
  <c r="M321" i="38"/>
  <c r="M320" i="38"/>
  <c r="M319" i="38"/>
  <c r="M318" i="38"/>
  <c r="M317" i="38"/>
  <c r="A317" i="38" a="1"/>
  <c r="A317" i="38"/>
  <c r="A318" i="38"/>
  <c r="A319" i="38"/>
  <c r="A320" i="38"/>
  <c r="A321" i="38"/>
  <c r="A322" i="38"/>
  <c r="A323" i="38"/>
  <c r="A324" i="38"/>
  <c r="M315" i="38"/>
  <c r="M314" i="38"/>
  <c r="M313" i="38"/>
  <c r="M312" i="38"/>
  <c r="M311" i="38"/>
  <c r="M310" i="38"/>
  <c r="M309" i="38"/>
  <c r="M308" i="38"/>
  <c r="A308" i="38" a="1"/>
  <c r="A308" i="38"/>
  <c r="A309" i="38"/>
  <c r="A310" i="38"/>
  <c r="A311" i="38"/>
  <c r="A312" i="38"/>
  <c r="A313" i="38"/>
  <c r="A314" i="38"/>
  <c r="A315" i="38"/>
  <c r="M306" i="38"/>
  <c r="M305" i="38"/>
  <c r="M304" i="38"/>
  <c r="M303" i="38"/>
  <c r="M302" i="38"/>
  <c r="M301" i="38"/>
  <c r="M300" i="38"/>
  <c r="M299" i="38"/>
  <c r="A299" i="38" a="1"/>
  <c r="A299" i="38"/>
  <c r="A300" i="38"/>
  <c r="A301" i="38"/>
  <c r="A302" i="38"/>
  <c r="A303" i="38"/>
  <c r="A304" i="38"/>
  <c r="A305" i="38"/>
  <c r="A306" i="38"/>
  <c r="M297" i="38"/>
  <c r="M296" i="38"/>
  <c r="M295" i="38"/>
  <c r="M294" i="38"/>
  <c r="M293" i="38"/>
  <c r="M292" i="38"/>
  <c r="M291" i="38"/>
  <c r="M290" i="38"/>
  <c r="A290" i="38" a="1"/>
  <c r="A290" i="38"/>
  <c r="A291" i="38"/>
  <c r="A292" i="38"/>
  <c r="A293" i="38"/>
  <c r="A294" i="38"/>
  <c r="A295" i="38"/>
  <c r="A296" i="38"/>
  <c r="A297" i="38"/>
  <c r="M288" i="38"/>
  <c r="M287" i="38"/>
  <c r="M286" i="38"/>
  <c r="M285" i="38"/>
  <c r="M284" i="38"/>
  <c r="M283" i="38"/>
  <c r="M282" i="38"/>
  <c r="M281" i="38"/>
  <c r="A281" i="38" a="1"/>
  <c r="A281" i="38"/>
  <c r="A282" i="38"/>
  <c r="A283" i="38"/>
  <c r="A284" i="38"/>
  <c r="A285" i="38"/>
  <c r="A286" i="38"/>
  <c r="A287" i="38"/>
  <c r="A288" i="38"/>
  <c r="M279" i="38"/>
  <c r="M278" i="38"/>
  <c r="M277" i="38"/>
  <c r="M276" i="38"/>
  <c r="M275" i="38"/>
  <c r="M274" i="38"/>
  <c r="M273" i="38"/>
  <c r="M272" i="38"/>
  <c r="A272" i="38" a="1"/>
  <c r="A272" i="38"/>
  <c r="A273" i="38"/>
  <c r="A274" i="38"/>
  <c r="A275" i="38"/>
  <c r="A276" i="38"/>
  <c r="A277" i="38"/>
  <c r="A278" i="38"/>
  <c r="A279" i="38"/>
  <c r="M270" i="38"/>
  <c r="M269" i="38"/>
  <c r="M268" i="38"/>
  <c r="M267" i="38"/>
  <c r="M266" i="38"/>
  <c r="M265" i="38"/>
  <c r="M264" i="38"/>
  <c r="M263" i="38"/>
  <c r="A263" i="38" a="1"/>
  <c r="A263" i="38"/>
  <c r="A264" i="38"/>
  <c r="A265" i="38"/>
  <c r="A266" i="38"/>
  <c r="A267" i="38"/>
  <c r="A268" i="38"/>
  <c r="A269" i="38"/>
  <c r="A270" i="38"/>
  <c r="M261" i="38"/>
  <c r="M260" i="38"/>
  <c r="M259" i="38"/>
  <c r="M258" i="38"/>
  <c r="M257" i="38"/>
  <c r="M256" i="38"/>
  <c r="M255" i="38"/>
  <c r="M254" i="38"/>
  <c r="A254" i="38" a="1"/>
  <c r="A254" i="38"/>
  <c r="A255" i="38"/>
  <c r="A256" i="38"/>
  <c r="A257" i="38"/>
  <c r="A258" i="38"/>
  <c r="A259" i="38"/>
  <c r="A260" i="38"/>
  <c r="A261" i="38"/>
  <c r="M252" i="38"/>
  <c r="M251" i="38"/>
  <c r="M250" i="38"/>
  <c r="M249" i="38"/>
  <c r="M248" i="38"/>
  <c r="M247" i="38"/>
  <c r="M246" i="38"/>
  <c r="M245" i="38"/>
  <c r="A245" i="38" a="1"/>
  <c r="A245" i="38"/>
  <c r="A246" i="38"/>
  <c r="A247" i="38"/>
  <c r="A248" i="38"/>
  <c r="A249" i="38"/>
  <c r="A250" i="38"/>
  <c r="A251" i="38"/>
  <c r="A252" i="38"/>
  <c r="M243" i="38"/>
  <c r="A243" i="38"/>
  <c r="M242" i="38"/>
  <c r="M241" i="38"/>
  <c r="M240" i="38"/>
  <c r="M238" i="38"/>
  <c r="A238" i="38"/>
  <c r="M237" i="38"/>
  <c r="M236" i="38"/>
  <c r="M235" i="38"/>
  <c r="A224" i="38" a="1"/>
  <c r="A224" i="38"/>
  <c r="A225" i="38"/>
  <c r="A226" i="38"/>
  <c r="A227" i="38"/>
  <c r="A228" i="38"/>
  <c r="A229" i="38"/>
  <c r="A230" i="38"/>
  <c r="A231" i="38"/>
  <c r="A215" i="38" a="1"/>
  <c r="A215" i="38"/>
  <c r="A216" i="38"/>
  <c r="A217" i="38"/>
  <c r="A218" i="38"/>
  <c r="A219" i="38"/>
  <c r="A220" i="38"/>
  <c r="A221" i="38"/>
  <c r="A222" i="38"/>
  <c r="A206" i="38" a="1"/>
  <c r="A206" i="38"/>
  <c r="A207" i="38"/>
  <c r="A208" i="38"/>
  <c r="A209" i="38"/>
  <c r="A210" i="38"/>
  <c r="A211" i="38"/>
  <c r="A212" i="38"/>
  <c r="A213" i="38"/>
  <c r="A197" i="38" a="1"/>
  <c r="A197" i="38"/>
  <c r="A198" i="38"/>
  <c r="A199" i="38"/>
  <c r="A200" i="38"/>
  <c r="A201" i="38"/>
  <c r="A202" i="38"/>
  <c r="A203" i="38"/>
  <c r="A204" i="38"/>
  <c r="M195" i="38"/>
  <c r="B187" i="38" a="1"/>
  <c r="B187" i="38"/>
  <c r="B188" i="38"/>
  <c r="B189" i="38"/>
  <c r="B190" i="38"/>
  <c r="B191" i="38"/>
  <c r="B192" i="38"/>
  <c r="B193" i="38"/>
  <c r="B194" i="38"/>
  <c r="B195" i="38"/>
  <c r="M194" i="38"/>
  <c r="M193" i="38"/>
  <c r="M192" i="38"/>
  <c r="M191" i="38"/>
  <c r="M190" i="38"/>
  <c r="M189" i="38"/>
  <c r="M188" i="38"/>
  <c r="M187" i="38"/>
  <c r="A187" i="38" a="1"/>
  <c r="A187" i="38"/>
  <c r="A188" i="38"/>
  <c r="A189" i="38"/>
  <c r="A190" i="38"/>
  <c r="A191" i="38"/>
  <c r="A192" i="38"/>
  <c r="A193" i="38"/>
  <c r="A194" i="38"/>
  <c r="M185" i="38"/>
  <c r="B177" i="38" a="1"/>
  <c r="B177" i="38"/>
  <c r="B178" i="38"/>
  <c r="B179" i="38"/>
  <c r="B180" i="38"/>
  <c r="B181" i="38"/>
  <c r="B182" i="38"/>
  <c r="B183" i="38"/>
  <c r="B184" i="38"/>
  <c r="B185" i="38"/>
  <c r="M184" i="38"/>
  <c r="M183" i="38"/>
  <c r="M182" i="38"/>
  <c r="M181" i="38"/>
  <c r="M180" i="38"/>
  <c r="M179" i="38"/>
  <c r="M178" i="38"/>
  <c r="M177" i="38"/>
  <c r="A177" i="38" a="1"/>
  <c r="A177" i="38"/>
  <c r="A178" i="38"/>
  <c r="A179" i="38"/>
  <c r="A180" i="38"/>
  <c r="A181" i="38"/>
  <c r="A182" i="38"/>
  <c r="A183" i="38"/>
  <c r="A184" i="38"/>
  <c r="M175" i="38"/>
  <c r="B167" i="38" a="1"/>
  <c r="B167" i="38"/>
  <c r="B168" i="38"/>
  <c r="B169" i="38"/>
  <c r="B170" i="38"/>
  <c r="B171" i="38"/>
  <c r="B172" i="38"/>
  <c r="B173" i="38"/>
  <c r="B174" i="38"/>
  <c r="B175" i="38"/>
  <c r="M174" i="38"/>
  <c r="M173" i="38"/>
  <c r="M172" i="38"/>
  <c r="M171" i="38"/>
  <c r="M170" i="38"/>
  <c r="M169" i="38"/>
  <c r="M168" i="38"/>
  <c r="M167" i="38"/>
  <c r="A167" i="38" a="1"/>
  <c r="A167" i="38"/>
  <c r="A168" i="38"/>
  <c r="A169" i="38"/>
  <c r="A170" i="38"/>
  <c r="A171" i="38"/>
  <c r="A172" i="38"/>
  <c r="A173" i="38"/>
  <c r="A174" i="38"/>
  <c r="M165" i="38"/>
  <c r="B157" i="38" a="1"/>
  <c r="B157" i="38"/>
  <c r="B158" i="38"/>
  <c r="B159" i="38"/>
  <c r="B160" i="38"/>
  <c r="B161" i="38"/>
  <c r="B162" i="38"/>
  <c r="B163" i="38"/>
  <c r="B164" i="38"/>
  <c r="B165" i="38"/>
  <c r="M164" i="38"/>
  <c r="M163" i="38"/>
  <c r="M162" i="38"/>
  <c r="M161" i="38"/>
  <c r="M160" i="38"/>
  <c r="M159" i="38"/>
  <c r="M158" i="38"/>
  <c r="M157" i="38"/>
  <c r="A157" i="38" a="1"/>
  <c r="A157" i="38"/>
  <c r="A158" i="38"/>
  <c r="A159" i="38"/>
  <c r="A160" i="38"/>
  <c r="A161" i="38"/>
  <c r="A162" i="38"/>
  <c r="A163" i="38"/>
  <c r="A164" i="38"/>
  <c r="M155" i="38"/>
  <c r="M154" i="38"/>
  <c r="M153" i="38"/>
  <c r="M152" i="38"/>
  <c r="M151" i="38"/>
  <c r="M150" i="38"/>
  <c r="M149" i="38"/>
  <c r="M148" i="38"/>
  <c r="A148" i="38" a="1"/>
  <c r="A148" i="38"/>
  <c r="A149" i="38"/>
  <c r="A150" i="38"/>
  <c r="A151" i="38"/>
  <c r="A152" i="38"/>
  <c r="A153" i="38"/>
  <c r="A154" i="38"/>
  <c r="A155" i="38"/>
  <c r="M146" i="38"/>
  <c r="M145" i="38"/>
  <c r="M144" i="38"/>
  <c r="M143" i="38"/>
  <c r="M142" i="38"/>
  <c r="M141" i="38"/>
  <c r="M140" i="38"/>
  <c r="M139" i="38"/>
  <c r="A139" i="38" a="1"/>
  <c r="A139" i="38"/>
  <c r="A140" i="38"/>
  <c r="A141" i="38"/>
  <c r="A142" i="38"/>
  <c r="A143" i="38"/>
  <c r="A144" i="38"/>
  <c r="A145" i="38"/>
  <c r="A146" i="38"/>
  <c r="M137" i="38"/>
  <c r="M136" i="38"/>
  <c r="M135" i="38"/>
  <c r="M134" i="38"/>
  <c r="M133" i="38"/>
  <c r="M132" i="38"/>
  <c r="M131" i="38"/>
  <c r="M130" i="38"/>
  <c r="A130" i="38" a="1"/>
  <c r="A130" i="38"/>
  <c r="A131" i="38"/>
  <c r="A132" i="38"/>
  <c r="A133" i="38"/>
  <c r="A134" i="38"/>
  <c r="A135" i="38"/>
  <c r="A136" i="38"/>
  <c r="A137" i="38"/>
  <c r="M128" i="38"/>
  <c r="M127" i="38"/>
  <c r="M126" i="38"/>
  <c r="M125" i="38"/>
  <c r="M124" i="38"/>
  <c r="M123" i="38"/>
  <c r="M122" i="38"/>
  <c r="M121" i="38"/>
  <c r="A121" i="38" a="1"/>
  <c r="A121" i="38"/>
  <c r="A122" i="38"/>
  <c r="A123" i="38"/>
  <c r="A124" i="38"/>
  <c r="A125" i="38"/>
  <c r="A126" i="38"/>
  <c r="A127" i="38"/>
  <c r="A128" i="38"/>
  <c r="M119" i="38"/>
  <c r="M118" i="38"/>
  <c r="M117" i="38"/>
  <c r="M116" i="38"/>
  <c r="M115" i="38"/>
  <c r="M114" i="38"/>
  <c r="M113" i="38"/>
  <c r="M112" i="38"/>
  <c r="A112" i="38" a="1"/>
  <c r="A112" i="38"/>
  <c r="A113" i="38"/>
  <c r="A114" i="38"/>
  <c r="A115" i="38"/>
  <c r="A116" i="38"/>
  <c r="A117" i="38"/>
  <c r="A118" i="38"/>
  <c r="A119" i="38"/>
  <c r="M110" i="38"/>
  <c r="M109" i="38"/>
  <c r="M108" i="38"/>
  <c r="M107" i="38"/>
  <c r="M106" i="38"/>
  <c r="M105" i="38"/>
  <c r="M104" i="38"/>
  <c r="M103" i="38"/>
  <c r="A103" i="38" a="1"/>
  <c r="A103" i="38"/>
  <c r="A104" i="38"/>
  <c r="A105" i="38"/>
  <c r="A106" i="38"/>
  <c r="A107" i="38"/>
  <c r="A108" i="38"/>
  <c r="A109" i="38"/>
  <c r="A110" i="38"/>
  <c r="M101" i="38"/>
  <c r="M100" i="38"/>
  <c r="M99" i="38"/>
  <c r="M98" i="38"/>
  <c r="M97" i="38"/>
  <c r="M96" i="38"/>
  <c r="M95" i="38"/>
  <c r="M94" i="38"/>
  <c r="A94" i="38" a="1"/>
  <c r="A94" i="38"/>
  <c r="A95" i="38"/>
  <c r="A96" i="38"/>
  <c r="A97" i="38"/>
  <c r="A98" i="38"/>
  <c r="A99" i="38"/>
  <c r="A100" i="38"/>
  <c r="A101" i="38"/>
  <c r="M92" i="38"/>
  <c r="M91" i="38"/>
  <c r="M90" i="38"/>
  <c r="M89" i="38"/>
  <c r="M88" i="38"/>
  <c r="M87" i="38"/>
  <c r="M86" i="38"/>
  <c r="M85" i="38"/>
  <c r="A85" i="38" a="1"/>
  <c r="A85" i="38"/>
  <c r="A86" i="38"/>
  <c r="A87" i="38"/>
  <c r="A88" i="38"/>
  <c r="A89" i="38"/>
  <c r="A90" i="38"/>
  <c r="A91" i="38"/>
  <c r="A92" i="38"/>
  <c r="M83" i="38"/>
  <c r="M82" i="38"/>
  <c r="M81" i="38"/>
  <c r="M80" i="38"/>
  <c r="M79" i="38"/>
  <c r="M78" i="38"/>
  <c r="M77" i="38"/>
  <c r="M76" i="38"/>
  <c r="A76" i="38" a="1"/>
  <c r="A76" i="38"/>
  <c r="A77" i="38"/>
  <c r="A78" i="38"/>
  <c r="A79" i="38"/>
  <c r="A80" i="38"/>
  <c r="A81" i="38"/>
  <c r="A82" i="38"/>
  <c r="A83" i="38"/>
  <c r="M74" i="38"/>
  <c r="M73" i="38"/>
  <c r="M72" i="38"/>
  <c r="M71" i="38"/>
  <c r="M70" i="38"/>
  <c r="M69" i="38"/>
  <c r="M68" i="38"/>
  <c r="M67" i="38"/>
  <c r="A67" i="38" a="1"/>
  <c r="A67" i="38"/>
  <c r="A68" i="38"/>
  <c r="A69" i="38"/>
  <c r="A70" i="38"/>
  <c r="A71" i="38"/>
  <c r="A72" i="38"/>
  <c r="A73" i="38"/>
  <c r="A74" i="38"/>
  <c r="M65" i="38"/>
  <c r="M64" i="38"/>
  <c r="M63" i="38"/>
  <c r="M62" i="38"/>
  <c r="M61" i="38"/>
  <c r="M60" i="38"/>
  <c r="M59" i="38"/>
  <c r="M58" i="38"/>
  <c r="A58" i="38" a="1"/>
  <c r="A58" i="38"/>
  <c r="A59" i="38"/>
  <c r="A60" i="38"/>
  <c r="A61" i="38"/>
  <c r="A62" i="38"/>
  <c r="A63" i="38"/>
  <c r="A64" i="38"/>
  <c r="A65" i="38"/>
  <c r="M56" i="38"/>
  <c r="M55" i="38"/>
  <c r="M54" i="38"/>
  <c r="M53" i="38"/>
  <c r="M52" i="38"/>
  <c r="M51" i="38"/>
  <c r="M50" i="38"/>
  <c r="M49" i="38"/>
  <c r="A49" i="38" a="1"/>
  <c r="A49" i="38"/>
  <c r="A50" i="38"/>
  <c r="A51" i="38"/>
  <c r="A52" i="38"/>
  <c r="A53" i="38"/>
  <c r="A54" i="38"/>
  <c r="A55" i="38"/>
  <c r="A56" i="38"/>
  <c r="B46" i="38" a="1"/>
  <c r="B46" i="38"/>
  <c r="C46" i="38"/>
  <c r="D46" i="38"/>
  <c r="E46" i="38"/>
  <c r="F46" i="38"/>
  <c r="G46" i="38"/>
  <c r="H46" i="38"/>
  <c r="I46" i="38"/>
  <c r="J46" i="38"/>
  <c r="K46" i="38"/>
  <c r="C17" i="6" a="1"/>
  <c r="C17" i="6"/>
  <c r="C18" i="6"/>
  <c r="D17" i="6"/>
  <c r="D18" i="6" a="1"/>
  <c r="D18" i="6"/>
  <c r="E17" i="6"/>
  <c r="E18" i="6"/>
  <c r="F17" i="6"/>
  <c r="F18" i="6"/>
  <c r="G17" i="6"/>
  <c r="G18" i="6"/>
  <c r="H17" i="6"/>
  <c r="H18" i="6"/>
  <c r="I17" i="6"/>
  <c r="I18" i="6"/>
  <c r="J17" i="6"/>
  <c r="J18" i="6"/>
  <c r="K17" i="6"/>
  <c r="K18" i="6"/>
  <c r="L17" i="6"/>
  <c r="L18" i="6"/>
  <c r="B44" i="38" a="1"/>
  <c r="B44" i="38"/>
  <c r="C44" i="38"/>
  <c r="D44" i="38"/>
  <c r="E44" i="38"/>
  <c r="F44" i="38"/>
  <c r="G44" i="38"/>
  <c r="H44" i="38"/>
  <c r="I44" i="38"/>
  <c r="J44" i="38"/>
  <c r="K44" i="38"/>
  <c r="B43" i="38" a="1"/>
  <c r="B43" i="38"/>
  <c r="C43" i="38"/>
  <c r="D43" i="38"/>
  <c r="E43" i="38"/>
  <c r="F43" i="38"/>
  <c r="G43" i="38"/>
  <c r="H43" i="38"/>
  <c r="I43" i="38"/>
  <c r="J43" i="38"/>
  <c r="K43" i="38"/>
  <c r="B41" i="38" a="1"/>
  <c r="B41" i="38"/>
  <c r="C41" i="38"/>
  <c r="D41" i="38"/>
  <c r="E41" i="38"/>
  <c r="F41" i="38"/>
  <c r="G41" i="38"/>
  <c r="H41" i="38"/>
  <c r="I41" i="38"/>
  <c r="J41" i="38"/>
  <c r="K41" i="38"/>
  <c r="E39" i="38"/>
  <c r="D39" i="38"/>
  <c r="C39" i="38"/>
  <c r="B39" i="38"/>
  <c r="A31" i="38" a="1"/>
  <c r="A31" i="38"/>
  <c r="A32" i="38"/>
  <c r="A33" i="38"/>
  <c r="A34" i="38"/>
  <c r="A35" i="38"/>
  <c r="A36" i="38"/>
  <c r="A37" i="38"/>
  <c r="A38" i="38"/>
  <c r="E29" i="38"/>
  <c r="E26" i="38"/>
  <c r="D26" i="38"/>
  <c r="C26" i="38"/>
  <c r="B26" i="38"/>
  <c r="A18" i="38" a="1"/>
  <c r="A18" i="38"/>
  <c r="A19" i="38"/>
  <c r="A20" i="38"/>
  <c r="A21" i="38"/>
  <c r="A22" i="38"/>
  <c r="A23" i="38"/>
  <c r="A24" i="38"/>
  <c r="A25" i="38"/>
  <c r="E16" i="38"/>
  <c r="E13" i="38"/>
  <c r="D13" i="38"/>
  <c r="C13" i="38"/>
  <c r="B13" i="38"/>
  <c r="A5" i="38" a="1"/>
  <c r="A5" i="38"/>
  <c r="A6" i="38"/>
  <c r="A7" i="38"/>
  <c r="A8" i="38"/>
  <c r="A9" i="38"/>
  <c r="A10" i="38"/>
  <c r="A11" i="38"/>
  <c r="A12" i="38"/>
  <c r="E3" i="38"/>
  <c r="A2" i="38"/>
  <c r="C1" i="38"/>
  <c r="A1" i="38"/>
  <c r="N25" i="33"/>
  <c r="N25" i="4"/>
  <c r="N50" i="33"/>
  <c r="N49" i="33"/>
  <c r="N48" i="33"/>
  <c r="N50" i="29"/>
  <c r="N49" i="29"/>
  <c r="N48" i="29"/>
  <c r="N50" i="4"/>
  <c r="N49" i="4"/>
  <c r="N48" i="4"/>
  <c r="C154" i="6" a="1"/>
  <c r="L154" i="6"/>
  <c r="K154" i="6"/>
  <c r="J154" i="6"/>
  <c r="I154" i="6"/>
  <c r="H154" i="6"/>
  <c r="G154" i="6"/>
  <c r="F154" i="6"/>
  <c r="E154" i="6"/>
  <c r="D154" i="6"/>
  <c r="C154" i="6"/>
  <c r="N449" i="34"/>
  <c r="A450" i="34"/>
  <c r="N450" i="30"/>
  <c r="N449" i="30"/>
  <c r="N445" i="34"/>
  <c r="N436" i="34" a="1"/>
  <c r="N436" i="34"/>
  <c r="N437" i="34"/>
  <c r="N438" i="34"/>
  <c r="N439" i="34"/>
  <c r="N440" i="34"/>
  <c r="N441" i="34"/>
  <c r="N442" i="34"/>
  <c r="N443" i="34"/>
  <c r="N444" i="34"/>
  <c r="N426" i="34" a="1"/>
  <c r="N426" i="34"/>
  <c r="N427" i="34"/>
  <c r="N428" i="34"/>
  <c r="N429" i="34"/>
  <c r="N430" i="34"/>
  <c r="N431" i="34"/>
  <c r="N432" i="34"/>
  <c r="N433" i="34"/>
  <c r="N434" i="34"/>
  <c r="N416" i="34" a="1"/>
  <c r="N416" i="34"/>
  <c r="N417" i="34"/>
  <c r="N418" i="34"/>
  <c r="N419" i="34"/>
  <c r="N420" i="34"/>
  <c r="N421" i="34"/>
  <c r="N422" i="34"/>
  <c r="N423" i="34"/>
  <c r="N424" i="34"/>
  <c r="N445" i="30"/>
  <c r="N436" i="30" a="1"/>
  <c r="N436" i="30"/>
  <c r="N437" i="30"/>
  <c r="N438" i="30"/>
  <c r="N439" i="30"/>
  <c r="N440" i="30"/>
  <c r="N441" i="30"/>
  <c r="N442" i="30"/>
  <c r="N443" i="30"/>
  <c r="N444" i="30"/>
  <c r="N426" i="30" a="1"/>
  <c r="N426" i="30"/>
  <c r="N427" i="30"/>
  <c r="N428" i="30"/>
  <c r="N429" i="30"/>
  <c r="N430" i="30"/>
  <c r="N431" i="30"/>
  <c r="N432" i="30"/>
  <c r="N433" i="30"/>
  <c r="N434" i="30"/>
  <c r="N416" i="30" a="1"/>
  <c r="N416" i="30"/>
  <c r="N417" i="30"/>
  <c r="N418" i="30"/>
  <c r="N419" i="30"/>
  <c r="N420" i="30"/>
  <c r="N421" i="30"/>
  <c r="N422" i="30"/>
  <c r="N423" i="30"/>
  <c r="N424" i="30"/>
  <c r="C161" i="6"/>
  <c r="D161" i="6"/>
  <c r="E161" i="6"/>
  <c r="F161" i="6"/>
  <c r="G161" i="6"/>
  <c r="H161" i="6"/>
  <c r="I161" i="6"/>
  <c r="J161" i="6"/>
  <c r="K161" i="6"/>
  <c r="L161" i="6"/>
  <c r="L4" i="1"/>
  <c r="C160" i="6"/>
  <c r="D160" i="6"/>
  <c r="E160" i="6"/>
  <c r="F160" i="6"/>
  <c r="G160" i="6"/>
  <c r="H160" i="6"/>
  <c r="I160" i="6"/>
  <c r="J160" i="6"/>
  <c r="K160" i="6"/>
  <c r="L160" i="6"/>
  <c r="C159" i="6"/>
  <c r="D159" i="6"/>
  <c r="E159" i="6"/>
  <c r="F159" i="6"/>
  <c r="G159" i="6"/>
  <c r="H159" i="6"/>
  <c r="I159" i="6"/>
  <c r="J159" i="6"/>
  <c r="K159" i="6"/>
  <c r="L159" i="6"/>
  <c r="C158" i="6"/>
  <c r="D158" i="6"/>
  <c r="E158" i="6"/>
  <c r="F158" i="6"/>
  <c r="G158" i="6"/>
  <c r="H158" i="6"/>
  <c r="I158" i="6"/>
  <c r="J158" i="6"/>
  <c r="K158" i="6"/>
  <c r="L158" i="6"/>
  <c r="C157" i="6"/>
  <c r="D157" i="6"/>
  <c r="E157" i="6"/>
  <c r="F157" i="6"/>
  <c r="G157" i="6"/>
  <c r="H157" i="6"/>
  <c r="I157" i="6"/>
  <c r="J157" i="6"/>
  <c r="K157" i="6"/>
  <c r="L157" i="6"/>
  <c r="C156" i="6"/>
  <c r="D156" i="6"/>
  <c r="E156" i="6"/>
  <c r="F156" i="6"/>
  <c r="G156" i="6"/>
  <c r="H156" i="6"/>
  <c r="I156" i="6"/>
  <c r="J156" i="6"/>
  <c r="K156" i="6"/>
  <c r="L156" i="6"/>
  <c r="C155" i="6"/>
  <c r="D155" i="6"/>
  <c r="E155" i="6"/>
  <c r="F155" i="6"/>
  <c r="G155" i="6"/>
  <c r="H155" i="6"/>
  <c r="I155" i="6"/>
  <c r="J155" i="6"/>
  <c r="K155" i="6"/>
  <c r="L155" i="6"/>
  <c r="N450" i="6"/>
  <c r="N449" i="6"/>
  <c r="N445" i="6"/>
  <c r="N436" i="6" a="1"/>
  <c r="N436" i="6"/>
  <c r="N437" i="6"/>
  <c r="N438" i="6"/>
  <c r="N439" i="6"/>
  <c r="N440" i="6"/>
  <c r="N441" i="6"/>
  <c r="N442" i="6"/>
  <c r="N443" i="6"/>
  <c r="N444" i="6"/>
  <c r="N426" i="6" a="1"/>
  <c r="N426" i="6"/>
  <c r="N427" i="6"/>
  <c r="N428" i="6"/>
  <c r="N429" i="6"/>
  <c r="N430" i="6"/>
  <c r="N431" i="6"/>
  <c r="N432" i="6"/>
  <c r="N433" i="6"/>
  <c r="N434" i="6"/>
  <c r="N416" i="6" a="1"/>
  <c r="N416" i="6"/>
  <c r="N417" i="6"/>
  <c r="N418" i="6"/>
  <c r="N419" i="6"/>
  <c r="N420" i="6"/>
  <c r="N421" i="6"/>
  <c r="N422" i="6"/>
  <c r="N423" i="6"/>
  <c r="N424" i="6"/>
  <c r="I81" i="27"/>
  <c r="H81" i="27"/>
  <c r="G81" i="27"/>
  <c r="F81" i="27"/>
  <c r="I80" i="27"/>
  <c r="H80" i="27"/>
  <c r="G80" i="27"/>
  <c r="F80" i="27"/>
  <c r="I79" i="27"/>
  <c r="H79" i="27"/>
  <c r="G79" i="27"/>
  <c r="F79" i="27"/>
  <c r="I78" i="27"/>
  <c r="H78" i="27"/>
  <c r="G78" i="27"/>
  <c r="F78" i="27"/>
  <c r="I77" i="27"/>
  <c r="H77" i="27"/>
  <c r="G77" i="27"/>
  <c r="F77" i="27"/>
  <c r="I76" i="27"/>
  <c r="H76" i="27"/>
  <c r="G76" i="27"/>
  <c r="F76" i="27"/>
  <c r="I75" i="27"/>
  <c r="H75" i="27"/>
  <c r="G75" i="27"/>
  <c r="F75" i="27"/>
  <c r="I74" i="27"/>
  <c r="H74" i="27"/>
  <c r="G74" i="27"/>
  <c r="F74" i="27"/>
  <c r="D81" i="27"/>
  <c r="C81" i="27"/>
  <c r="B81" i="27"/>
  <c r="D80" i="27"/>
  <c r="C80" i="27"/>
  <c r="B80" i="27"/>
  <c r="D79" i="27"/>
  <c r="C79" i="27"/>
  <c r="B79" i="27"/>
  <c r="D78" i="27"/>
  <c r="C78" i="27"/>
  <c r="B78" i="27"/>
  <c r="D77" i="27"/>
  <c r="C77" i="27"/>
  <c r="B77" i="27"/>
  <c r="D76" i="27"/>
  <c r="C76" i="27"/>
  <c r="B76" i="27"/>
  <c r="D75" i="27"/>
  <c r="C75" i="27"/>
  <c r="B75" i="27"/>
  <c r="D74" i="27"/>
  <c r="C74" i="27"/>
  <c r="B74" i="27"/>
  <c r="I71" i="27"/>
  <c r="H71" i="27"/>
  <c r="G71" i="27"/>
  <c r="F71" i="27"/>
  <c r="I70" i="27"/>
  <c r="H70" i="27"/>
  <c r="G70" i="27"/>
  <c r="F70" i="27"/>
  <c r="I69" i="27"/>
  <c r="H69" i="27"/>
  <c r="G69" i="27"/>
  <c r="F69" i="27"/>
  <c r="I68" i="27"/>
  <c r="H68" i="27"/>
  <c r="G68" i="27"/>
  <c r="F68" i="27"/>
  <c r="I67" i="27"/>
  <c r="H67" i="27"/>
  <c r="G67" i="27"/>
  <c r="F67" i="27"/>
  <c r="I66" i="27"/>
  <c r="H66" i="27"/>
  <c r="G66" i="27"/>
  <c r="F66" i="27"/>
  <c r="I65" i="27"/>
  <c r="H65" i="27"/>
  <c r="G65" i="27"/>
  <c r="F65" i="27"/>
  <c r="I64" i="27"/>
  <c r="H64" i="27"/>
  <c r="G64" i="27"/>
  <c r="F64" i="27"/>
  <c r="D71" i="27"/>
  <c r="C71" i="27"/>
  <c r="B71" i="27"/>
  <c r="D70" i="27"/>
  <c r="C70" i="27"/>
  <c r="B70" i="27"/>
  <c r="D69" i="27"/>
  <c r="C69" i="27"/>
  <c r="B69" i="27"/>
  <c r="D68" i="27"/>
  <c r="C68" i="27"/>
  <c r="B68" i="27"/>
  <c r="D67" i="27"/>
  <c r="C67" i="27"/>
  <c r="B67" i="27"/>
  <c r="D66" i="27"/>
  <c r="C66" i="27"/>
  <c r="B66" i="27"/>
  <c r="D65" i="27"/>
  <c r="C65" i="27"/>
  <c r="B65" i="27"/>
  <c r="D64" i="27"/>
  <c r="C64" i="27"/>
  <c r="B64" i="27"/>
  <c r="I61" i="27"/>
  <c r="H61" i="27"/>
  <c r="G61" i="27"/>
  <c r="F61" i="27"/>
  <c r="I60" i="27"/>
  <c r="H60" i="27"/>
  <c r="G60" i="27"/>
  <c r="F60" i="27"/>
  <c r="I59" i="27"/>
  <c r="H59" i="27"/>
  <c r="G59" i="27"/>
  <c r="F59" i="27"/>
  <c r="I58" i="27"/>
  <c r="H58" i="27"/>
  <c r="G58" i="27"/>
  <c r="F58" i="27"/>
  <c r="I57" i="27"/>
  <c r="H57" i="27"/>
  <c r="G57" i="27"/>
  <c r="F57" i="27"/>
  <c r="I56" i="27"/>
  <c r="H56" i="27"/>
  <c r="G56" i="27"/>
  <c r="F56" i="27"/>
  <c r="I55" i="27"/>
  <c r="H55" i="27"/>
  <c r="G55" i="27"/>
  <c r="F55" i="27"/>
  <c r="I54" i="27"/>
  <c r="H54" i="27"/>
  <c r="G54" i="27"/>
  <c r="F54" i="27"/>
  <c r="D61" i="27"/>
  <c r="C61" i="27"/>
  <c r="B61" i="27"/>
  <c r="D60" i="27"/>
  <c r="C60" i="27"/>
  <c r="B60" i="27"/>
  <c r="D59" i="27"/>
  <c r="C59" i="27"/>
  <c r="B59" i="27"/>
  <c r="D58" i="27"/>
  <c r="C58" i="27"/>
  <c r="B58" i="27"/>
  <c r="D57" i="27"/>
  <c r="C57" i="27"/>
  <c r="B57" i="27"/>
  <c r="D56" i="27"/>
  <c r="C56" i="27"/>
  <c r="B56" i="27"/>
  <c r="D55" i="27"/>
  <c r="C55" i="27"/>
  <c r="B55" i="27"/>
  <c r="D54" i="27"/>
  <c r="C54" i="27"/>
  <c r="B54" i="27"/>
  <c r="B41" i="27" a="1"/>
  <c r="B41" i="27"/>
  <c r="C41" i="27"/>
  <c r="D41" i="27"/>
  <c r="E41" i="27"/>
  <c r="F41" i="27"/>
  <c r="G41" i="27"/>
  <c r="H41" i="27"/>
  <c r="I41" i="27"/>
  <c r="J41" i="27"/>
  <c r="K41" i="27"/>
  <c r="B42" i="27"/>
  <c r="C42" i="27"/>
  <c r="D42" i="27"/>
  <c r="E42" i="27"/>
  <c r="F42" i="27"/>
  <c r="G42" i="27"/>
  <c r="H42" i="27"/>
  <c r="I42" i="27"/>
  <c r="J42" i="27"/>
  <c r="K42" i="27"/>
  <c r="B43" i="27"/>
  <c r="C43" i="27"/>
  <c r="D43" i="27"/>
  <c r="E43" i="27"/>
  <c r="F43" i="27"/>
  <c r="G43" i="27"/>
  <c r="H43" i="27"/>
  <c r="I43" i="27"/>
  <c r="J43" i="27"/>
  <c r="K43" i="27"/>
  <c r="B44" i="27"/>
  <c r="C44" i="27"/>
  <c r="D44" i="27"/>
  <c r="E44" i="27"/>
  <c r="F44" i="27"/>
  <c r="G44" i="27"/>
  <c r="H44" i="27"/>
  <c r="I44" i="27"/>
  <c r="J44" i="27"/>
  <c r="K44" i="27"/>
  <c r="B45" i="27"/>
  <c r="C45" i="27"/>
  <c r="D45" i="27"/>
  <c r="E45" i="27"/>
  <c r="F45" i="27"/>
  <c r="G45" i="27"/>
  <c r="H45" i="27"/>
  <c r="I45" i="27"/>
  <c r="J45" i="27"/>
  <c r="K45" i="27"/>
  <c r="B46" i="27"/>
  <c r="C46" i="27"/>
  <c r="D46" i="27"/>
  <c r="E46" i="27"/>
  <c r="F46" i="27"/>
  <c r="G46" i="27"/>
  <c r="H46" i="27"/>
  <c r="I46" i="27"/>
  <c r="J46" i="27"/>
  <c r="K46" i="27"/>
  <c r="B47" i="27"/>
  <c r="C47" i="27"/>
  <c r="D47" i="27"/>
  <c r="E47" i="27"/>
  <c r="F47" i="27"/>
  <c r="G47" i="27"/>
  <c r="H47" i="27"/>
  <c r="I47" i="27"/>
  <c r="J47" i="27"/>
  <c r="K47" i="27"/>
  <c r="B48" i="27"/>
  <c r="C48" i="27"/>
  <c r="D48" i="27"/>
  <c r="E48" i="27"/>
  <c r="F48" i="27"/>
  <c r="G48" i="27"/>
  <c r="H48" i="27"/>
  <c r="I48" i="27"/>
  <c r="J48" i="27"/>
  <c r="K48" i="27"/>
  <c r="B32" i="27" a="1"/>
  <c r="B32" i="27"/>
  <c r="C32" i="27"/>
  <c r="D32" i="27"/>
  <c r="E32" i="27"/>
  <c r="F32" i="27"/>
  <c r="G32" i="27"/>
  <c r="H32" i="27"/>
  <c r="I32" i="27"/>
  <c r="J32" i="27"/>
  <c r="K32" i="27"/>
  <c r="B33" i="27"/>
  <c r="C33" i="27"/>
  <c r="D33" i="27"/>
  <c r="E33" i="27"/>
  <c r="F33" i="27"/>
  <c r="G33" i="27"/>
  <c r="H33" i="27"/>
  <c r="I33" i="27"/>
  <c r="J33" i="27"/>
  <c r="K33" i="27"/>
  <c r="B34" i="27"/>
  <c r="C34" i="27"/>
  <c r="D34" i="27"/>
  <c r="E34" i="27"/>
  <c r="F34" i="27"/>
  <c r="G34" i="27"/>
  <c r="H34" i="27"/>
  <c r="I34" i="27"/>
  <c r="J34" i="27"/>
  <c r="K34" i="27"/>
  <c r="B35" i="27"/>
  <c r="C35" i="27"/>
  <c r="D35" i="27"/>
  <c r="E35" i="27"/>
  <c r="F35" i="27"/>
  <c r="G35" i="27"/>
  <c r="H35" i="27"/>
  <c r="I35" i="27"/>
  <c r="J35" i="27"/>
  <c r="K35" i="27"/>
  <c r="B36" i="27"/>
  <c r="C36" i="27"/>
  <c r="D36" i="27"/>
  <c r="E36" i="27"/>
  <c r="F36" i="27"/>
  <c r="G36" i="27"/>
  <c r="H36" i="27"/>
  <c r="I36" i="27"/>
  <c r="J36" i="27"/>
  <c r="K36" i="27"/>
  <c r="B37" i="27"/>
  <c r="C37" i="27"/>
  <c r="D37" i="27"/>
  <c r="E37" i="27"/>
  <c r="F37" i="27"/>
  <c r="G37" i="27"/>
  <c r="H37" i="27"/>
  <c r="I37" i="27"/>
  <c r="J37" i="27"/>
  <c r="K37" i="27"/>
  <c r="B38" i="27"/>
  <c r="C38" i="27"/>
  <c r="D38" i="27"/>
  <c r="E38" i="27"/>
  <c r="F38" i="27"/>
  <c r="G38" i="27"/>
  <c r="H38" i="27"/>
  <c r="I38" i="27"/>
  <c r="J38" i="27"/>
  <c r="K38" i="27"/>
  <c r="B39" i="27"/>
  <c r="C39" i="27"/>
  <c r="D39" i="27"/>
  <c r="E39" i="27"/>
  <c r="F39" i="27"/>
  <c r="G39" i="27"/>
  <c r="H39" i="27"/>
  <c r="I39" i="27"/>
  <c r="J39" i="27"/>
  <c r="K39" i="27"/>
  <c r="B23" i="27" a="1"/>
  <c r="B23" i="27"/>
  <c r="C23" i="27"/>
  <c r="D23" i="27"/>
  <c r="E23" i="27"/>
  <c r="F23" i="27"/>
  <c r="G23" i="27"/>
  <c r="H23" i="27"/>
  <c r="I23" i="27"/>
  <c r="J23" i="27"/>
  <c r="K23" i="27"/>
  <c r="B24" i="27"/>
  <c r="C24" i="27"/>
  <c r="D24" i="27"/>
  <c r="E24" i="27"/>
  <c r="F24" i="27"/>
  <c r="G24" i="27"/>
  <c r="H24" i="27"/>
  <c r="I24" i="27"/>
  <c r="J24" i="27"/>
  <c r="K24" i="27"/>
  <c r="B25" i="27"/>
  <c r="C25" i="27"/>
  <c r="D25" i="27"/>
  <c r="E25" i="27"/>
  <c r="F25" i="27"/>
  <c r="G25" i="27"/>
  <c r="H25" i="27"/>
  <c r="I25" i="27"/>
  <c r="J25" i="27"/>
  <c r="K25" i="27"/>
  <c r="B26" i="27"/>
  <c r="C26" i="27"/>
  <c r="D26" i="27"/>
  <c r="E26" i="27"/>
  <c r="F26" i="27"/>
  <c r="G26" i="27"/>
  <c r="H26" i="27"/>
  <c r="I26" i="27"/>
  <c r="J26" i="27"/>
  <c r="K26" i="27"/>
  <c r="B27" i="27"/>
  <c r="C27" i="27"/>
  <c r="D27" i="27"/>
  <c r="E27" i="27"/>
  <c r="F27" i="27"/>
  <c r="G27" i="27"/>
  <c r="H27" i="27"/>
  <c r="I27" i="27"/>
  <c r="J27" i="27"/>
  <c r="K27" i="27"/>
  <c r="B28" i="27"/>
  <c r="C28" i="27"/>
  <c r="D28" i="27"/>
  <c r="E28" i="27"/>
  <c r="F28" i="27"/>
  <c r="G28" i="27"/>
  <c r="H28" i="27"/>
  <c r="I28" i="27"/>
  <c r="J28" i="27"/>
  <c r="K28" i="27"/>
  <c r="B29" i="27"/>
  <c r="C29" i="27"/>
  <c r="D29" i="27"/>
  <c r="E29" i="27"/>
  <c r="F29" i="27"/>
  <c r="G29" i="27"/>
  <c r="H29" i="27"/>
  <c r="I29" i="27"/>
  <c r="J29" i="27"/>
  <c r="K29" i="27"/>
  <c r="B30" i="27"/>
  <c r="C30" i="27"/>
  <c r="D30" i="27"/>
  <c r="E30" i="27"/>
  <c r="F30" i="27"/>
  <c r="G30" i="27"/>
  <c r="H30" i="27"/>
  <c r="I30" i="27"/>
  <c r="J30" i="27"/>
  <c r="K30" i="27"/>
  <c r="B14" i="27" a="1"/>
  <c r="B14" i="27"/>
  <c r="C14" i="27"/>
  <c r="D14" i="27"/>
  <c r="E14" i="27"/>
  <c r="F14" i="27"/>
  <c r="G14" i="27"/>
  <c r="H14" i="27"/>
  <c r="I14" i="27"/>
  <c r="J14" i="27"/>
  <c r="K14" i="27"/>
  <c r="B15" i="27"/>
  <c r="C15" i="27"/>
  <c r="D15" i="27"/>
  <c r="E15" i="27"/>
  <c r="F15" i="27"/>
  <c r="G15" i="27"/>
  <c r="H15" i="27"/>
  <c r="I15" i="27"/>
  <c r="J15" i="27"/>
  <c r="K15" i="27"/>
  <c r="B16" i="27"/>
  <c r="C16" i="27"/>
  <c r="D16" i="27"/>
  <c r="E16" i="27"/>
  <c r="F16" i="27"/>
  <c r="G16" i="27"/>
  <c r="H16" i="27"/>
  <c r="I16" i="27"/>
  <c r="J16" i="27"/>
  <c r="K16" i="27"/>
  <c r="B17" i="27"/>
  <c r="C17" i="27"/>
  <c r="D17" i="27"/>
  <c r="E17" i="27"/>
  <c r="F17" i="27"/>
  <c r="G17" i="27"/>
  <c r="H17" i="27"/>
  <c r="I17" i="27"/>
  <c r="J17" i="27"/>
  <c r="K17" i="27"/>
  <c r="B18" i="27"/>
  <c r="C18" i="27"/>
  <c r="D18" i="27"/>
  <c r="E18" i="27"/>
  <c r="F18" i="27"/>
  <c r="G18" i="27"/>
  <c r="H18" i="27"/>
  <c r="I18" i="27"/>
  <c r="J18" i="27"/>
  <c r="K18" i="27"/>
  <c r="B19" i="27"/>
  <c r="C19" i="27"/>
  <c r="D19" i="27"/>
  <c r="E19" i="27"/>
  <c r="F19" i="27"/>
  <c r="G19" i="27"/>
  <c r="H19" i="27"/>
  <c r="I19" i="27"/>
  <c r="J19" i="27"/>
  <c r="K19" i="27"/>
  <c r="B20" i="27"/>
  <c r="C20" i="27"/>
  <c r="D20" i="27"/>
  <c r="E20" i="27"/>
  <c r="F20" i="27"/>
  <c r="G20" i="27"/>
  <c r="H20" i="27"/>
  <c r="I20" i="27"/>
  <c r="J20" i="27"/>
  <c r="K20" i="27"/>
  <c r="B21" i="27"/>
  <c r="C21" i="27"/>
  <c r="D21" i="27"/>
  <c r="E21" i="27"/>
  <c r="F21" i="27"/>
  <c r="G21" i="27"/>
  <c r="H21" i="27"/>
  <c r="I21" i="27"/>
  <c r="J21" i="27"/>
  <c r="K21" i="27"/>
  <c r="B3" i="27"/>
  <c r="B95" i="1" a="1"/>
  <c r="B95" i="1"/>
  <c r="B96" i="1"/>
  <c r="B97" i="1"/>
  <c r="B98" i="1"/>
  <c r="B99" i="1"/>
  <c r="B100" i="1"/>
  <c r="B101" i="1"/>
  <c r="B102" i="1"/>
  <c r="A95" i="1" a="1"/>
  <c r="A95" i="1"/>
  <c r="A96" i="1"/>
  <c r="A97" i="1"/>
  <c r="A98" i="1"/>
  <c r="A99" i="1"/>
  <c r="A100" i="1"/>
  <c r="A101" i="1"/>
  <c r="A102" i="1"/>
  <c r="B86" i="1" a="1"/>
  <c r="B86" i="1"/>
  <c r="B87" i="1"/>
  <c r="B88" i="1"/>
  <c r="B89" i="1"/>
  <c r="B90" i="1"/>
  <c r="B91" i="1"/>
  <c r="B92" i="1"/>
  <c r="B93" i="1"/>
  <c r="B77" i="1" a="1"/>
  <c r="B77" i="1"/>
  <c r="B78" i="1"/>
  <c r="B79" i="1"/>
  <c r="B80" i="1"/>
  <c r="B81" i="1"/>
  <c r="B82" i="1"/>
  <c r="B83" i="1"/>
  <c r="B84" i="1"/>
  <c r="B68" i="1" a="1"/>
  <c r="B68" i="1"/>
  <c r="B69" i="1"/>
  <c r="B70" i="1"/>
  <c r="B71" i="1"/>
  <c r="B72" i="1"/>
  <c r="B73" i="1"/>
  <c r="B74" i="1"/>
  <c r="B75" i="1"/>
  <c r="C67" i="1" a="1"/>
  <c r="C67" i="1"/>
  <c r="D67" i="1"/>
  <c r="E67" i="1"/>
  <c r="F67" i="1"/>
  <c r="G67" i="1"/>
  <c r="H67" i="1"/>
  <c r="I67" i="1"/>
  <c r="J67" i="1"/>
  <c r="K67" i="1"/>
  <c r="L67" i="1"/>
  <c r="B47" i="1" a="1"/>
  <c r="B47" i="1"/>
  <c r="B48" i="1"/>
  <c r="B49" i="1"/>
  <c r="B50" i="1"/>
  <c r="B51" i="1"/>
  <c r="B52" i="1"/>
  <c r="B53" i="1"/>
  <c r="B54" i="1"/>
  <c r="C46" i="1" a="1"/>
  <c r="C46" i="1"/>
  <c r="D46" i="1"/>
  <c r="E46" i="1"/>
  <c r="F46" i="1"/>
  <c r="G46" i="1"/>
  <c r="H46" i="1"/>
  <c r="I46" i="1"/>
  <c r="J46" i="1"/>
  <c r="K46" i="1"/>
  <c r="L46" i="1"/>
  <c r="D45" i="1" a="1"/>
  <c r="D45" i="1"/>
  <c r="E45" i="1"/>
  <c r="F45" i="1"/>
  <c r="G45" i="1"/>
  <c r="H45" i="1"/>
  <c r="I45" i="1"/>
  <c r="J45" i="1"/>
  <c r="K45" i="1"/>
  <c r="L45" i="1"/>
  <c r="C45" i="1"/>
  <c r="B36" i="1" a="1"/>
  <c r="B36" i="1"/>
  <c r="B37" i="1"/>
  <c r="B38" i="1"/>
  <c r="B39" i="1"/>
  <c r="B40" i="1"/>
  <c r="B41" i="1"/>
  <c r="B42" i="1"/>
  <c r="B43" i="1"/>
  <c r="C35" i="1" a="1"/>
  <c r="C35" i="1"/>
  <c r="D35" i="1"/>
  <c r="E35" i="1"/>
  <c r="F35" i="1"/>
  <c r="G35" i="1"/>
  <c r="H35" i="1"/>
  <c r="I35" i="1"/>
  <c r="J35" i="1"/>
  <c r="K35" i="1"/>
  <c r="L35" i="1"/>
  <c r="D34" i="1" a="1"/>
  <c r="D34" i="1"/>
  <c r="E34" i="1"/>
  <c r="F34" i="1"/>
  <c r="G34" i="1"/>
  <c r="H34" i="1"/>
  <c r="I34" i="1"/>
  <c r="J34" i="1"/>
  <c r="K34" i="1"/>
  <c r="L34" i="1"/>
  <c r="C34" i="1"/>
  <c r="F19" i="1"/>
  <c r="B133" i="2"/>
  <c r="B126" i="2"/>
  <c r="B124" i="2"/>
  <c r="B122" i="2"/>
  <c r="I81" i="31"/>
  <c r="I80" i="31"/>
  <c r="I79" i="31"/>
  <c r="I78" i="31"/>
  <c r="I77" i="31"/>
  <c r="I76" i="31"/>
  <c r="I75" i="31"/>
  <c r="I74" i="31"/>
  <c r="I71" i="31"/>
  <c r="I70" i="31"/>
  <c r="I69" i="31"/>
  <c r="I68" i="31"/>
  <c r="I67" i="31"/>
  <c r="I66" i="31"/>
  <c r="I65" i="31"/>
  <c r="I64" i="31"/>
  <c r="I61" i="31"/>
  <c r="I60" i="31"/>
  <c r="I59" i="31"/>
  <c r="I58" i="31"/>
  <c r="I57" i="31"/>
  <c r="I56" i="31"/>
  <c r="I55" i="31"/>
  <c r="I54" i="31"/>
  <c r="G44" i="2"/>
  <c r="A416" i="34" a="1"/>
  <c r="A423" i="34"/>
  <c r="A416" i="30" a="1"/>
  <c r="A423" i="30"/>
  <c r="A416" i="6" a="1"/>
  <c r="A423" i="6"/>
  <c r="N189" i="34"/>
  <c r="N188" i="34"/>
  <c r="N187" i="34"/>
  <c r="N186" i="34"/>
  <c r="N185" i="34"/>
  <c r="N184" i="34"/>
  <c r="N183" i="34"/>
  <c r="N182" i="34"/>
  <c r="A182" i="34" a="1"/>
  <c r="A188" i="34"/>
  <c r="N180" i="34"/>
  <c r="N179" i="34"/>
  <c r="N178" i="34"/>
  <c r="N177" i="34"/>
  <c r="N176" i="34"/>
  <c r="N175" i="34"/>
  <c r="N174" i="34"/>
  <c r="N173" i="34"/>
  <c r="A173" i="34" a="1"/>
  <c r="A180" i="34"/>
  <c r="N189" i="30"/>
  <c r="N188" i="30"/>
  <c r="N187" i="30"/>
  <c r="N186" i="30"/>
  <c r="N185" i="30"/>
  <c r="N184" i="30"/>
  <c r="N183" i="30"/>
  <c r="N182" i="30"/>
  <c r="A182" i="30" a="1"/>
  <c r="A189" i="30"/>
  <c r="N180" i="30"/>
  <c r="N179" i="30"/>
  <c r="N178" i="30"/>
  <c r="N177" i="30"/>
  <c r="N176" i="30"/>
  <c r="N175" i="30"/>
  <c r="N174" i="30"/>
  <c r="N173" i="30"/>
  <c r="A173" i="30" a="1"/>
  <c r="A180" i="30"/>
  <c r="N189" i="6"/>
  <c r="N188" i="6"/>
  <c r="N187" i="6"/>
  <c r="N186" i="6"/>
  <c r="N185" i="6"/>
  <c r="N184" i="6"/>
  <c r="N183" i="6"/>
  <c r="N182" i="6"/>
  <c r="A182" i="6" a="1"/>
  <c r="A189" i="6"/>
  <c r="N180" i="6"/>
  <c r="N179" i="6"/>
  <c r="N178" i="6"/>
  <c r="N177" i="6"/>
  <c r="N176" i="6"/>
  <c r="N175" i="6"/>
  <c r="N174" i="6"/>
  <c r="N173" i="6"/>
  <c r="A173" i="6" a="1"/>
  <c r="A180" i="6"/>
  <c r="M139" i="37"/>
  <c r="M138" i="37"/>
  <c r="M137" i="37"/>
  <c r="M136" i="37"/>
  <c r="M135" i="37"/>
  <c r="M134" i="37"/>
  <c r="M133" i="37"/>
  <c r="M132" i="37"/>
  <c r="A132" i="37" a="1"/>
  <c r="A138" i="37"/>
  <c r="M139" i="35"/>
  <c r="M138" i="35"/>
  <c r="M137" i="35"/>
  <c r="M136" i="35"/>
  <c r="M135" i="35"/>
  <c r="M134" i="35"/>
  <c r="M133" i="35"/>
  <c r="M132" i="35"/>
  <c r="A132" i="35" a="1"/>
  <c r="A138" i="35"/>
  <c r="M139" i="7"/>
  <c r="M138" i="7"/>
  <c r="M137" i="7"/>
  <c r="M136" i="7"/>
  <c r="M135" i="7"/>
  <c r="M134" i="7"/>
  <c r="M133" i="7"/>
  <c r="M132" i="7"/>
  <c r="A132" i="7" a="1"/>
  <c r="A138" i="7"/>
  <c r="M715" i="39"/>
  <c r="M714" i="39"/>
  <c r="M713" i="39"/>
  <c r="M712" i="39"/>
  <c r="M711" i="39"/>
  <c r="M710" i="39"/>
  <c r="M709" i="39"/>
  <c r="M708" i="39"/>
  <c r="M707" i="39"/>
  <c r="M706" i="39"/>
  <c r="M704" i="39"/>
  <c r="M703" i="39"/>
  <c r="M702" i="39"/>
  <c r="M701" i="39"/>
  <c r="M700" i="39"/>
  <c r="M699" i="39"/>
  <c r="M698" i="39"/>
  <c r="M697" i="39"/>
  <c r="M696" i="39"/>
  <c r="M715" i="8"/>
  <c r="M714" i="8"/>
  <c r="M713" i="8"/>
  <c r="M712" i="8"/>
  <c r="M711" i="8"/>
  <c r="M710" i="8"/>
  <c r="M709" i="8"/>
  <c r="M708" i="8"/>
  <c r="M707" i="8"/>
  <c r="M706" i="8"/>
  <c r="M704" i="8"/>
  <c r="M703" i="8"/>
  <c r="M702" i="8"/>
  <c r="M701" i="8"/>
  <c r="M700" i="8"/>
  <c r="M699" i="8"/>
  <c r="M698" i="8"/>
  <c r="M697" i="8"/>
  <c r="M696" i="8"/>
  <c r="M179" i="37"/>
  <c r="M178" i="37"/>
  <c r="M177" i="37"/>
  <c r="M176" i="37"/>
  <c r="M175" i="37"/>
  <c r="M174" i="37"/>
  <c r="M173" i="37"/>
  <c r="M172" i="37"/>
  <c r="M171" i="37"/>
  <c r="M170" i="37"/>
  <c r="M168" i="37"/>
  <c r="M167" i="37"/>
  <c r="M166" i="37"/>
  <c r="M165" i="37"/>
  <c r="M164" i="37"/>
  <c r="M163" i="37"/>
  <c r="M162" i="37"/>
  <c r="M161" i="37"/>
  <c r="M160" i="37"/>
  <c r="M179" i="35"/>
  <c r="M178" i="35"/>
  <c r="M177" i="35"/>
  <c r="M176" i="35"/>
  <c r="M175" i="35"/>
  <c r="M174" i="35"/>
  <c r="M173" i="35"/>
  <c r="M172" i="35"/>
  <c r="M171" i="35"/>
  <c r="M170" i="35"/>
  <c r="M168" i="35"/>
  <c r="M167" i="35"/>
  <c r="M166" i="35"/>
  <c r="M165" i="35"/>
  <c r="M164" i="35"/>
  <c r="M163" i="35"/>
  <c r="M162" i="35"/>
  <c r="M161" i="35"/>
  <c r="M160" i="35"/>
  <c r="M179" i="7"/>
  <c r="M178" i="7"/>
  <c r="M177" i="7"/>
  <c r="M176" i="7"/>
  <c r="M175" i="7"/>
  <c r="M174" i="7"/>
  <c r="M173" i="7"/>
  <c r="M172" i="7"/>
  <c r="M171" i="7"/>
  <c r="M170" i="7"/>
  <c r="M168" i="7"/>
  <c r="M167" i="7"/>
  <c r="M166" i="7"/>
  <c r="M165" i="7"/>
  <c r="M164" i="7"/>
  <c r="M163" i="7"/>
  <c r="M162" i="7"/>
  <c r="M161" i="7"/>
  <c r="M160" i="7"/>
  <c r="M30" i="9"/>
  <c r="M19" i="9"/>
  <c r="M34" i="9"/>
  <c r="M32" i="9"/>
  <c r="M33" i="9"/>
  <c r="M31" i="9"/>
  <c r="M28" i="9"/>
  <c r="M26" i="9"/>
  <c r="M23" i="9"/>
  <c r="M21" i="9"/>
  <c r="M22" i="9"/>
  <c r="M20" i="9"/>
  <c r="M17" i="9"/>
  <c r="M15" i="9"/>
  <c r="C1" i="8"/>
  <c r="C1" i="35"/>
  <c r="C1" i="7"/>
  <c r="D1" i="34"/>
  <c r="D1" i="30"/>
  <c r="D1" i="6"/>
  <c r="C1" i="9"/>
  <c r="C1" i="39"/>
  <c r="A706" i="39" a="1"/>
  <c r="A712" i="39"/>
  <c r="A696" i="39" a="1"/>
  <c r="A703" i="39"/>
  <c r="A687" i="39" a="1"/>
  <c r="A693" i="39"/>
  <c r="M685" i="39"/>
  <c r="M684" i="39"/>
  <c r="M683" i="39"/>
  <c r="M682" i="39"/>
  <c r="M681" i="39"/>
  <c r="M680" i="39"/>
  <c r="M679" i="39"/>
  <c r="M678" i="39"/>
  <c r="M677" i="39"/>
  <c r="A677" i="39" a="1"/>
  <c r="A684" i="39"/>
  <c r="M675" i="39"/>
  <c r="M674" i="39"/>
  <c r="M673" i="39"/>
  <c r="M672" i="39"/>
  <c r="M671" i="39"/>
  <c r="M670" i="39"/>
  <c r="M669" i="39"/>
  <c r="M668" i="39"/>
  <c r="A668" i="39" a="1"/>
  <c r="A675" i="39"/>
  <c r="M666" i="39"/>
  <c r="M665" i="39"/>
  <c r="M664" i="39"/>
  <c r="M663" i="39"/>
  <c r="M662" i="39"/>
  <c r="M661" i="39"/>
  <c r="M660" i="39"/>
  <c r="M659" i="39"/>
  <c r="A659" i="39" a="1"/>
  <c r="A666" i="39"/>
  <c r="M657" i="39"/>
  <c r="M656" i="39"/>
  <c r="M655" i="39"/>
  <c r="M654" i="39"/>
  <c r="M653" i="39"/>
  <c r="M652" i="39"/>
  <c r="M651" i="39"/>
  <c r="M650" i="39"/>
  <c r="A650" i="39" a="1"/>
  <c r="A657" i="39"/>
  <c r="M648" i="39"/>
  <c r="M647" i="39"/>
  <c r="M646" i="39"/>
  <c r="M645" i="39"/>
  <c r="M644" i="39"/>
  <c r="M643" i="39"/>
  <c r="M642" i="39"/>
  <c r="M641" i="39"/>
  <c r="A641" i="39" a="1"/>
  <c r="A648" i="39"/>
  <c r="M639" i="39"/>
  <c r="M638" i="39"/>
  <c r="M637" i="39"/>
  <c r="M636" i="39"/>
  <c r="M635" i="39"/>
  <c r="M634" i="39"/>
  <c r="M633" i="39"/>
  <c r="M632" i="39"/>
  <c r="A632" i="39" a="1"/>
  <c r="A638" i="39"/>
  <c r="M630" i="39"/>
  <c r="M629" i="39"/>
  <c r="M628" i="39"/>
  <c r="M627" i="39"/>
  <c r="M626" i="39"/>
  <c r="M625" i="39"/>
  <c r="M624" i="39"/>
  <c r="M623" i="39"/>
  <c r="A623" i="39" a="1"/>
  <c r="A629" i="39"/>
  <c r="M621" i="39"/>
  <c r="M620" i="39"/>
  <c r="M619" i="39"/>
  <c r="M618" i="39"/>
  <c r="M617" i="39"/>
  <c r="M616" i="39"/>
  <c r="M615" i="39"/>
  <c r="M614" i="39"/>
  <c r="A614" i="39" a="1"/>
  <c r="A620" i="39"/>
  <c r="M612" i="39"/>
  <c r="M611" i="39"/>
  <c r="M610" i="39"/>
  <c r="M609" i="39"/>
  <c r="M608" i="39"/>
  <c r="M607" i="39"/>
  <c r="M606" i="39"/>
  <c r="M605" i="39"/>
  <c r="A605" i="39" a="1"/>
  <c r="A611" i="39"/>
  <c r="M603" i="39"/>
  <c r="M602" i="39"/>
  <c r="M601" i="39"/>
  <c r="M600" i="39"/>
  <c r="M599" i="39"/>
  <c r="M598" i="39"/>
  <c r="M597" i="39"/>
  <c r="M596" i="39"/>
  <c r="A596" i="39" a="1"/>
  <c r="A602" i="39"/>
  <c r="M594" i="39"/>
  <c r="M593" i="39"/>
  <c r="M592" i="39"/>
  <c r="M591" i="39"/>
  <c r="M590" i="39"/>
  <c r="M589" i="39"/>
  <c r="M588" i="39"/>
  <c r="M587" i="39"/>
  <c r="A587" i="39" a="1"/>
  <c r="A593" i="39"/>
  <c r="M585" i="39"/>
  <c r="M584" i="39"/>
  <c r="M583" i="39"/>
  <c r="M582" i="39"/>
  <c r="M581" i="39"/>
  <c r="M580" i="39"/>
  <c r="M579" i="39"/>
  <c r="M578" i="39"/>
  <c r="A578" i="39" a="1"/>
  <c r="A584" i="39"/>
  <c r="M576" i="39"/>
  <c r="M575" i="39"/>
  <c r="M574" i="39"/>
  <c r="M573" i="39"/>
  <c r="M572" i="39"/>
  <c r="M571" i="39"/>
  <c r="M570" i="39"/>
  <c r="M569" i="39"/>
  <c r="A569" i="39" a="1"/>
  <c r="A575" i="39"/>
  <c r="M567" i="39"/>
  <c r="M566" i="39"/>
  <c r="M565" i="39"/>
  <c r="M564" i="39"/>
  <c r="M563" i="39"/>
  <c r="M562" i="39"/>
  <c r="M561" i="39"/>
  <c r="M560" i="39"/>
  <c r="A560" i="39" a="1"/>
  <c r="A566" i="39"/>
  <c r="M558" i="39"/>
  <c r="M557" i="39"/>
  <c r="M556" i="39"/>
  <c r="M555" i="39"/>
  <c r="M554" i="39"/>
  <c r="M553" i="39"/>
  <c r="M552" i="39"/>
  <c r="M551" i="39"/>
  <c r="A551" i="39" a="1"/>
  <c r="A557" i="39"/>
  <c r="M549" i="39"/>
  <c r="M548" i="39"/>
  <c r="M547" i="39"/>
  <c r="M546" i="39"/>
  <c r="M545" i="39"/>
  <c r="M544" i="39"/>
  <c r="M543" i="39"/>
  <c r="M542" i="39"/>
  <c r="A542" i="39" a="1"/>
  <c r="A549" i="39"/>
  <c r="M540" i="39"/>
  <c r="M539" i="39"/>
  <c r="M538" i="39"/>
  <c r="M537" i="39"/>
  <c r="M536" i="39"/>
  <c r="M535" i="39"/>
  <c r="M534" i="39"/>
  <c r="M533" i="39"/>
  <c r="A533" i="39" a="1"/>
  <c r="A539" i="39"/>
  <c r="M531" i="39"/>
  <c r="M530" i="39"/>
  <c r="M529" i="39"/>
  <c r="M528" i="39"/>
  <c r="M527" i="39"/>
  <c r="M526" i="39"/>
  <c r="M525" i="39"/>
  <c r="M524" i="39"/>
  <c r="A524" i="39" a="1"/>
  <c r="A531" i="39"/>
  <c r="M522" i="39"/>
  <c r="M521" i="39"/>
  <c r="M520" i="39"/>
  <c r="M519" i="39"/>
  <c r="M518" i="39"/>
  <c r="M517" i="39"/>
  <c r="M516" i="39"/>
  <c r="M515" i="39"/>
  <c r="A515" i="39" a="1"/>
  <c r="A522" i="39"/>
  <c r="M513" i="39"/>
  <c r="M512" i="39"/>
  <c r="M511" i="39"/>
  <c r="M510" i="39"/>
  <c r="M509" i="39"/>
  <c r="M508" i="39"/>
  <c r="M507" i="39"/>
  <c r="M506" i="39"/>
  <c r="A506" i="39" a="1"/>
  <c r="A513" i="39"/>
  <c r="M504" i="39"/>
  <c r="M503" i="39"/>
  <c r="M502" i="39"/>
  <c r="M501" i="39"/>
  <c r="M500" i="39"/>
  <c r="M499" i="39"/>
  <c r="M498" i="39"/>
  <c r="M497" i="39"/>
  <c r="A497" i="39" a="1"/>
  <c r="A504" i="39"/>
  <c r="M495" i="39"/>
  <c r="M494" i="39"/>
  <c r="M493" i="39"/>
  <c r="M492" i="39"/>
  <c r="M491" i="39"/>
  <c r="M490" i="39"/>
  <c r="M489" i="39"/>
  <c r="M488" i="39"/>
  <c r="A488" i="39" a="1"/>
  <c r="A494" i="39"/>
  <c r="M486" i="39"/>
  <c r="M485" i="39"/>
  <c r="M484" i="39"/>
  <c r="M483" i="39"/>
  <c r="M482" i="39"/>
  <c r="M481" i="39"/>
  <c r="M480" i="39"/>
  <c r="M479" i="39"/>
  <c r="A479" i="39" a="1"/>
  <c r="A485" i="39"/>
  <c r="M477" i="39"/>
  <c r="M476" i="39"/>
  <c r="M475" i="39"/>
  <c r="M474" i="39"/>
  <c r="M473" i="39"/>
  <c r="M472" i="39"/>
  <c r="M471" i="39"/>
  <c r="M470" i="39"/>
  <c r="A470" i="39" a="1"/>
  <c r="A476" i="39"/>
  <c r="M468" i="39"/>
  <c r="M467" i="39"/>
  <c r="M466" i="39"/>
  <c r="M465" i="39"/>
  <c r="M464" i="39"/>
  <c r="M463" i="39"/>
  <c r="M462" i="39"/>
  <c r="M461" i="39"/>
  <c r="A461" i="39" a="1"/>
  <c r="A467" i="39"/>
  <c r="M459" i="39"/>
  <c r="M458" i="39"/>
  <c r="M457" i="39"/>
  <c r="M456" i="39"/>
  <c r="M455" i="39"/>
  <c r="M454" i="39"/>
  <c r="M453" i="39"/>
  <c r="M452" i="39"/>
  <c r="A452" i="39" a="1"/>
  <c r="A458" i="39"/>
  <c r="M450" i="39"/>
  <c r="M449" i="39"/>
  <c r="M448" i="39"/>
  <c r="M447" i="39"/>
  <c r="M446" i="39"/>
  <c r="M445" i="39"/>
  <c r="M444" i="39"/>
  <c r="M443" i="39"/>
  <c r="A443" i="39" a="1"/>
  <c r="A449" i="39"/>
  <c r="M441" i="39"/>
  <c r="M440" i="39"/>
  <c r="M439" i="39"/>
  <c r="M438" i="39"/>
  <c r="M437" i="39"/>
  <c r="M436" i="39"/>
  <c r="M435" i="39"/>
  <c r="M434" i="39"/>
  <c r="A434" i="39" a="1"/>
  <c r="A440" i="39"/>
  <c r="M432" i="39"/>
  <c r="M431" i="39"/>
  <c r="M430" i="39"/>
  <c r="M429" i="39"/>
  <c r="M428" i="39"/>
  <c r="M427" i="39"/>
  <c r="M426" i="39"/>
  <c r="M425" i="39"/>
  <c r="A425" i="39" a="1"/>
  <c r="A431" i="39"/>
  <c r="M423" i="39"/>
  <c r="M422" i="39"/>
  <c r="M421" i="39"/>
  <c r="M420" i="39"/>
  <c r="M419" i="39"/>
  <c r="M418" i="39"/>
  <c r="M417" i="39"/>
  <c r="M416" i="39"/>
  <c r="A416" i="39" a="1"/>
  <c r="A422" i="39"/>
  <c r="M414" i="39"/>
  <c r="M413" i="39"/>
  <c r="M412" i="39"/>
  <c r="M411" i="39"/>
  <c r="M410" i="39"/>
  <c r="M409" i="39"/>
  <c r="M408" i="39"/>
  <c r="M407" i="39"/>
  <c r="A407" i="39" a="1"/>
  <c r="A413" i="39"/>
  <c r="M405" i="39"/>
  <c r="M404" i="39"/>
  <c r="M403" i="39"/>
  <c r="M402" i="39"/>
  <c r="M401" i="39"/>
  <c r="M400" i="39"/>
  <c r="M399" i="39"/>
  <c r="M398" i="39"/>
  <c r="A398" i="39" a="1"/>
  <c r="A404" i="39"/>
  <c r="M396" i="39"/>
  <c r="M395" i="39"/>
  <c r="M394" i="39"/>
  <c r="M393" i="39"/>
  <c r="M392" i="39"/>
  <c r="M391" i="39"/>
  <c r="M390" i="39"/>
  <c r="M389" i="39"/>
  <c r="A389" i="39" a="1"/>
  <c r="A395" i="39"/>
  <c r="M387" i="39"/>
  <c r="M386" i="39"/>
  <c r="M385" i="39"/>
  <c r="M384" i="39"/>
  <c r="M383" i="39"/>
  <c r="M382" i="39"/>
  <c r="M381" i="39"/>
  <c r="M380" i="39"/>
  <c r="A380" i="39" a="1"/>
  <c r="A386" i="39"/>
  <c r="M378" i="39"/>
  <c r="M377" i="39"/>
  <c r="M376" i="39"/>
  <c r="M375" i="39"/>
  <c r="M374" i="39"/>
  <c r="M373" i="39"/>
  <c r="M372" i="39"/>
  <c r="M371" i="39"/>
  <c r="A371" i="39" a="1"/>
  <c r="A377" i="39"/>
  <c r="M369" i="39"/>
  <c r="M368" i="39"/>
  <c r="M367" i="39"/>
  <c r="M366" i="39"/>
  <c r="M365" i="39"/>
  <c r="M364" i="39"/>
  <c r="M363" i="39"/>
  <c r="M362" i="39"/>
  <c r="A362" i="39" a="1"/>
  <c r="A368" i="39"/>
  <c r="M360" i="39"/>
  <c r="M359" i="39"/>
  <c r="M358" i="39"/>
  <c r="M357" i="39"/>
  <c r="M356" i="39"/>
  <c r="M355" i="39"/>
  <c r="M354" i="39"/>
  <c r="M353" i="39"/>
  <c r="A353" i="39" a="1"/>
  <c r="A358" i="39"/>
  <c r="M351" i="39"/>
  <c r="M350" i="39"/>
  <c r="M349" i="39"/>
  <c r="M348" i="39"/>
  <c r="M347" i="39"/>
  <c r="M346" i="39"/>
  <c r="M345" i="39"/>
  <c r="M344" i="39"/>
  <c r="A344" i="39" a="1"/>
  <c r="A345" i="39"/>
  <c r="M342" i="39"/>
  <c r="M341" i="39"/>
  <c r="M340" i="39"/>
  <c r="M339" i="39"/>
  <c r="M338" i="39"/>
  <c r="M337" i="39"/>
  <c r="M336" i="39"/>
  <c r="M335" i="39"/>
  <c r="A335" i="39" a="1"/>
  <c r="A340" i="39"/>
  <c r="M333" i="39"/>
  <c r="M332" i="39"/>
  <c r="M331" i="39"/>
  <c r="M330" i="39"/>
  <c r="M329" i="39"/>
  <c r="M328" i="39"/>
  <c r="M327" i="39"/>
  <c r="M326" i="39"/>
  <c r="A326" i="39" a="1"/>
  <c r="A332" i="39"/>
  <c r="M324" i="39"/>
  <c r="M323" i="39"/>
  <c r="M322" i="39"/>
  <c r="M321" i="39"/>
  <c r="M320" i="39"/>
  <c r="M319" i="39"/>
  <c r="M318" i="39"/>
  <c r="M317" i="39"/>
  <c r="A317" i="39" a="1"/>
  <c r="A324" i="39"/>
  <c r="M315" i="39"/>
  <c r="M314" i="39"/>
  <c r="M313" i="39"/>
  <c r="M312" i="39"/>
  <c r="M311" i="39"/>
  <c r="M310" i="39"/>
  <c r="M309" i="39"/>
  <c r="M308" i="39"/>
  <c r="A308" i="39" a="1"/>
  <c r="A315" i="39"/>
  <c r="M306" i="39"/>
  <c r="M305" i="39"/>
  <c r="M304" i="39"/>
  <c r="M303" i="39"/>
  <c r="M302" i="39"/>
  <c r="M301" i="39"/>
  <c r="M300" i="39"/>
  <c r="M299" i="39"/>
  <c r="A299" i="39" a="1"/>
  <c r="A306" i="39"/>
  <c r="M297" i="39"/>
  <c r="M296" i="39"/>
  <c r="M295" i="39"/>
  <c r="M294" i="39"/>
  <c r="M293" i="39"/>
  <c r="M292" i="39"/>
  <c r="M291" i="39"/>
  <c r="M290" i="39"/>
  <c r="A290" i="39" a="1"/>
  <c r="A297" i="39"/>
  <c r="M288" i="39"/>
  <c r="M287" i="39"/>
  <c r="M286" i="39"/>
  <c r="M285" i="39"/>
  <c r="M284" i="39"/>
  <c r="M283" i="39"/>
  <c r="M282" i="39"/>
  <c r="M281" i="39"/>
  <c r="A281" i="39" a="1"/>
  <c r="A288" i="39"/>
  <c r="M279" i="39"/>
  <c r="M278" i="39"/>
  <c r="M277" i="39"/>
  <c r="M276" i="39"/>
  <c r="M275" i="39"/>
  <c r="M274" i="39"/>
  <c r="M273" i="39"/>
  <c r="M272" i="39"/>
  <c r="A272" i="39" a="1"/>
  <c r="A279" i="39"/>
  <c r="M270" i="39"/>
  <c r="M269" i="39"/>
  <c r="M268" i="39"/>
  <c r="M267" i="39"/>
  <c r="M266" i="39"/>
  <c r="M265" i="39"/>
  <c r="M264" i="39"/>
  <c r="M263" i="39"/>
  <c r="A263" i="39" a="1"/>
  <c r="A270" i="39"/>
  <c r="M261" i="39"/>
  <c r="M260" i="39"/>
  <c r="M259" i="39"/>
  <c r="M258" i="39"/>
  <c r="M257" i="39"/>
  <c r="M256" i="39"/>
  <c r="M255" i="39"/>
  <c r="M254" i="39"/>
  <c r="A254" i="39" a="1"/>
  <c r="A261" i="39"/>
  <c r="M252" i="39"/>
  <c r="M251" i="39"/>
  <c r="M250" i="39"/>
  <c r="M249" i="39"/>
  <c r="M248" i="39"/>
  <c r="M247" i="39"/>
  <c r="M246" i="39"/>
  <c r="M245" i="39"/>
  <c r="A245" i="39" a="1"/>
  <c r="A252" i="39"/>
  <c r="M243" i="39"/>
  <c r="A243" i="39"/>
  <c r="M242" i="39"/>
  <c r="M241" i="39"/>
  <c r="M240" i="39"/>
  <c r="M238" i="39"/>
  <c r="A238" i="39"/>
  <c r="M237" i="39"/>
  <c r="M236" i="39"/>
  <c r="M235" i="39"/>
  <c r="A224" i="39" a="1"/>
  <c r="A231" i="39"/>
  <c r="A215" i="39" a="1"/>
  <c r="A222" i="39"/>
  <c r="A206" i="39" a="1"/>
  <c r="A213" i="39"/>
  <c r="A197" i="39" a="1"/>
  <c r="A203" i="39"/>
  <c r="M195" i="39"/>
  <c r="M194" i="39"/>
  <c r="M193" i="39"/>
  <c r="M192" i="39"/>
  <c r="M191" i="39"/>
  <c r="M190" i="39"/>
  <c r="M189" i="39"/>
  <c r="M188" i="39"/>
  <c r="M187" i="39"/>
  <c r="A187" i="39" a="1"/>
  <c r="A193" i="39"/>
  <c r="M185" i="39"/>
  <c r="M184" i="39"/>
  <c r="M183" i="39"/>
  <c r="M182" i="39"/>
  <c r="M181" i="39"/>
  <c r="M180" i="39"/>
  <c r="M179" i="39"/>
  <c r="M178" i="39"/>
  <c r="M177" i="39"/>
  <c r="A177" i="39" a="1"/>
  <c r="A183" i="39"/>
  <c r="M175" i="39"/>
  <c r="M174" i="39"/>
  <c r="M173" i="39"/>
  <c r="M172" i="39"/>
  <c r="M171" i="39"/>
  <c r="M170" i="39"/>
  <c r="M169" i="39"/>
  <c r="M168" i="39"/>
  <c r="M167" i="39"/>
  <c r="A167" i="39" a="1"/>
  <c r="A173" i="39"/>
  <c r="M165" i="39"/>
  <c r="M164" i="39"/>
  <c r="M163" i="39"/>
  <c r="M162" i="39"/>
  <c r="M161" i="39"/>
  <c r="M160" i="39"/>
  <c r="M159" i="39"/>
  <c r="M158" i="39"/>
  <c r="M157" i="39"/>
  <c r="A157" i="39" a="1"/>
  <c r="A163" i="39"/>
  <c r="M155" i="39"/>
  <c r="M154" i="39"/>
  <c r="M153" i="39"/>
  <c r="M152" i="39"/>
  <c r="M151" i="39"/>
  <c r="M150" i="39"/>
  <c r="M149" i="39"/>
  <c r="M148" i="39"/>
  <c r="A148" i="39" a="1"/>
  <c r="A154" i="39"/>
  <c r="M146" i="39"/>
  <c r="M145" i="39"/>
  <c r="M144" i="39"/>
  <c r="M143" i="39"/>
  <c r="M142" i="39"/>
  <c r="M141" i="39"/>
  <c r="M140" i="39"/>
  <c r="M139" i="39"/>
  <c r="A139" i="39" a="1"/>
  <c r="A145" i="39"/>
  <c r="M137" i="39"/>
  <c r="M136" i="39"/>
  <c r="M135" i="39"/>
  <c r="M134" i="39"/>
  <c r="M133" i="39"/>
  <c r="M132" i="39"/>
  <c r="M131" i="39"/>
  <c r="M130" i="39"/>
  <c r="A130" i="39" a="1"/>
  <c r="M128" i="39"/>
  <c r="M127" i="39"/>
  <c r="M126" i="39"/>
  <c r="M125" i="39"/>
  <c r="M124" i="39"/>
  <c r="M123" i="39"/>
  <c r="M122" i="39"/>
  <c r="M121" i="39"/>
  <c r="A121" i="39" a="1"/>
  <c r="A122" i="39"/>
  <c r="M119" i="39"/>
  <c r="M118" i="39"/>
  <c r="M117" i="39"/>
  <c r="M116" i="39"/>
  <c r="M115" i="39"/>
  <c r="M114" i="39"/>
  <c r="M113" i="39"/>
  <c r="M112" i="39"/>
  <c r="A112" i="39" a="1"/>
  <c r="A119" i="39"/>
  <c r="M110" i="39"/>
  <c r="M109" i="39"/>
  <c r="M108" i="39"/>
  <c r="M107" i="39"/>
  <c r="M106" i="39"/>
  <c r="M105" i="39"/>
  <c r="M104" i="39"/>
  <c r="M103" i="39"/>
  <c r="A103" i="39" a="1"/>
  <c r="A110" i="39"/>
  <c r="M101" i="39"/>
  <c r="M100" i="39"/>
  <c r="M99" i="39"/>
  <c r="M98" i="39"/>
  <c r="M97" i="39"/>
  <c r="M96" i="39"/>
  <c r="M95" i="39"/>
  <c r="M94" i="39"/>
  <c r="A94" i="39" a="1"/>
  <c r="A100" i="39"/>
  <c r="M92" i="39"/>
  <c r="M91" i="39"/>
  <c r="M90" i="39"/>
  <c r="M89" i="39"/>
  <c r="M88" i="39"/>
  <c r="M87" i="39"/>
  <c r="M86" i="39"/>
  <c r="M85" i="39"/>
  <c r="A85" i="39" a="1"/>
  <c r="A92" i="39"/>
  <c r="M83" i="39"/>
  <c r="M82" i="39"/>
  <c r="M81" i="39"/>
  <c r="M80" i="39"/>
  <c r="M79" i="39"/>
  <c r="M78" i="39"/>
  <c r="M77" i="39"/>
  <c r="M76" i="39"/>
  <c r="A76" i="39" a="1"/>
  <c r="A82" i="39"/>
  <c r="M74" i="39"/>
  <c r="M73" i="39"/>
  <c r="M72" i="39"/>
  <c r="M71" i="39"/>
  <c r="M70" i="39"/>
  <c r="M69" i="39"/>
  <c r="M68" i="39"/>
  <c r="M67" i="39"/>
  <c r="A67" i="39" a="1"/>
  <c r="A74" i="39"/>
  <c r="M65" i="39"/>
  <c r="M64" i="39"/>
  <c r="M63" i="39"/>
  <c r="M62" i="39"/>
  <c r="M61" i="39"/>
  <c r="M60" i="39"/>
  <c r="M59" i="39"/>
  <c r="M58" i="39"/>
  <c r="A58" i="39" a="1"/>
  <c r="A64" i="39"/>
  <c r="M56" i="39"/>
  <c r="M55" i="39"/>
  <c r="M54" i="39"/>
  <c r="M53" i="39"/>
  <c r="M52" i="39"/>
  <c r="M51" i="39"/>
  <c r="M50" i="39"/>
  <c r="M49" i="39"/>
  <c r="A49" i="39" a="1"/>
  <c r="A56" i="39"/>
  <c r="B41" i="39" a="1"/>
  <c r="J41" i="39"/>
  <c r="E39" i="39"/>
  <c r="D39" i="39"/>
  <c r="C39" i="39"/>
  <c r="B39" i="39"/>
  <c r="A31" i="39" a="1"/>
  <c r="A37" i="39"/>
  <c r="E29" i="39"/>
  <c r="E26" i="39"/>
  <c r="D26" i="39"/>
  <c r="C26" i="39"/>
  <c r="B26" i="39"/>
  <c r="A18" i="39" a="1"/>
  <c r="A24" i="39"/>
  <c r="E16" i="39"/>
  <c r="E13" i="39"/>
  <c r="D13" i="39"/>
  <c r="C13" i="39"/>
  <c r="B13" i="39"/>
  <c r="A5" i="39" a="1"/>
  <c r="A11" i="39"/>
  <c r="E3" i="39"/>
  <c r="A2" i="39"/>
  <c r="A1" i="39"/>
  <c r="C1" i="37"/>
  <c r="A170" i="37" a="1"/>
  <c r="A177" i="37"/>
  <c r="A160" i="37" a="1"/>
  <c r="A167" i="37"/>
  <c r="M158" i="37"/>
  <c r="M157" i="37"/>
  <c r="M156" i="37"/>
  <c r="M155" i="37"/>
  <c r="M154" i="37"/>
  <c r="M153" i="37"/>
  <c r="M152" i="37"/>
  <c r="M151" i="37"/>
  <c r="M150" i="37"/>
  <c r="A150" i="37" a="1"/>
  <c r="A152" i="37"/>
  <c r="M148" i="37"/>
  <c r="M147" i="37"/>
  <c r="M146" i="37"/>
  <c r="M145" i="37"/>
  <c r="M144" i="37"/>
  <c r="M143" i="37"/>
  <c r="M142" i="37"/>
  <c r="M141" i="37"/>
  <c r="A141" i="37" a="1"/>
  <c r="A141" i="37"/>
  <c r="M130" i="37"/>
  <c r="M129" i="37"/>
  <c r="M128" i="37"/>
  <c r="M127" i="37"/>
  <c r="M126" i="37"/>
  <c r="M125" i="37"/>
  <c r="M124" i="37"/>
  <c r="M123" i="37"/>
  <c r="M122" i="37"/>
  <c r="A122" i="37" a="1"/>
  <c r="A129" i="37"/>
  <c r="M120" i="37"/>
  <c r="M119" i="37"/>
  <c r="M118" i="37"/>
  <c r="M117" i="37"/>
  <c r="M116" i="37"/>
  <c r="M115" i="37"/>
  <c r="M114" i="37"/>
  <c r="M113" i="37"/>
  <c r="M112" i="37"/>
  <c r="A112" i="37" a="1"/>
  <c r="A115" i="37"/>
  <c r="M110" i="37"/>
  <c r="A110" i="37"/>
  <c r="M109" i="37"/>
  <c r="M108" i="37"/>
  <c r="M107" i="37"/>
  <c r="M106" i="37"/>
  <c r="M105" i="37"/>
  <c r="M104" i="37"/>
  <c r="M103" i="37"/>
  <c r="M102" i="37"/>
  <c r="A102" i="37" a="1"/>
  <c r="A109" i="37"/>
  <c r="M100" i="37"/>
  <c r="A100" i="37"/>
  <c r="M99" i="37"/>
  <c r="M98" i="37"/>
  <c r="M97" i="37"/>
  <c r="M96" i="37"/>
  <c r="M95" i="37"/>
  <c r="M94" i="37"/>
  <c r="M93" i="37"/>
  <c r="M92" i="37"/>
  <c r="A92" i="37" a="1"/>
  <c r="A95" i="37"/>
  <c r="M90" i="37"/>
  <c r="A90" i="37"/>
  <c r="M89" i="37"/>
  <c r="M88" i="37"/>
  <c r="M87" i="37"/>
  <c r="M86" i="37"/>
  <c r="M85" i="37"/>
  <c r="M84" i="37"/>
  <c r="M83" i="37"/>
  <c r="M82" i="37"/>
  <c r="A82" i="37" a="1"/>
  <c r="A89" i="37"/>
  <c r="M80" i="37"/>
  <c r="A80" i="37"/>
  <c r="M79" i="37"/>
  <c r="M78" i="37"/>
  <c r="M77" i="37"/>
  <c r="M76" i="37"/>
  <c r="M75" i="37"/>
  <c r="M74" i="37"/>
  <c r="M73" i="37"/>
  <c r="M72" i="37"/>
  <c r="A72" i="37" a="1"/>
  <c r="A75" i="37"/>
  <c r="M70" i="37"/>
  <c r="A70" i="37"/>
  <c r="M69" i="37"/>
  <c r="M68" i="37"/>
  <c r="M67" i="37"/>
  <c r="M66" i="37"/>
  <c r="M65" i="37"/>
  <c r="M64" i="37"/>
  <c r="M63" i="37"/>
  <c r="M62" i="37"/>
  <c r="A62" i="37" a="1"/>
  <c r="A69" i="37"/>
  <c r="M60" i="37"/>
  <c r="A60" i="37"/>
  <c r="M59" i="37"/>
  <c r="M58" i="37"/>
  <c r="M57" i="37"/>
  <c r="M56" i="37"/>
  <c r="M55" i="37"/>
  <c r="M54" i="37"/>
  <c r="M53" i="37"/>
  <c r="M52" i="37"/>
  <c r="A52" i="37" a="1"/>
  <c r="A55" i="37"/>
  <c r="M50" i="37"/>
  <c r="M49" i="37"/>
  <c r="M48" i="37"/>
  <c r="M47" i="37"/>
  <c r="M46" i="37"/>
  <c r="M45" i="37"/>
  <c r="M44" i="37"/>
  <c r="M43" i="37"/>
  <c r="M42" i="37"/>
  <c r="A42" i="37" a="1"/>
  <c r="A46" i="37"/>
  <c r="M40" i="37"/>
  <c r="M39" i="37"/>
  <c r="M38" i="37"/>
  <c r="M37" i="37"/>
  <c r="M36" i="37"/>
  <c r="M35" i="37"/>
  <c r="M34" i="37"/>
  <c r="M33" i="37"/>
  <c r="M32" i="37"/>
  <c r="A32" i="37" a="1"/>
  <c r="A38" i="37"/>
  <c r="M30" i="37"/>
  <c r="M29" i="37"/>
  <c r="M28" i="37"/>
  <c r="M27" i="37"/>
  <c r="M26" i="37"/>
  <c r="M25" i="37"/>
  <c r="M24" i="37"/>
  <c r="M23" i="37"/>
  <c r="M22" i="37"/>
  <c r="A22" i="37" a="1"/>
  <c r="A28" i="37"/>
  <c r="B15" i="37" a="1"/>
  <c r="K15" i="37"/>
  <c r="G13" i="37"/>
  <c r="F13" i="37"/>
  <c r="E13" i="37"/>
  <c r="D13" i="37"/>
  <c r="C13" i="37"/>
  <c r="B13" i="37"/>
  <c r="A5" i="37" a="1"/>
  <c r="A11" i="37"/>
  <c r="G2" i="37"/>
  <c r="F2" i="37"/>
  <c r="E2" i="37"/>
  <c r="D2" i="37"/>
  <c r="A1" i="37"/>
  <c r="A133" i="37"/>
  <c r="A135" i="37"/>
  <c r="A137" i="37"/>
  <c r="A139" i="37"/>
  <c r="A132" i="37"/>
  <c r="A134" i="37"/>
  <c r="A136" i="37"/>
  <c r="A133" i="35"/>
  <c r="A135" i="35"/>
  <c r="A137" i="35"/>
  <c r="A139" i="35"/>
  <c r="A132" i="35"/>
  <c r="A134" i="35"/>
  <c r="A136" i="35"/>
  <c r="A133" i="7"/>
  <c r="A135" i="7"/>
  <c r="A137" i="7"/>
  <c r="A139" i="7"/>
  <c r="A132" i="7"/>
  <c r="A134" i="7"/>
  <c r="A136" i="7"/>
  <c r="A659" i="39"/>
  <c r="A49" i="39"/>
  <c r="A112" i="39"/>
  <c r="A551" i="39"/>
  <c r="A641" i="39"/>
  <c r="A677" i="39"/>
  <c r="A587" i="39"/>
  <c r="A510" i="39"/>
  <c r="A528" i="39"/>
  <c r="A605" i="39"/>
  <c r="A645" i="39"/>
  <c r="A663" i="39"/>
  <c r="A681" i="39"/>
  <c r="A116" i="39"/>
  <c r="A215" i="39"/>
  <c r="A506" i="39"/>
  <c r="A524" i="39"/>
  <c r="A555" i="39"/>
  <c r="A560" i="39"/>
  <c r="A126" i="39"/>
  <c r="A208" i="39"/>
  <c r="A212" i="39"/>
  <c r="A219" i="39"/>
  <c r="A226" i="39"/>
  <c r="A230" i="39"/>
  <c r="A349" i="39"/>
  <c r="A497" i="39"/>
  <c r="A501" i="39"/>
  <c r="A508" i="39"/>
  <c r="A512" i="39"/>
  <c r="A515" i="39"/>
  <c r="A519" i="39"/>
  <c r="A526" i="39"/>
  <c r="A530" i="39"/>
  <c r="A533" i="39"/>
  <c r="A537" i="39"/>
  <c r="A542" i="39"/>
  <c r="A546" i="39"/>
  <c r="A553" i="39"/>
  <c r="A562" i="39"/>
  <c r="A569" i="39"/>
  <c r="A578" i="39"/>
  <c r="A589" i="39"/>
  <c r="A596" i="39"/>
  <c r="A607" i="39"/>
  <c r="A614" i="39"/>
  <c r="A623" i="39"/>
  <c r="A632" i="39"/>
  <c r="A652" i="39"/>
  <c r="A656" i="39"/>
  <c r="A670" i="39"/>
  <c r="A674" i="39"/>
  <c r="A698" i="39"/>
  <c r="A702" i="39"/>
  <c r="A67" i="39"/>
  <c r="A94" i="39"/>
  <c r="A114" i="39"/>
  <c r="A118" i="39"/>
  <c r="A197" i="39"/>
  <c r="A206" i="39"/>
  <c r="A210" i="39"/>
  <c r="A217" i="39"/>
  <c r="A221" i="39"/>
  <c r="A224" i="39"/>
  <c r="A228" i="39"/>
  <c r="A499" i="39"/>
  <c r="A503" i="39"/>
  <c r="A517" i="39"/>
  <c r="A521" i="39"/>
  <c r="A535" i="39"/>
  <c r="A544" i="39"/>
  <c r="A548" i="39"/>
  <c r="A580" i="39"/>
  <c r="A598" i="39"/>
  <c r="A643" i="39"/>
  <c r="A647" i="39"/>
  <c r="A650" i="39"/>
  <c r="A654" i="39"/>
  <c r="A661" i="39"/>
  <c r="A665" i="39"/>
  <c r="A668" i="39"/>
  <c r="A672" i="39"/>
  <c r="A679" i="39"/>
  <c r="A683" i="39"/>
  <c r="A696" i="39"/>
  <c r="A700" i="39"/>
  <c r="A706" i="39"/>
  <c r="A136" i="39"/>
  <c r="A134" i="39"/>
  <c r="A132" i="39"/>
  <c r="A130" i="39"/>
  <c r="A6" i="39"/>
  <c r="A8" i="39"/>
  <c r="A10" i="39"/>
  <c r="A12" i="39"/>
  <c r="A19" i="39"/>
  <c r="A21" i="39"/>
  <c r="A23" i="39"/>
  <c r="A25" i="39"/>
  <c r="A32" i="39"/>
  <c r="A34" i="39"/>
  <c r="A36" i="39"/>
  <c r="A38" i="39"/>
  <c r="C41" i="39"/>
  <c r="E41" i="39"/>
  <c r="G41" i="39"/>
  <c r="I41" i="39"/>
  <c r="K41" i="39"/>
  <c r="A51" i="39"/>
  <c r="A53" i="39"/>
  <c r="A55" i="39"/>
  <c r="A59" i="39"/>
  <c r="A61" i="39"/>
  <c r="A63" i="39"/>
  <c r="A65" i="39"/>
  <c r="A69" i="39"/>
  <c r="A71" i="39"/>
  <c r="A73" i="39"/>
  <c r="A77" i="39"/>
  <c r="A79" i="39"/>
  <c r="A81" i="39"/>
  <c r="A83" i="39"/>
  <c r="A85" i="39"/>
  <c r="A87" i="39"/>
  <c r="A89" i="39"/>
  <c r="A91" i="39"/>
  <c r="A95" i="39"/>
  <c r="A97" i="39"/>
  <c r="A99" i="39"/>
  <c r="A101" i="39"/>
  <c r="A103" i="39"/>
  <c r="A105" i="39"/>
  <c r="A107" i="39"/>
  <c r="A109" i="39"/>
  <c r="A133" i="39"/>
  <c r="A137" i="39"/>
  <c r="A127" i="39"/>
  <c r="A125" i="39"/>
  <c r="A123" i="39"/>
  <c r="A121" i="39"/>
  <c r="A5" i="39"/>
  <c r="A7" i="39"/>
  <c r="A9" i="39"/>
  <c r="A18" i="39"/>
  <c r="A20" i="39"/>
  <c r="A22" i="39"/>
  <c r="A31" i="39"/>
  <c r="A33" i="39"/>
  <c r="A35" i="39"/>
  <c r="B41" i="39"/>
  <c r="D41" i="39"/>
  <c r="F41" i="39"/>
  <c r="H41" i="39"/>
  <c r="A50" i="39"/>
  <c r="A52" i="39"/>
  <c r="A54" i="39"/>
  <c r="A58" i="39"/>
  <c r="A60" i="39"/>
  <c r="A62" i="39"/>
  <c r="A68" i="39"/>
  <c r="A70" i="39"/>
  <c r="A72" i="39"/>
  <c r="A76" i="39"/>
  <c r="A78" i="39"/>
  <c r="A80" i="39"/>
  <c r="A86" i="39"/>
  <c r="A88" i="39"/>
  <c r="A90" i="39"/>
  <c r="A96" i="39"/>
  <c r="A98" i="39"/>
  <c r="A104" i="39"/>
  <c r="A106" i="39"/>
  <c r="A108" i="39"/>
  <c r="A124" i="39"/>
  <c r="A128" i="39"/>
  <c r="A131" i="39"/>
  <c r="A135" i="39"/>
  <c r="A350" i="39"/>
  <c r="A348" i="39"/>
  <c r="A346" i="39"/>
  <c r="A344" i="39"/>
  <c r="A140" i="39"/>
  <c r="A142" i="39"/>
  <c r="A144" i="39"/>
  <c r="A146" i="39"/>
  <c r="A149" i="39"/>
  <c r="A151" i="39"/>
  <c r="A153" i="39"/>
  <c r="A155" i="39"/>
  <c r="A158" i="39"/>
  <c r="A160" i="39"/>
  <c r="A162" i="39"/>
  <c r="A164" i="39"/>
  <c r="A168" i="39"/>
  <c r="A170" i="39"/>
  <c r="A172" i="39"/>
  <c r="A174" i="39"/>
  <c r="A178" i="39"/>
  <c r="A180" i="39"/>
  <c r="A182" i="39"/>
  <c r="A184" i="39"/>
  <c r="A188" i="39"/>
  <c r="A190" i="39"/>
  <c r="A192" i="39"/>
  <c r="A194" i="39"/>
  <c r="A198" i="39"/>
  <c r="A200" i="39"/>
  <c r="A202" i="39"/>
  <c r="A204" i="39"/>
  <c r="A207" i="39"/>
  <c r="A209" i="39"/>
  <c r="A211" i="39"/>
  <c r="A216" i="39"/>
  <c r="A218" i="39"/>
  <c r="A220" i="39"/>
  <c r="A225" i="39"/>
  <c r="A227" i="39"/>
  <c r="A229" i="39"/>
  <c r="A245" i="39"/>
  <c r="A247" i="39"/>
  <c r="A249" i="39"/>
  <c r="A251" i="39"/>
  <c r="A254" i="39"/>
  <c r="A256" i="39"/>
  <c r="A258" i="39"/>
  <c r="A260" i="39"/>
  <c r="A263" i="39"/>
  <c r="A265" i="39"/>
  <c r="A267" i="39"/>
  <c r="A269" i="39"/>
  <c r="A272" i="39"/>
  <c r="A274" i="39"/>
  <c r="A276" i="39"/>
  <c r="A278" i="39"/>
  <c r="A281" i="39"/>
  <c r="A283" i="39"/>
  <c r="A285" i="39"/>
  <c r="A287" i="39"/>
  <c r="A290" i="39"/>
  <c r="A292" i="39"/>
  <c r="A294" i="39"/>
  <c r="A296" i="39"/>
  <c r="A299" i="39"/>
  <c r="A301" i="39"/>
  <c r="A303" i="39"/>
  <c r="A305" i="39"/>
  <c r="A308" i="39"/>
  <c r="A310" i="39"/>
  <c r="A312" i="39"/>
  <c r="A314" i="39"/>
  <c r="A317" i="39"/>
  <c r="A319" i="39"/>
  <c r="A321" i="39"/>
  <c r="A323" i="39"/>
  <c r="A326" i="39"/>
  <c r="A328" i="39"/>
  <c r="A330" i="39"/>
  <c r="A333" i="39"/>
  <c r="A336" i="39"/>
  <c r="A347" i="39"/>
  <c r="A351" i="39"/>
  <c r="A354" i="39"/>
  <c r="A341" i="39"/>
  <c r="A339" i="39"/>
  <c r="A337" i="39"/>
  <c r="A335" i="39"/>
  <c r="A359" i="39"/>
  <c r="A357" i="39"/>
  <c r="A355" i="39"/>
  <c r="A353" i="39"/>
  <c r="A113" i="39"/>
  <c r="A115" i="39"/>
  <c r="A117" i="39"/>
  <c r="A139" i="39"/>
  <c r="A141" i="39"/>
  <c r="A143" i="39"/>
  <c r="A148" i="39"/>
  <c r="A150" i="39"/>
  <c r="A152" i="39"/>
  <c r="A157" i="39"/>
  <c r="A159" i="39"/>
  <c r="A161" i="39"/>
  <c r="A167" i="39"/>
  <c r="A169" i="39"/>
  <c r="A171" i="39"/>
  <c r="A177" i="39"/>
  <c r="A179" i="39"/>
  <c r="A181" i="39"/>
  <c r="A187" i="39"/>
  <c r="A189" i="39"/>
  <c r="A191" i="39"/>
  <c r="A199" i="39"/>
  <c r="A201" i="39"/>
  <c r="A246" i="39"/>
  <c r="A248" i="39"/>
  <c r="A250" i="39"/>
  <c r="A255" i="39"/>
  <c r="A257" i="39"/>
  <c r="A259" i="39"/>
  <c r="A264" i="39"/>
  <c r="A266" i="39"/>
  <c r="A268" i="39"/>
  <c r="A273" i="39"/>
  <c r="A275" i="39"/>
  <c r="A277" i="39"/>
  <c r="A282" i="39"/>
  <c r="A284" i="39"/>
  <c r="A286" i="39"/>
  <c r="A291" i="39"/>
  <c r="A293" i="39"/>
  <c r="A295" i="39"/>
  <c r="A300" i="39"/>
  <c r="A302" i="39"/>
  <c r="A304" i="39"/>
  <c r="A309" i="39"/>
  <c r="A311" i="39"/>
  <c r="A313" i="39"/>
  <c r="A318" i="39"/>
  <c r="A320" i="39"/>
  <c r="A322" i="39"/>
  <c r="A327" i="39"/>
  <c r="A329" i="39"/>
  <c r="A331" i="39"/>
  <c r="A338" i="39"/>
  <c r="A342" i="39"/>
  <c r="A356" i="39"/>
  <c r="A360" i="39"/>
  <c r="A363" i="39"/>
  <c r="A365" i="39"/>
  <c r="A367" i="39"/>
  <c r="A369" i="39"/>
  <c r="A372" i="39"/>
  <c r="A374" i="39"/>
  <c r="A376" i="39"/>
  <c r="A378" i="39"/>
  <c r="A381" i="39"/>
  <c r="A383" i="39"/>
  <c r="A385" i="39"/>
  <c r="A387" i="39"/>
  <c r="A390" i="39"/>
  <c r="A392" i="39"/>
  <c r="A394" i="39"/>
  <c r="A396" i="39"/>
  <c r="A399" i="39"/>
  <c r="A401" i="39"/>
  <c r="A403" i="39"/>
  <c r="A405" i="39"/>
  <c r="A408" i="39"/>
  <c r="A410" i="39"/>
  <c r="A412" i="39"/>
  <c r="A414" i="39"/>
  <c r="A417" i="39"/>
  <c r="A419" i="39"/>
  <c r="A421" i="39"/>
  <c r="A423" i="39"/>
  <c r="A426" i="39"/>
  <c r="A428" i="39"/>
  <c r="A430" i="39"/>
  <c r="A432" i="39"/>
  <c r="A435" i="39"/>
  <c r="A437" i="39"/>
  <c r="A439" i="39"/>
  <c r="A441" i="39"/>
  <c r="A444" i="39"/>
  <c r="A446" i="39"/>
  <c r="A448" i="39"/>
  <c r="A450" i="39"/>
  <c r="A453" i="39"/>
  <c r="A455" i="39"/>
  <c r="A457" i="39"/>
  <c r="A459" i="39"/>
  <c r="A462" i="39"/>
  <c r="A464" i="39"/>
  <c r="A466" i="39"/>
  <c r="A468" i="39"/>
  <c r="A471" i="39"/>
  <c r="A473" i="39"/>
  <c r="A475" i="39"/>
  <c r="A477" i="39"/>
  <c r="A480" i="39"/>
  <c r="A482" i="39"/>
  <c r="A484" i="39"/>
  <c r="A486" i="39"/>
  <c r="A489" i="39"/>
  <c r="A491" i="39"/>
  <c r="A493" i="39"/>
  <c r="A495" i="39"/>
  <c r="A498" i="39"/>
  <c r="A500" i="39"/>
  <c r="A502" i="39"/>
  <c r="A507" i="39"/>
  <c r="A509" i="39"/>
  <c r="A511" i="39"/>
  <c r="A516" i="39"/>
  <c r="A518" i="39"/>
  <c r="A520" i="39"/>
  <c r="A525" i="39"/>
  <c r="A527" i="39"/>
  <c r="A529" i="39"/>
  <c r="A534" i="39"/>
  <c r="A536" i="39"/>
  <c r="A538" i="39"/>
  <c r="A540" i="39"/>
  <c r="A362" i="39"/>
  <c r="A364" i="39"/>
  <c r="A366" i="39"/>
  <c r="A371" i="39"/>
  <c r="A373" i="39"/>
  <c r="A375" i="39"/>
  <c r="A380" i="39"/>
  <c r="A382" i="39"/>
  <c r="A384" i="39"/>
  <c r="A389" i="39"/>
  <c r="A391" i="39"/>
  <c r="A393" i="39"/>
  <c r="A398" i="39"/>
  <c r="A400" i="39"/>
  <c r="A402" i="39"/>
  <c r="A407" i="39"/>
  <c r="A409" i="39"/>
  <c r="A411" i="39"/>
  <c r="A416" i="39"/>
  <c r="A418" i="39"/>
  <c r="A420" i="39"/>
  <c r="A425" i="39"/>
  <c r="A427" i="39"/>
  <c r="A429" i="39"/>
  <c r="A434" i="39"/>
  <c r="A436" i="39"/>
  <c r="A438" i="39"/>
  <c r="A443" i="39"/>
  <c r="A445" i="39"/>
  <c r="A447" i="39"/>
  <c r="A452" i="39"/>
  <c r="A454" i="39"/>
  <c r="A456" i="39"/>
  <c r="A461" i="39"/>
  <c r="A463" i="39"/>
  <c r="A465" i="39"/>
  <c r="A470" i="39"/>
  <c r="A472" i="39"/>
  <c r="A474" i="39"/>
  <c r="A479" i="39"/>
  <c r="A481" i="39"/>
  <c r="A483" i="39"/>
  <c r="A488" i="39"/>
  <c r="A490" i="39"/>
  <c r="A492" i="39"/>
  <c r="A543" i="39"/>
  <c r="A545" i="39"/>
  <c r="A547" i="39"/>
  <c r="A552" i="39"/>
  <c r="A554" i="39"/>
  <c r="A556" i="39"/>
  <c r="A558" i="39"/>
  <c r="A561" i="39"/>
  <c r="A563" i="39"/>
  <c r="A565" i="39"/>
  <c r="A567" i="39"/>
  <c r="A570" i="39"/>
  <c r="A572" i="39"/>
  <c r="A574" i="39"/>
  <c r="A576" i="39"/>
  <c r="A579" i="39"/>
  <c r="A581" i="39"/>
  <c r="A583" i="39"/>
  <c r="A585" i="39"/>
  <c r="A588" i="39"/>
  <c r="A590" i="39"/>
  <c r="A592" i="39"/>
  <c r="A594" i="39"/>
  <c r="A597" i="39"/>
  <c r="A599" i="39"/>
  <c r="A601" i="39"/>
  <c r="A603" i="39"/>
  <c r="A606" i="39"/>
  <c r="A608" i="39"/>
  <c r="A610" i="39"/>
  <c r="A612" i="39"/>
  <c r="A615" i="39"/>
  <c r="A617" i="39"/>
  <c r="A619" i="39"/>
  <c r="A621" i="39"/>
  <c r="A624" i="39"/>
  <c r="A626" i="39"/>
  <c r="A628" i="39"/>
  <c r="A630" i="39"/>
  <c r="A633" i="39"/>
  <c r="A635" i="39"/>
  <c r="A637" i="39"/>
  <c r="A639" i="39"/>
  <c r="A564" i="39"/>
  <c r="A571" i="39"/>
  <c r="A573" i="39"/>
  <c r="A582" i="39"/>
  <c r="A591" i="39"/>
  <c r="A600" i="39"/>
  <c r="A609" i="39"/>
  <c r="A616" i="39"/>
  <c r="A618" i="39"/>
  <c r="A625" i="39"/>
  <c r="A627" i="39"/>
  <c r="A634" i="39"/>
  <c r="A636" i="39"/>
  <c r="A688" i="39"/>
  <c r="A690" i="39"/>
  <c r="A692" i="39"/>
  <c r="A694" i="39"/>
  <c r="A707" i="39"/>
  <c r="A709" i="39"/>
  <c r="A711" i="39"/>
  <c r="A713" i="39"/>
  <c r="A642" i="39"/>
  <c r="A644" i="39"/>
  <c r="A646" i="39"/>
  <c r="A651" i="39"/>
  <c r="A653" i="39"/>
  <c r="A655" i="39"/>
  <c r="A660" i="39"/>
  <c r="A662" i="39"/>
  <c r="A664" i="39"/>
  <c r="A669" i="39"/>
  <c r="A671" i="39"/>
  <c r="A673" i="39"/>
  <c r="A678" i="39"/>
  <c r="A680" i="39"/>
  <c r="A682" i="39"/>
  <c r="A687" i="39"/>
  <c r="A689" i="39"/>
  <c r="A691" i="39"/>
  <c r="A697" i="39"/>
  <c r="A699" i="39"/>
  <c r="A701" i="39"/>
  <c r="A708" i="39"/>
  <c r="A710" i="39"/>
  <c r="A24" i="37"/>
  <c r="A64" i="37"/>
  <c r="A84" i="37"/>
  <c r="A99" i="37"/>
  <c r="A102" i="37"/>
  <c r="A106" i="37"/>
  <c r="A119" i="37"/>
  <c r="A176" i="37"/>
  <c r="A76" i="37"/>
  <c r="A96" i="37"/>
  <c r="A105" i="37"/>
  <c r="A116" i="37"/>
  <c r="A173" i="37"/>
  <c r="A170" i="35" a="1"/>
  <c r="A177" i="35"/>
  <c r="A160" i="35" a="1"/>
  <c r="A166" i="35"/>
  <c r="M158" i="35"/>
  <c r="M157" i="35"/>
  <c r="M156" i="35"/>
  <c r="M155" i="35"/>
  <c r="M154" i="35"/>
  <c r="M153" i="35"/>
  <c r="M152" i="35"/>
  <c r="M151" i="35"/>
  <c r="M150" i="35"/>
  <c r="A150" i="35" a="1"/>
  <c r="A157" i="35"/>
  <c r="M148" i="35"/>
  <c r="M147" i="35"/>
  <c r="M146" i="35"/>
  <c r="M145" i="35"/>
  <c r="M144" i="35"/>
  <c r="M143" i="35"/>
  <c r="M142" i="35"/>
  <c r="M141" i="35"/>
  <c r="A141" i="35" a="1"/>
  <c r="A148" i="35"/>
  <c r="M130" i="35"/>
  <c r="M129" i="35"/>
  <c r="M128" i="35"/>
  <c r="M127" i="35"/>
  <c r="M126" i="35"/>
  <c r="M125" i="35"/>
  <c r="M124" i="35"/>
  <c r="M123" i="35"/>
  <c r="M122" i="35"/>
  <c r="A122" i="35" a="1"/>
  <c r="A129" i="35"/>
  <c r="M120" i="35"/>
  <c r="M119" i="35"/>
  <c r="M118" i="35"/>
  <c r="M117" i="35"/>
  <c r="M116" i="35"/>
  <c r="M115" i="35"/>
  <c r="M114" i="35"/>
  <c r="M113" i="35"/>
  <c r="M112" i="35"/>
  <c r="A112" i="35" a="1"/>
  <c r="A119" i="35"/>
  <c r="M110" i="35"/>
  <c r="A110" i="35"/>
  <c r="M109" i="35"/>
  <c r="M108" i="35"/>
  <c r="M107" i="35"/>
  <c r="M106" i="35"/>
  <c r="M105" i="35"/>
  <c r="M104" i="35"/>
  <c r="M103" i="35"/>
  <c r="M102" i="35"/>
  <c r="A102" i="35" a="1"/>
  <c r="A109" i="35"/>
  <c r="M100" i="35"/>
  <c r="A100" i="35"/>
  <c r="M99" i="35"/>
  <c r="M98" i="35"/>
  <c r="M97" i="35"/>
  <c r="M96" i="35"/>
  <c r="M95" i="35"/>
  <c r="M94" i="35"/>
  <c r="M93" i="35"/>
  <c r="M92" i="35"/>
  <c r="A92" i="35" a="1"/>
  <c r="A99" i="35"/>
  <c r="M90" i="35"/>
  <c r="A90" i="35"/>
  <c r="M89" i="35"/>
  <c r="M88" i="35"/>
  <c r="M87" i="35"/>
  <c r="M86" i="35"/>
  <c r="M85" i="35"/>
  <c r="M84" i="35"/>
  <c r="M83" i="35"/>
  <c r="M82" i="35"/>
  <c r="A82" i="35" a="1"/>
  <c r="A89" i="35"/>
  <c r="M80" i="35"/>
  <c r="A80" i="35"/>
  <c r="M79" i="35"/>
  <c r="M78" i="35"/>
  <c r="M77" i="35"/>
  <c r="M76" i="35"/>
  <c r="M75" i="35"/>
  <c r="M74" i="35"/>
  <c r="M73" i="35"/>
  <c r="M72" i="35"/>
  <c r="A72" i="35" a="1"/>
  <c r="A79" i="35"/>
  <c r="M70" i="35"/>
  <c r="A70" i="35"/>
  <c r="M69" i="35"/>
  <c r="M68" i="35"/>
  <c r="M67" i="35"/>
  <c r="M66" i="35"/>
  <c r="M65" i="35"/>
  <c r="M64" i="35"/>
  <c r="M63" i="35"/>
  <c r="M62" i="35"/>
  <c r="A62" i="35" a="1"/>
  <c r="A69" i="35"/>
  <c r="M60" i="35"/>
  <c r="A60" i="35"/>
  <c r="M59" i="35"/>
  <c r="M58" i="35"/>
  <c r="M57" i="35"/>
  <c r="M56" i="35"/>
  <c r="M55" i="35"/>
  <c r="M54" i="35"/>
  <c r="M53" i="35"/>
  <c r="M52" i="35"/>
  <c r="A52" i="35" a="1"/>
  <c r="A59" i="35"/>
  <c r="M50" i="35"/>
  <c r="M49" i="35"/>
  <c r="M48" i="35"/>
  <c r="M47" i="35"/>
  <c r="M46" i="35"/>
  <c r="M45" i="35"/>
  <c r="M44" i="35"/>
  <c r="M43" i="35"/>
  <c r="M42" i="35"/>
  <c r="A42" i="35" a="1"/>
  <c r="A49" i="35"/>
  <c r="M40" i="35"/>
  <c r="M39" i="35"/>
  <c r="M38" i="35"/>
  <c r="M37" i="35"/>
  <c r="M36" i="35"/>
  <c r="M35" i="35"/>
  <c r="M34" i="35"/>
  <c r="M33" i="35"/>
  <c r="M32" i="35"/>
  <c r="A32" i="35" a="1"/>
  <c r="A39" i="35"/>
  <c r="M30" i="35"/>
  <c r="M29" i="35"/>
  <c r="M28" i="35"/>
  <c r="M27" i="35"/>
  <c r="M26" i="35"/>
  <c r="M25" i="35"/>
  <c r="M24" i="35"/>
  <c r="M23" i="35"/>
  <c r="M22" i="35"/>
  <c r="A22" i="35" a="1"/>
  <c r="A29" i="35"/>
  <c r="B15" i="35" a="1"/>
  <c r="K15" i="35"/>
  <c r="G13" i="35"/>
  <c r="F13" i="35"/>
  <c r="E13" i="35"/>
  <c r="D13" i="35"/>
  <c r="C13" i="35"/>
  <c r="B13" i="35"/>
  <c r="A5" i="35" a="1"/>
  <c r="A12" i="35"/>
  <c r="G2" i="35"/>
  <c r="F2" i="35"/>
  <c r="E2" i="35"/>
  <c r="D2" i="35"/>
  <c r="A1" i="35"/>
  <c r="M648" i="8"/>
  <c r="M647" i="8"/>
  <c r="M646" i="8"/>
  <c r="M645" i="8"/>
  <c r="M644" i="8"/>
  <c r="M643" i="8"/>
  <c r="M642" i="8"/>
  <c r="M641" i="8"/>
  <c r="A650" i="8" a="1"/>
  <c r="A656" i="8"/>
  <c r="M657" i="8"/>
  <c r="M656" i="8"/>
  <c r="M655" i="8"/>
  <c r="M654" i="8"/>
  <c r="M653" i="8"/>
  <c r="M652" i="8"/>
  <c r="M651" i="8"/>
  <c r="M650" i="8"/>
  <c r="A641" i="8" a="1"/>
  <c r="A648" i="8"/>
  <c r="A696" i="8" a="1"/>
  <c r="A702" i="8"/>
  <c r="A677" i="8" a="1"/>
  <c r="A677" i="8"/>
  <c r="M685" i="8"/>
  <c r="M684" i="8"/>
  <c r="M683" i="8"/>
  <c r="M682" i="8"/>
  <c r="M681" i="8"/>
  <c r="M680" i="8"/>
  <c r="M679" i="8"/>
  <c r="M678" i="8"/>
  <c r="M677" i="8"/>
  <c r="A668" i="8" a="1"/>
  <c r="A674" i="8"/>
  <c r="M675" i="8"/>
  <c r="M674" i="8"/>
  <c r="M673" i="8"/>
  <c r="M672" i="8"/>
  <c r="M671" i="8"/>
  <c r="M670" i="8"/>
  <c r="M669" i="8"/>
  <c r="M668" i="8"/>
  <c r="M666" i="8"/>
  <c r="M665" i="8"/>
  <c r="M664" i="8"/>
  <c r="M663" i="8"/>
  <c r="M662" i="8"/>
  <c r="M661" i="8"/>
  <c r="M660" i="8"/>
  <c r="M659" i="8"/>
  <c r="A659" i="8" a="1"/>
  <c r="A666" i="8"/>
  <c r="M12" i="9"/>
  <c r="M10" i="9"/>
  <c r="M11" i="9"/>
  <c r="M9" i="9"/>
  <c r="M8" i="9"/>
  <c r="M6" i="9"/>
  <c r="M4" i="9"/>
  <c r="B3" i="9" a="1"/>
  <c r="A1" i="9"/>
  <c r="A170" i="7" a="1"/>
  <c r="A176" i="7"/>
  <c r="A160" i="7" a="1"/>
  <c r="A166" i="7"/>
  <c r="M158" i="7"/>
  <c r="M157" i="7"/>
  <c r="M156" i="7"/>
  <c r="M155" i="7"/>
  <c r="M154" i="7"/>
  <c r="M153" i="7"/>
  <c r="M152" i="7"/>
  <c r="M151" i="7"/>
  <c r="M150" i="7"/>
  <c r="A150" i="7" a="1"/>
  <c r="A157" i="7"/>
  <c r="M148" i="7"/>
  <c r="M147" i="7"/>
  <c r="M146" i="7"/>
  <c r="M145" i="7"/>
  <c r="M144" i="7"/>
  <c r="M143" i="7"/>
  <c r="M142" i="7"/>
  <c r="M141" i="7"/>
  <c r="M130" i="7"/>
  <c r="M129" i="7"/>
  <c r="M128" i="7"/>
  <c r="M127" i="7"/>
  <c r="M126" i="7"/>
  <c r="M125" i="7"/>
  <c r="M124" i="7"/>
  <c r="M123" i="7"/>
  <c r="M122" i="7"/>
  <c r="A122" i="7" a="1"/>
  <c r="A129" i="7"/>
  <c r="A141" i="7" a="1"/>
  <c r="A148" i="7"/>
  <c r="M120" i="7"/>
  <c r="M119" i="7"/>
  <c r="M118" i="7"/>
  <c r="M117" i="7"/>
  <c r="M116" i="7"/>
  <c r="M115" i="7"/>
  <c r="M114" i="7"/>
  <c r="M113" i="7"/>
  <c r="M112" i="7"/>
  <c r="A112" i="7" a="1"/>
  <c r="A110" i="7"/>
  <c r="A102" i="7" a="1"/>
  <c r="A108" i="7"/>
  <c r="M110" i="7"/>
  <c r="M109" i="7"/>
  <c r="M108" i="7"/>
  <c r="M107" i="7"/>
  <c r="M106" i="7"/>
  <c r="M105" i="7"/>
  <c r="M104" i="7"/>
  <c r="M103" i="7"/>
  <c r="M102" i="7"/>
  <c r="A80" i="7"/>
  <c r="A72" i="7" a="1"/>
  <c r="A78" i="7"/>
  <c r="M80" i="7"/>
  <c r="M79" i="7"/>
  <c r="M78" i="7"/>
  <c r="M77" i="7"/>
  <c r="M76" i="7"/>
  <c r="M75" i="7"/>
  <c r="M74" i="7"/>
  <c r="M73" i="7"/>
  <c r="M72" i="7"/>
  <c r="M50" i="7"/>
  <c r="M49" i="7"/>
  <c r="M48" i="7"/>
  <c r="M47" i="7"/>
  <c r="M46" i="7"/>
  <c r="M45" i="7"/>
  <c r="M44" i="7"/>
  <c r="M43" i="7"/>
  <c r="M42" i="7"/>
  <c r="A42" i="7" a="1"/>
  <c r="A49" i="7"/>
  <c r="A100" i="7"/>
  <c r="A92" i="7" a="1"/>
  <c r="A99" i="7"/>
  <c r="A90" i="7"/>
  <c r="A82" i="7" a="1"/>
  <c r="A82" i="7"/>
  <c r="M100" i="7"/>
  <c r="M99" i="7"/>
  <c r="M98" i="7"/>
  <c r="M97" i="7"/>
  <c r="M96" i="7"/>
  <c r="M95" i="7"/>
  <c r="M94" i="7"/>
  <c r="M93" i="7"/>
  <c r="M92" i="7"/>
  <c r="M90" i="7"/>
  <c r="M89" i="7"/>
  <c r="M88" i="7"/>
  <c r="M87" i="7"/>
  <c r="M86" i="7"/>
  <c r="M85" i="7"/>
  <c r="M84" i="7"/>
  <c r="M83" i="7"/>
  <c r="M82" i="7"/>
  <c r="A70" i="7"/>
  <c r="A62" i="7" a="1"/>
  <c r="A60" i="7"/>
  <c r="A52" i="7" a="1"/>
  <c r="A58" i="7"/>
  <c r="M70" i="7"/>
  <c r="M69" i="7"/>
  <c r="M68" i="7"/>
  <c r="M67" i="7"/>
  <c r="M66" i="7"/>
  <c r="M65" i="7"/>
  <c r="M64" i="7"/>
  <c r="M63" i="7"/>
  <c r="M62" i="7"/>
  <c r="M60" i="7"/>
  <c r="M59" i="7"/>
  <c r="M58" i="7"/>
  <c r="M57" i="7"/>
  <c r="M56" i="7"/>
  <c r="M55" i="7"/>
  <c r="M54" i="7"/>
  <c r="M53" i="7"/>
  <c r="M52" i="7"/>
  <c r="M40" i="7"/>
  <c r="M39" i="7"/>
  <c r="M38" i="7"/>
  <c r="M37" i="7"/>
  <c r="M36" i="7"/>
  <c r="M35" i="7"/>
  <c r="M34" i="7"/>
  <c r="M33" i="7"/>
  <c r="M32" i="7"/>
  <c r="M30" i="7"/>
  <c r="M29" i="7"/>
  <c r="M28" i="7"/>
  <c r="M27" i="7"/>
  <c r="M26" i="7"/>
  <c r="M25" i="7"/>
  <c r="M24" i="7"/>
  <c r="M23" i="7"/>
  <c r="M22" i="7"/>
  <c r="A32" i="7" a="1"/>
  <c r="A39" i="7"/>
  <c r="A22" i="7" a="1"/>
  <c r="A29" i="7"/>
  <c r="B15" i="7" a="1"/>
  <c r="B15" i="7"/>
  <c r="A5" i="7" a="1"/>
  <c r="A10" i="7"/>
  <c r="G2" i="7"/>
  <c r="F2" i="7"/>
  <c r="E2" i="7"/>
  <c r="D2" i="7"/>
  <c r="B55" i="2"/>
  <c r="B54" i="2"/>
  <c r="A1" i="8"/>
  <c r="A1" i="7"/>
  <c r="A1" i="34"/>
  <c r="A1" i="30"/>
  <c r="A1" i="6"/>
  <c r="A706" i="8" a="1"/>
  <c r="A713" i="8"/>
  <c r="A687" i="8" a="1"/>
  <c r="A691" i="8"/>
  <c r="M639" i="8"/>
  <c r="M638" i="8"/>
  <c r="M637" i="8"/>
  <c r="M636" i="8"/>
  <c r="M635" i="8"/>
  <c r="M634" i="8"/>
  <c r="M633" i="8"/>
  <c r="M632" i="8"/>
  <c r="A632" i="8" a="1"/>
  <c r="A638" i="8"/>
  <c r="M630" i="8"/>
  <c r="M629" i="8"/>
  <c r="M628" i="8"/>
  <c r="M627" i="8"/>
  <c r="M626" i="8"/>
  <c r="M625" i="8"/>
  <c r="M624" i="8"/>
  <c r="M623" i="8"/>
  <c r="A623" i="8" a="1"/>
  <c r="A630" i="8"/>
  <c r="M621" i="8"/>
  <c r="M620" i="8"/>
  <c r="M619" i="8"/>
  <c r="M618" i="8"/>
  <c r="M617" i="8"/>
  <c r="M616" i="8"/>
  <c r="M615" i="8"/>
  <c r="M614" i="8"/>
  <c r="A614" i="8" a="1"/>
  <c r="A621" i="8"/>
  <c r="M612" i="8"/>
  <c r="M611" i="8"/>
  <c r="M610" i="8"/>
  <c r="M609" i="8"/>
  <c r="M608" i="8"/>
  <c r="M607" i="8"/>
  <c r="M606" i="8"/>
  <c r="M605" i="8"/>
  <c r="A605" i="8" a="1"/>
  <c r="A612" i="8"/>
  <c r="M603" i="8"/>
  <c r="M602" i="8"/>
  <c r="M601" i="8"/>
  <c r="M600" i="8"/>
  <c r="M599" i="8"/>
  <c r="M598" i="8"/>
  <c r="M597" i="8"/>
  <c r="M596" i="8"/>
  <c r="M594" i="8"/>
  <c r="M593" i="8"/>
  <c r="M592" i="8"/>
  <c r="M591" i="8"/>
  <c r="M590" i="8"/>
  <c r="M589" i="8"/>
  <c r="M588" i="8"/>
  <c r="M587" i="8"/>
  <c r="M585" i="8"/>
  <c r="M584" i="8"/>
  <c r="M583" i="8"/>
  <c r="M582" i="8"/>
  <c r="M581" i="8"/>
  <c r="M580" i="8"/>
  <c r="M579" i="8"/>
  <c r="M578" i="8"/>
  <c r="M576" i="8"/>
  <c r="M575" i="8"/>
  <c r="M574" i="8"/>
  <c r="M573" i="8"/>
  <c r="M572" i="8"/>
  <c r="M571" i="8"/>
  <c r="M570" i="8"/>
  <c r="M569" i="8"/>
  <c r="A596" i="8" a="1"/>
  <c r="A602" i="8"/>
  <c r="A587" i="8" a="1"/>
  <c r="A593" i="8"/>
  <c r="A578" i="8" a="1"/>
  <c r="A585" i="8"/>
  <c r="A569" i="8" a="1"/>
  <c r="M567" i="8"/>
  <c r="M566" i="8"/>
  <c r="M565" i="8"/>
  <c r="M564" i="8"/>
  <c r="M563" i="8"/>
  <c r="M562" i="8"/>
  <c r="M561" i="8"/>
  <c r="M560" i="8"/>
  <c r="M558" i="8"/>
  <c r="M557" i="8"/>
  <c r="M556" i="8"/>
  <c r="M555" i="8"/>
  <c r="M554" i="8"/>
  <c r="M553" i="8"/>
  <c r="M552" i="8"/>
  <c r="M551" i="8"/>
  <c r="M549" i="8"/>
  <c r="M548" i="8"/>
  <c r="M547" i="8"/>
  <c r="M546" i="8"/>
  <c r="M545" i="8"/>
  <c r="M544" i="8"/>
  <c r="M543" i="8"/>
  <c r="M542" i="8"/>
  <c r="M540" i="8"/>
  <c r="M539" i="8"/>
  <c r="M538" i="8"/>
  <c r="M537" i="8"/>
  <c r="M536" i="8"/>
  <c r="M535" i="8"/>
  <c r="M534" i="8"/>
  <c r="M533" i="8"/>
  <c r="A560" i="8" a="1"/>
  <c r="A566" i="8"/>
  <c r="A551" i="8" a="1"/>
  <c r="A542" i="8" a="1"/>
  <c r="A548" i="8"/>
  <c r="A533" i="8" a="1"/>
  <c r="M531" i="8"/>
  <c r="M530" i="8"/>
  <c r="M529" i="8"/>
  <c r="M528" i="8"/>
  <c r="M527" i="8"/>
  <c r="M526" i="8"/>
  <c r="M525" i="8"/>
  <c r="M524" i="8"/>
  <c r="A524" i="8" a="1"/>
  <c r="A529" i="8"/>
  <c r="M522" i="8"/>
  <c r="M521" i="8"/>
  <c r="M520" i="8"/>
  <c r="M519" i="8"/>
  <c r="M518" i="8"/>
  <c r="M517" i="8"/>
  <c r="M516" i="8"/>
  <c r="M515" i="8"/>
  <c r="A515" i="8" a="1"/>
  <c r="M513" i="8"/>
  <c r="M512" i="8"/>
  <c r="M511" i="8"/>
  <c r="M510" i="8"/>
  <c r="M509" i="8"/>
  <c r="M508" i="8"/>
  <c r="M507" i="8"/>
  <c r="M506" i="8"/>
  <c r="A506" i="8" a="1"/>
  <c r="A511" i="8"/>
  <c r="M504" i="8"/>
  <c r="M503" i="8"/>
  <c r="M502" i="8"/>
  <c r="M501" i="8"/>
  <c r="M500" i="8"/>
  <c r="M499" i="8"/>
  <c r="M498" i="8"/>
  <c r="M497" i="8"/>
  <c r="A497" i="8" a="1"/>
  <c r="M495" i="8"/>
  <c r="M494" i="8"/>
  <c r="M493" i="8"/>
  <c r="M492" i="8"/>
  <c r="M491" i="8"/>
  <c r="M490" i="8"/>
  <c r="M489" i="8"/>
  <c r="M488" i="8"/>
  <c r="A488" i="8" a="1"/>
  <c r="A492" i="8"/>
  <c r="M486" i="8"/>
  <c r="M485" i="8"/>
  <c r="M484" i="8"/>
  <c r="M483" i="8"/>
  <c r="M482" i="8"/>
  <c r="M481" i="8"/>
  <c r="M480" i="8"/>
  <c r="M479" i="8"/>
  <c r="A479" i="8" a="1"/>
  <c r="M477" i="8"/>
  <c r="M476" i="8"/>
  <c r="M475" i="8"/>
  <c r="M474" i="8"/>
  <c r="M473" i="8"/>
  <c r="M472" i="8"/>
  <c r="M471" i="8"/>
  <c r="M470" i="8"/>
  <c r="A470" i="8" a="1"/>
  <c r="M468" i="8"/>
  <c r="M467" i="8"/>
  <c r="M466" i="8"/>
  <c r="M465" i="8"/>
  <c r="M464" i="8"/>
  <c r="M463" i="8"/>
  <c r="M462" i="8"/>
  <c r="M461" i="8"/>
  <c r="A461" i="8" a="1"/>
  <c r="A462" i="8"/>
  <c r="M459" i="8"/>
  <c r="M458" i="8"/>
  <c r="M457" i="8"/>
  <c r="M456" i="8"/>
  <c r="M455" i="8"/>
  <c r="M454" i="8"/>
  <c r="M453" i="8"/>
  <c r="M452" i="8"/>
  <c r="M450" i="8"/>
  <c r="M449" i="8"/>
  <c r="M448" i="8"/>
  <c r="M447" i="8"/>
  <c r="M446" i="8"/>
  <c r="M445" i="8"/>
  <c r="M444" i="8"/>
  <c r="M443" i="8"/>
  <c r="M441" i="8"/>
  <c r="M440" i="8"/>
  <c r="M439" i="8"/>
  <c r="M438" i="8"/>
  <c r="M437" i="8"/>
  <c r="M436" i="8"/>
  <c r="M435" i="8"/>
  <c r="M434" i="8"/>
  <c r="M432" i="8"/>
  <c r="M431" i="8"/>
  <c r="M430" i="8"/>
  <c r="M429" i="8"/>
  <c r="M428" i="8"/>
  <c r="M427" i="8"/>
  <c r="M426" i="8"/>
  <c r="M425" i="8"/>
  <c r="A452" i="8" a="1"/>
  <c r="A453" i="8"/>
  <c r="A443" i="8" a="1"/>
  <c r="A434" i="8" a="1"/>
  <c r="A439" i="8"/>
  <c r="A425" i="8" a="1"/>
  <c r="A425" i="8"/>
  <c r="M423" i="8"/>
  <c r="M422" i="8"/>
  <c r="M421" i="8"/>
  <c r="M420" i="8"/>
  <c r="M419" i="8"/>
  <c r="M418" i="8"/>
  <c r="M417" i="8"/>
  <c r="M416" i="8"/>
  <c r="M414" i="8"/>
  <c r="M413" i="8"/>
  <c r="M412" i="8"/>
  <c r="M411" i="8"/>
  <c r="M410" i="8"/>
  <c r="M409" i="8"/>
  <c r="M408" i="8"/>
  <c r="M407" i="8"/>
  <c r="M405" i="8"/>
  <c r="M404" i="8"/>
  <c r="M403" i="8"/>
  <c r="M402" i="8"/>
  <c r="M401" i="8"/>
  <c r="M400" i="8"/>
  <c r="M399" i="8"/>
  <c r="M398" i="8"/>
  <c r="M396" i="8"/>
  <c r="M395" i="8"/>
  <c r="M394" i="8"/>
  <c r="M393" i="8"/>
  <c r="M392" i="8"/>
  <c r="M391" i="8"/>
  <c r="M390" i="8"/>
  <c r="M389" i="8"/>
  <c r="A416" i="8" a="1"/>
  <c r="A418" i="8"/>
  <c r="A407" i="8" a="1"/>
  <c r="A412" i="8"/>
  <c r="A398" i="8" a="1"/>
  <c r="A398" i="8"/>
  <c r="A389" i="8" a="1"/>
  <c r="M387" i="8"/>
  <c r="M386" i="8"/>
  <c r="M385" i="8"/>
  <c r="M384" i="8"/>
  <c r="M383" i="8"/>
  <c r="M382" i="8"/>
  <c r="M381" i="8"/>
  <c r="M380" i="8"/>
  <c r="M378" i="8"/>
  <c r="M377" i="8"/>
  <c r="M376" i="8"/>
  <c r="M375" i="8"/>
  <c r="M374" i="8"/>
  <c r="M373" i="8"/>
  <c r="M372" i="8"/>
  <c r="M371" i="8"/>
  <c r="A362" i="8" a="1"/>
  <c r="A362" i="8"/>
  <c r="M369" i="8"/>
  <c r="M368" i="8"/>
  <c r="M367" i="8"/>
  <c r="M366" i="8"/>
  <c r="M365" i="8"/>
  <c r="M364" i="8"/>
  <c r="M363" i="8"/>
  <c r="M362" i="8"/>
  <c r="M360" i="8"/>
  <c r="M359" i="8"/>
  <c r="M358" i="8"/>
  <c r="M357" i="8"/>
  <c r="M356" i="8"/>
  <c r="M355" i="8"/>
  <c r="M354" i="8"/>
  <c r="M353" i="8"/>
  <c r="A380" i="8" a="1"/>
  <c r="A387" i="8"/>
  <c r="A371" i="8" a="1"/>
  <c r="A378" i="8"/>
  <c r="A353" i="8" a="1"/>
  <c r="A356" i="8"/>
  <c r="M243" i="8"/>
  <c r="M242" i="8"/>
  <c r="M241" i="8"/>
  <c r="M240" i="8"/>
  <c r="A243" i="8"/>
  <c r="M238" i="8"/>
  <c r="M237" i="8"/>
  <c r="M236" i="8"/>
  <c r="M235" i="8"/>
  <c r="M351" i="8"/>
  <c r="M350" i="8"/>
  <c r="M349" i="8"/>
  <c r="M348" i="8"/>
  <c r="M347" i="8"/>
  <c r="M346" i="8"/>
  <c r="M345" i="8"/>
  <c r="M344" i="8"/>
  <c r="A344" i="8" a="1"/>
  <c r="M342" i="8"/>
  <c r="M341" i="8"/>
  <c r="M340" i="8"/>
  <c r="M339" i="8"/>
  <c r="M338" i="8"/>
  <c r="M337" i="8"/>
  <c r="M336" i="8"/>
  <c r="M335" i="8"/>
  <c r="A335" i="8" a="1"/>
  <c r="A342" i="8"/>
  <c r="M333" i="8"/>
  <c r="M332" i="8"/>
  <c r="M331" i="8"/>
  <c r="M330" i="8"/>
  <c r="M329" i="8"/>
  <c r="M328" i="8"/>
  <c r="M327" i="8"/>
  <c r="M326" i="8"/>
  <c r="A326" i="8" a="1"/>
  <c r="A328" i="8"/>
  <c r="M324" i="8"/>
  <c r="M323" i="8"/>
  <c r="M322" i="8"/>
  <c r="M321" i="8"/>
  <c r="M320" i="8"/>
  <c r="M319" i="8"/>
  <c r="M318" i="8"/>
  <c r="M317" i="8"/>
  <c r="A317" i="8" a="1"/>
  <c r="A319" i="8"/>
  <c r="A238" i="8"/>
  <c r="B106" i="2" a="1"/>
  <c r="B109" i="2"/>
  <c r="M315" i="8"/>
  <c r="M314" i="8"/>
  <c r="M313" i="8"/>
  <c r="M312" i="8"/>
  <c r="M311" i="8"/>
  <c r="M310" i="8"/>
  <c r="M309" i="8"/>
  <c r="M308" i="8"/>
  <c r="M306" i="8"/>
  <c r="M305" i="8"/>
  <c r="M304" i="8"/>
  <c r="M303" i="8"/>
  <c r="M302" i="8"/>
  <c r="M301" i="8"/>
  <c r="M300" i="8"/>
  <c r="M299" i="8"/>
  <c r="M297" i="8"/>
  <c r="M296" i="8"/>
  <c r="M295" i="8"/>
  <c r="M294" i="8"/>
  <c r="M293" i="8"/>
  <c r="M292" i="8"/>
  <c r="M291" i="8"/>
  <c r="M290" i="8"/>
  <c r="M288" i="8"/>
  <c r="M287" i="8"/>
  <c r="M286" i="8"/>
  <c r="M285" i="8"/>
  <c r="M284" i="8"/>
  <c r="M283" i="8"/>
  <c r="M282" i="8"/>
  <c r="M281" i="8"/>
  <c r="A308" i="8" a="1"/>
  <c r="A315" i="8"/>
  <c r="A299" i="8" a="1"/>
  <c r="A306" i="8"/>
  <c r="A290" i="8" a="1"/>
  <c r="A297" i="8"/>
  <c r="A281" i="8" a="1"/>
  <c r="A287" i="8"/>
  <c r="M279" i="8"/>
  <c r="M278" i="8"/>
  <c r="M277" i="8"/>
  <c r="M276" i="8"/>
  <c r="M275" i="8"/>
  <c r="M274" i="8"/>
  <c r="M273" i="8"/>
  <c r="M272" i="8"/>
  <c r="A272" i="8" a="1"/>
  <c r="A276" i="8"/>
  <c r="M270" i="8"/>
  <c r="M269" i="8"/>
  <c r="M268" i="8"/>
  <c r="M267" i="8"/>
  <c r="M266" i="8"/>
  <c r="M265" i="8"/>
  <c r="M264" i="8"/>
  <c r="M263" i="8"/>
  <c r="A263" i="8" a="1"/>
  <c r="A265" i="8"/>
  <c r="M261" i="8"/>
  <c r="M260" i="8"/>
  <c r="M259" i="8"/>
  <c r="M258" i="8"/>
  <c r="M257" i="8"/>
  <c r="M256" i="8"/>
  <c r="M255" i="8"/>
  <c r="M254" i="8"/>
  <c r="A254" i="8" a="1"/>
  <c r="A256" i="8"/>
  <c r="M252" i="8"/>
  <c r="M251" i="8"/>
  <c r="M250" i="8"/>
  <c r="M249" i="8"/>
  <c r="M248" i="8"/>
  <c r="M247" i="8"/>
  <c r="M246" i="8"/>
  <c r="M245" i="8"/>
  <c r="A245" i="8" a="1"/>
  <c r="A245" i="8"/>
  <c r="A224" i="8" a="1"/>
  <c r="A230" i="8"/>
  <c r="A215" i="8" a="1"/>
  <c r="A221" i="8"/>
  <c r="A206" i="8" a="1"/>
  <c r="A212" i="8"/>
  <c r="A197" i="8" a="1"/>
  <c r="A204" i="8"/>
  <c r="M195" i="8"/>
  <c r="M185" i="8"/>
  <c r="M175" i="8"/>
  <c r="M165" i="8"/>
  <c r="B187" i="8" a="1"/>
  <c r="B194" i="8"/>
  <c r="B177" i="8" a="1"/>
  <c r="B184" i="8"/>
  <c r="B167" i="8" a="1"/>
  <c r="B174" i="8"/>
  <c r="B157" i="8" a="1"/>
  <c r="B157" i="8"/>
  <c r="M194" i="8"/>
  <c r="M193" i="8"/>
  <c r="M192" i="8"/>
  <c r="M191" i="8"/>
  <c r="M190" i="8"/>
  <c r="M189" i="8"/>
  <c r="M188" i="8"/>
  <c r="M187" i="8"/>
  <c r="A187" i="8" a="1"/>
  <c r="A194" i="8"/>
  <c r="M184" i="8"/>
  <c r="M183" i="8"/>
  <c r="M182" i="8"/>
  <c r="M181" i="8"/>
  <c r="M180" i="8"/>
  <c r="M179" i="8"/>
  <c r="M178" i="8"/>
  <c r="M177" i="8"/>
  <c r="A177" i="8" a="1"/>
  <c r="A184" i="8"/>
  <c r="M174" i="8"/>
  <c r="M173" i="8"/>
  <c r="M172" i="8"/>
  <c r="M171" i="8"/>
  <c r="M170" i="8"/>
  <c r="M169" i="8"/>
  <c r="M168" i="8"/>
  <c r="M167" i="8"/>
  <c r="A167" i="8" a="1"/>
  <c r="A174" i="8"/>
  <c r="M164" i="8"/>
  <c r="M163" i="8"/>
  <c r="M162" i="8"/>
  <c r="M161" i="8"/>
  <c r="M160" i="8"/>
  <c r="M159" i="8"/>
  <c r="M158" i="8"/>
  <c r="M157" i="8"/>
  <c r="A157" i="8" a="1"/>
  <c r="A164" i="8"/>
  <c r="M155" i="8"/>
  <c r="M154" i="8"/>
  <c r="M153" i="8"/>
  <c r="M152" i="8"/>
  <c r="M151" i="8"/>
  <c r="M150" i="8"/>
  <c r="M149" i="8"/>
  <c r="M148" i="8"/>
  <c r="M146" i="8"/>
  <c r="M145" i="8"/>
  <c r="M144" i="8"/>
  <c r="M143" i="8"/>
  <c r="M142" i="8"/>
  <c r="M141" i="8"/>
  <c r="M140" i="8"/>
  <c r="M139" i="8"/>
  <c r="M137" i="8"/>
  <c r="M136" i="8"/>
  <c r="M135" i="8"/>
  <c r="M134" i="8"/>
  <c r="M133" i="8"/>
  <c r="M132" i="8"/>
  <c r="M131" i="8"/>
  <c r="M130" i="8"/>
  <c r="M128" i="8"/>
  <c r="M127" i="8"/>
  <c r="M126" i="8"/>
  <c r="M125" i="8"/>
  <c r="M124" i="8"/>
  <c r="M123" i="8"/>
  <c r="M122" i="8"/>
  <c r="M121" i="8"/>
  <c r="A148" i="8" a="1"/>
  <c r="A154" i="8"/>
  <c r="A139" i="8" a="1"/>
  <c r="A146" i="8"/>
  <c r="A130" i="8" a="1"/>
  <c r="A136" i="8"/>
  <c r="A121" i="8" a="1"/>
  <c r="A128" i="8"/>
  <c r="E39" i="8"/>
  <c r="D39" i="8"/>
  <c r="C39" i="8"/>
  <c r="B39" i="8"/>
  <c r="A31" i="8" a="1"/>
  <c r="A38" i="8"/>
  <c r="E29" i="8"/>
  <c r="A2" i="8"/>
  <c r="E16" i="8"/>
  <c r="E3" i="8"/>
  <c r="A18" i="8" a="1"/>
  <c r="A24" i="8"/>
  <c r="A5" i="8" a="1"/>
  <c r="A5" i="8"/>
  <c r="E26" i="8"/>
  <c r="D26" i="8"/>
  <c r="C26" i="8"/>
  <c r="B26" i="8"/>
  <c r="A690" i="8"/>
  <c r="G3" i="9"/>
  <c r="A688" i="8"/>
  <c r="H3" i="9"/>
  <c r="D3" i="9"/>
  <c r="A171" i="7"/>
  <c r="A173" i="7"/>
  <c r="A175" i="7"/>
  <c r="A177" i="7"/>
  <c r="A170" i="7"/>
  <c r="A172" i="7"/>
  <c r="A174" i="7"/>
  <c r="A161" i="7"/>
  <c r="A163" i="7"/>
  <c r="A165" i="7"/>
  <c r="A167" i="7"/>
  <c r="A160" i="7"/>
  <c r="A162" i="7"/>
  <c r="A164" i="7"/>
  <c r="A143" i="7"/>
  <c r="A147" i="7"/>
  <c r="A153" i="7"/>
  <c r="A141" i="7"/>
  <c r="A145" i="7"/>
  <c r="A152" i="7"/>
  <c r="A142" i="7"/>
  <c r="A144" i="7"/>
  <c r="A146" i="7"/>
  <c r="A122" i="7"/>
  <c r="A124" i="7"/>
  <c r="A126" i="7"/>
  <c r="A128" i="7"/>
  <c r="A123" i="7"/>
  <c r="A125" i="7"/>
  <c r="A127" i="7"/>
  <c r="A112" i="7"/>
  <c r="A116" i="7"/>
  <c r="A113" i="7"/>
  <c r="A117" i="7"/>
  <c r="A103" i="7"/>
  <c r="A105" i="7"/>
  <c r="A107" i="7"/>
  <c r="A109" i="7"/>
  <c r="I15" i="7"/>
  <c r="A102" i="7"/>
  <c r="A104" i="7"/>
  <c r="A106" i="7"/>
  <c r="E15" i="7"/>
  <c r="A89" i="7"/>
  <c r="A73" i="7"/>
  <c r="A75" i="7"/>
  <c r="A77" i="7"/>
  <c r="A79" i="7"/>
  <c r="A72" i="7"/>
  <c r="A74" i="7"/>
  <c r="A76" i="7"/>
  <c r="A42" i="7"/>
  <c r="A44" i="7"/>
  <c r="A46" i="7"/>
  <c r="A48" i="7"/>
  <c r="A85" i="7"/>
  <c r="A43" i="7"/>
  <c r="A45" i="7"/>
  <c r="A47" i="7"/>
  <c r="A95" i="7"/>
  <c r="A87" i="7"/>
  <c r="A83" i="7"/>
  <c r="A94" i="7"/>
  <c r="A63" i="7"/>
  <c r="A67" i="7"/>
  <c r="A62" i="7"/>
  <c r="A66" i="7"/>
  <c r="A88" i="7"/>
  <c r="A86" i="7"/>
  <c r="A84" i="7"/>
  <c r="A53" i="7"/>
  <c r="A55" i="7"/>
  <c r="A57" i="7"/>
  <c r="A59" i="7"/>
  <c r="K15" i="7"/>
  <c r="G15" i="7"/>
  <c r="C15" i="7"/>
  <c r="A52" i="7"/>
  <c r="A54" i="7"/>
  <c r="A56" i="7"/>
  <c r="A24" i="7"/>
  <c r="A32" i="7"/>
  <c r="A34" i="7"/>
  <c r="A36" i="7"/>
  <c r="A38" i="7"/>
  <c r="A22" i="7"/>
  <c r="A33" i="7"/>
  <c r="A35" i="7"/>
  <c r="A37" i="7"/>
  <c r="A26" i="7"/>
  <c r="A28" i="7"/>
  <c r="J15" i="7"/>
  <c r="H15" i="7"/>
  <c r="F15" i="7"/>
  <c r="D15" i="7"/>
  <c r="A23" i="7"/>
  <c r="A25" i="7"/>
  <c r="A27" i="7"/>
  <c r="A694" i="8"/>
  <c r="A706" i="8"/>
  <c r="A708" i="8"/>
  <c r="A710" i="8"/>
  <c r="A712" i="8"/>
  <c r="A707" i="8"/>
  <c r="A709" i="8"/>
  <c r="A711" i="8"/>
  <c r="A692" i="8"/>
  <c r="A689" i="8"/>
  <c r="A687" i="8"/>
  <c r="A693" i="8"/>
  <c r="A623" i="8"/>
  <c r="A627" i="8"/>
  <c r="A616" i="8"/>
  <c r="A620" i="8"/>
  <c r="A634" i="8"/>
  <c r="A614" i="8"/>
  <c r="A618" i="8"/>
  <c r="A625" i="8"/>
  <c r="A629" i="8"/>
  <c r="A632" i="8"/>
  <c r="A605" i="8"/>
  <c r="A607" i="8"/>
  <c r="A609" i="8"/>
  <c r="A611" i="8"/>
  <c r="A615" i="8"/>
  <c r="A617" i="8"/>
  <c r="A619" i="8"/>
  <c r="A624" i="8"/>
  <c r="A626" i="8"/>
  <c r="A628" i="8"/>
  <c r="A633" i="8"/>
  <c r="A635" i="8"/>
  <c r="A637" i="8"/>
  <c r="A639" i="8"/>
  <c r="A606" i="8"/>
  <c r="A608" i="8"/>
  <c r="A610" i="8"/>
  <c r="A636" i="8"/>
  <c r="A578" i="8"/>
  <c r="A580" i="8"/>
  <c r="A587" i="8"/>
  <c r="A571" i="8"/>
  <c r="A575" i="8"/>
  <c r="A581" i="8"/>
  <c r="A588" i="8"/>
  <c r="A592" i="8"/>
  <c r="A597" i="8"/>
  <c r="A599" i="8"/>
  <c r="A601" i="8"/>
  <c r="A570" i="8"/>
  <c r="A574" i="8"/>
  <c r="A591" i="8"/>
  <c r="A596" i="8"/>
  <c r="A598" i="8"/>
  <c r="A600" i="8"/>
  <c r="A533" i="8"/>
  <c r="A535" i="8"/>
  <c r="A534" i="8"/>
  <c r="A538" i="8"/>
  <c r="A544" i="8"/>
  <c r="A553" i="8"/>
  <c r="A557" i="8"/>
  <c r="A562" i="8"/>
  <c r="A545" i="8"/>
  <c r="A552" i="8"/>
  <c r="A556" i="8"/>
  <c r="A501" i="8"/>
  <c r="A499" i="8"/>
  <c r="A507" i="8"/>
  <c r="A516" i="8"/>
  <c r="A520" i="8"/>
  <c r="A525" i="8"/>
  <c r="A465" i="8"/>
  <c r="A498" i="8"/>
  <c r="A502" i="8"/>
  <c r="A515" i="8"/>
  <c r="A519" i="8"/>
  <c r="A526" i="8"/>
  <c r="A463" i="8"/>
  <c r="A485" i="8"/>
  <c r="A466" i="8"/>
  <c r="A476" i="8"/>
  <c r="A482" i="8"/>
  <c r="A488" i="8"/>
  <c r="A471" i="8"/>
  <c r="A493" i="8"/>
  <c r="A444" i="8"/>
  <c r="A448" i="8"/>
  <c r="A457" i="8"/>
  <c r="A443" i="8"/>
  <c r="A447" i="8"/>
  <c r="A454" i="8"/>
  <c r="A394" i="8"/>
  <c r="A389" i="8"/>
  <c r="A367" i="8"/>
  <c r="A371" i="8"/>
  <c r="A337" i="8"/>
  <c r="A329" i="8"/>
  <c r="A347" i="8"/>
  <c r="A284" i="8"/>
  <c r="A260" i="8"/>
  <c r="A275" i="8"/>
  <c r="B164" i="8"/>
  <c r="B164" i="39"/>
  <c r="B160" i="8"/>
  <c r="B160" i="39"/>
  <c r="B177" i="8"/>
  <c r="B177" i="39"/>
  <c r="A222" i="8"/>
  <c r="B181" i="8"/>
  <c r="B181" i="39"/>
  <c r="A198" i="8"/>
  <c r="A224" i="8"/>
  <c r="B189" i="8"/>
  <c r="B189" i="39"/>
  <c r="B193" i="8"/>
  <c r="B193" i="39"/>
  <c r="B179" i="8"/>
  <c r="B179" i="39"/>
  <c r="B183" i="8"/>
  <c r="B183" i="39"/>
  <c r="B187" i="8"/>
  <c r="B187" i="39"/>
  <c r="B191" i="8"/>
  <c r="B191" i="39"/>
  <c r="B171" i="8"/>
  <c r="B171" i="39"/>
  <c r="B167" i="8"/>
  <c r="B167" i="39"/>
  <c r="B178" i="8"/>
  <c r="B178" i="39"/>
  <c r="B180" i="8"/>
  <c r="B180" i="39"/>
  <c r="B182" i="8"/>
  <c r="B182" i="39"/>
  <c r="B188" i="8"/>
  <c r="B188" i="39"/>
  <c r="B190" i="8"/>
  <c r="B190" i="39"/>
  <c r="B192" i="8"/>
  <c r="B192" i="39"/>
  <c r="B162" i="8"/>
  <c r="B162" i="39"/>
  <c r="B158" i="8"/>
  <c r="B158" i="39"/>
  <c r="B169" i="8"/>
  <c r="B169" i="39"/>
  <c r="B173" i="8"/>
  <c r="B173" i="39"/>
  <c r="B163" i="8"/>
  <c r="B163" i="39"/>
  <c r="B161" i="8"/>
  <c r="B161" i="39"/>
  <c r="B159" i="8"/>
  <c r="B159" i="39"/>
  <c r="B168" i="8"/>
  <c r="B168" i="39"/>
  <c r="B170" i="8"/>
  <c r="B170" i="39"/>
  <c r="B172" i="8"/>
  <c r="B172" i="39"/>
  <c r="A182" i="8"/>
  <c r="B114" i="2" a="1"/>
  <c r="B114" i="2"/>
  <c r="B98" i="2" a="1"/>
  <c r="B98" i="2"/>
  <c r="B91" i="2"/>
  <c r="B84" i="2"/>
  <c r="B77" i="2"/>
  <c r="B70" i="2"/>
  <c r="B90" i="2"/>
  <c r="G96" i="2"/>
  <c r="G95" i="2"/>
  <c r="G93" i="2"/>
  <c r="G89" i="2"/>
  <c r="G88" i="2"/>
  <c r="G86" i="2"/>
  <c r="G82" i="2"/>
  <c r="G81" i="2"/>
  <c r="G79" i="2"/>
  <c r="G75" i="2"/>
  <c r="G74" i="2"/>
  <c r="G72" i="2"/>
  <c r="I32" i="1"/>
  <c r="H32" i="1"/>
  <c r="G32" i="1"/>
  <c r="A112" i="8" a="1"/>
  <c r="A118" i="8"/>
  <c r="M119" i="8"/>
  <c r="M118" i="8"/>
  <c r="M117" i="8"/>
  <c r="M116" i="8"/>
  <c r="M115" i="8"/>
  <c r="M114" i="8"/>
  <c r="M113" i="8"/>
  <c r="M112" i="8"/>
  <c r="A103" i="8" a="1"/>
  <c r="A110" i="8"/>
  <c r="A94" i="8" a="1"/>
  <c r="A100" i="8"/>
  <c r="A85" i="8" a="1"/>
  <c r="A92" i="8"/>
  <c r="A103" i="8"/>
  <c r="A76" i="8" a="1"/>
  <c r="A76" i="8"/>
  <c r="M83" i="8"/>
  <c r="M82" i="8"/>
  <c r="M81" i="8"/>
  <c r="M80" i="8"/>
  <c r="M79" i="8"/>
  <c r="M78" i="8"/>
  <c r="M77" i="8"/>
  <c r="M76" i="8"/>
  <c r="A67" i="8" a="1"/>
  <c r="A67" i="8"/>
  <c r="A58" i="8" a="1"/>
  <c r="A60" i="8"/>
  <c r="A49" i="8" a="1"/>
  <c r="A49" i="8"/>
  <c r="D13" i="8"/>
  <c r="B46" i="8" a="1"/>
  <c r="B46" i="8"/>
  <c r="B46" i="39"/>
  <c r="B41" i="8" a="1"/>
  <c r="B41" i="8"/>
  <c r="B108" i="34"/>
  <c r="C5" i="34"/>
  <c r="A436" i="34" a="1"/>
  <c r="A438" i="34"/>
  <c r="A426" i="34" a="1"/>
  <c r="N414" i="34"/>
  <c r="N413" i="34"/>
  <c r="N412" i="34"/>
  <c r="N411" i="34"/>
  <c r="N410" i="34"/>
  <c r="N409" i="34"/>
  <c r="N408" i="34"/>
  <c r="N407" i="34"/>
  <c r="A407" i="34" a="1"/>
  <c r="A407" i="34"/>
  <c r="N405" i="34"/>
  <c r="N404" i="34"/>
  <c r="N403" i="34"/>
  <c r="N402" i="34"/>
  <c r="N401" i="34"/>
  <c r="N400" i="34"/>
  <c r="N399" i="34"/>
  <c r="N398" i="34"/>
  <c r="A398" i="34" a="1"/>
  <c r="A398" i="34"/>
  <c r="N396" i="34"/>
  <c r="N395" i="34"/>
  <c r="N394" i="34"/>
  <c r="N393" i="34"/>
  <c r="N392" i="34"/>
  <c r="N391" i="34"/>
  <c r="N390" i="34"/>
  <c r="N389" i="34"/>
  <c r="A389" i="34" a="1"/>
  <c r="A380" i="34" a="1"/>
  <c r="A371" i="34" a="1"/>
  <c r="A371" i="34"/>
  <c r="A362" i="34" a="1"/>
  <c r="A369" i="34"/>
  <c r="A353" i="34" a="1"/>
  <c r="N351" i="34"/>
  <c r="N350" i="34"/>
  <c r="N349" i="34"/>
  <c r="N348" i="34"/>
  <c r="N347" i="34"/>
  <c r="N346" i="34"/>
  <c r="N345" i="34"/>
  <c r="N344" i="34"/>
  <c r="A344" i="34" a="1"/>
  <c r="N342" i="34"/>
  <c r="N341" i="34"/>
  <c r="N340" i="34"/>
  <c r="N339" i="34"/>
  <c r="N338" i="34"/>
  <c r="N337" i="34"/>
  <c r="N336" i="34"/>
  <c r="N335" i="34"/>
  <c r="A335" i="34" a="1"/>
  <c r="A339" i="34"/>
  <c r="N333" i="34"/>
  <c r="N332" i="34"/>
  <c r="N331" i="34"/>
  <c r="N330" i="34"/>
  <c r="N329" i="34"/>
  <c r="N328" i="34"/>
  <c r="N327" i="34"/>
  <c r="N326" i="34"/>
  <c r="A326" i="34" a="1"/>
  <c r="A328" i="34"/>
  <c r="A317" i="34" a="1"/>
  <c r="A319" i="34"/>
  <c r="A308" i="34" a="1"/>
  <c r="A315" i="34"/>
  <c r="A299" i="34" a="1"/>
  <c r="A303" i="34"/>
  <c r="N297" i="34"/>
  <c r="N296" i="34"/>
  <c r="N295" i="34"/>
  <c r="N294" i="34"/>
  <c r="N293" i="34"/>
  <c r="N292" i="34"/>
  <c r="N291" i="34"/>
  <c r="N290" i="34"/>
  <c r="A290" i="34" a="1"/>
  <c r="A297" i="34"/>
  <c r="N288" i="34"/>
  <c r="N287" i="34"/>
  <c r="N286" i="34"/>
  <c r="N285" i="34"/>
  <c r="N284" i="34"/>
  <c r="N283" i="34"/>
  <c r="N282" i="34"/>
  <c r="N281" i="34"/>
  <c r="A281" i="34" a="1"/>
  <c r="A282" i="34"/>
  <c r="N279" i="34"/>
  <c r="N278" i="34"/>
  <c r="N277" i="34"/>
  <c r="N276" i="34"/>
  <c r="N275" i="34"/>
  <c r="N274" i="34"/>
  <c r="N273" i="34"/>
  <c r="N272" i="34"/>
  <c r="A272" i="34" a="1"/>
  <c r="A276" i="34"/>
  <c r="A263" i="34" a="1"/>
  <c r="A263" i="34"/>
  <c r="A254" i="34" a="1"/>
  <c r="A261" i="34"/>
  <c r="A245" i="34" a="1"/>
  <c r="A249" i="34"/>
  <c r="N243" i="34"/>
  <c r="N242" i="34"/>
  <c r="N241" i="34"/>
  <c r="N240" i="34"/>
  <c r="N239" i="34"/>
  <c r="N238" i="34"/>
  <c r="N237" i="34"/>
  <c r="N236" i="34"/>
  <c r="A236" i="34" a="1"/>
  <c r="A243" i="34"/>
  <c r="N234" i="34"/>
  <c r="N233" i="34"/>
  <c r="N232" i="34"/>
  <c r="N231" i="34"/>
  <c r="N230" i="34"/>
  <c r="N229" i="34"/>
  <c r="N228" i="34"/>
  <c r="N227" i="34"/>
  <c r="A227" i="34" a="1"/>
  <c r="A231" i="34"/>
  <c r="N225" i="34"/>
  <c r="N224" i="34"/>
  <c r="N223" i="34"/>
  <c r="N222" i="34"/>
  <c r="N221" i="34"/>
  <c r="N220" i="34"/>
  <c r="N219" i="34"/>
  <c r="N218" i="34"/>
  <c r="A218" i="34" a="1"/>
  <c r="A220" i="34"/>
  <c r="A209" i="34" a="1"/>
  <c r="A215" i="34"/>
  <c r="A200" i="34" a="1"/>
  <c r="A207" i="34"/>
  <c r="A191" i="34" a="1"/>
  <c r="A198" i="34"/>
  <c r="A163" i="34" a="1"/>
  <c r="A154" i="34" a="1"/>
  <c r="N151" i="34"/>
  <c r="N150" i="34"/>
  <c r="N149" i="34"/>
  <c r="N148" i="34"/>
  <c r="N147" i="34"/>
  <c r="N146" i="34"/>
  <c r="N145" i="34"/>
  <c r="N144" i="34"/>
  <c r="N143" i="34"/>
  <c r="A143" i="34" a="1"/>
  <c r="A150" i="34"/>
  <c r="N140" i="34"/>
  <c r="N139" i="34"/>
  <c r="N138" i="34"/>
  <c r="N137" i="34"/>
  <c r="N136" i="34"/>
  <c r="N135" i="34"/>
  <c r="N134" i="34"/>
  <c r="N133" i="34"/>
  <c r="N132" i="34"/>
  <c r="A132" i="34" a="1"/>
  <c r="N129" i="34"/>
  <c r="N128" i="34"/>
  <c r="N127" i="34"/>
  <c r="N126" i="34"/>
  <c r="N125" i="34"/>
  <c r="N124" i="34"/>
  <c r="N123" i="34"/>
  <c r="N122" i="34"/>
  <c r="N121" i="34"/>
  <c r="A121" i="34" a="1"/>
  <c r="A128" i="34"/>
  <c r="N118" i="34"/>
  <c r="N117" i="34"/>
  <c r="N116" i="34"/>
  <c r="N115" i="34"/>
  <c r="N114" i="34"/>
  <c r="N113" i="34"/>
  <c r="N112" i="34"/>
  <c r="N111" i="34"/>
  <c r="N110" i="34"/>
  <c r="A110" i="34" a="1"/>
  <c r="A116" i="34"/>
  <c r="A95" i="34" a="1"/>
  <c r="A101" i="34"/>
  <c r="A86" i="34" a="1"/>
  <c r="A93" i="34"/>
  <c r="A77" i="34" a="1"/>
  <c r="A68" i="34" a="1"/>
  <c r="A70" i="34"/>
  <c r="A59" i="34" a="1"/>
  <c r="A65" i="34"/>
  <c r="A50" i="34" a="1"/>
  <c r="A41" i="34" a="1"/>
  <c r="A32" i="34" a="1"/>
  <c r="A32" i="34"/>
  <c r="A23" i="34" a="1"/>
  <c r="C15" i="34" a="1"/>
  <c r="B15" i="34"/>
  <c r="A5" i="34" a="1"/>
  <c r="A11" i="34"/>
  <c r="C49" i="33"/>
  <c r="C48" i="33"/>
  <c r="N136" i="33"/>
  <c r="N135" i="33"/>
  <c r="N134" i="33"/>
  <c r="N133" i="33"/>
  <c r="N132" i="33"/>
  <c r="N131" i="33"/>
  <c r="N130" i="33"/>
  <c r="N129" i="33"/>
  <c r="N128" i="33"/>
  <c r="N127" i="33"/>
  <c r="N126" i="33"/>
  <c r="C126" i="33" a="1"/>
  <c r="N125" i="33"/>
  <c r="N124" i="33"/>
  <c r="N123" i="33"/>
  <c r="N122" i="33"/>
  <c r="N121" i="33"/>
  <c r="N120" i="33"/>
  <c r="N119" i="33"/>
  <c r="N118" i="33"/>
  <c r="C118" i="33" a="1"/>
  <c r="C125" i="33"/>
  <c r="N117" i="33"/>
  <c r="N116" i="33"/>
  <c r="N115" i="33"/>
  <c r="N114" i="33"/>
  <c r="N113" i="33"/>
  <c r="N112" i="33"/>
  <c r="N111" i="33"/>
  <c r="N110" i="33"/>
  <c r="C110" i="33" a="1"/>
  <c r="N108" i="33"/>
  <c r="N107" i="33"/>
  <c r="N106" i="33"/>
  <c r="N105" i="33"/>
  <c r="N104" i="33"/>
  <c r="N103" i="33"/>
  <c r="N102" i="33"/>
  <c r="N101" i="33"/>
  <c r="C101" i="33" a="1"/>
  <c r="N98" i="33"/>
  <c r="N97" i="33"/>
  <c r="N96" i="33"/>
  <c r="N95" i="33"/>
  <c r="N94" i="33"/>
  <c r="N93" i="33"/>
  <c r="N92" i="33"/>
  <c r="N91" i="33"/>
  <c r="C91" i="33" a="1"/>
  <c r="C92" i="33"/>
  <c r="N89" i="33"/>
  <c r="N88" i="33"/>
  <c r="N87" i="33"/>
  <c r="N86" i="33"/>
  <c r="N85" i="33"/>
  <c r="N84" i="33"/>
  <c r="N83" i="33"/>
  <c r="N82" i="33"/>
  <c r="B82" i="33" a="1"/>
  <c r="N80" i="33"/>
  <c r="N79" i="33"/>
  <c r="N78" i="33"/>
  <c r="N77" i="33"/>
  <c r="N76" i="33"/>
  <c r="N75" i="33"/>
  <c r="N74" i="33"/>
  <c r="N73" i="33"/>
  <c r="B73" i="33" a="1"/>
  <c r="N72" i="33"/>
  <c r="N71" i="33"/>
  <c r="N70" i="33"/>
  <c r="N69" i="33"/>
  <c r="N68" i="33"/>
  <c r="N67" i="33"/>
  <c r="N66" i="33"/>
  <c r="N65" i="33"/>
  <c r="N64" i="33"/>
  <c r="B64" i="33" a="1"/>
  <c r="N62" i="33"/>
  <c r="N61" i="33"/>
  <c r="A61" i="33"/>
  <c r="N60" i="33"/>
  <c r="A60" i="33"/>
  <c r="N59" i="33"/>
  <c r="A59" i="33"/>
  <c r="N58" i="33"/>
  <c r="A58" i="33"/>
  <c r="N57" i="33"/>
  <c r="A57" i="33"/>
  <c r="A56" i="33"/>
  <c r="A55" i="33"/>
  <c r="A54" i="33"/>
  <c r="A53" i="33"/>
  <c r="N47" i="33"/>
  <c r="N46" i="33"/>
  <c r="N43" i="33"/>
  <c r="N37" i="33"/>
  <c r="N36" i="33"/>
  <c r="N35" i="33"/>
  <c r="N30" i="33"/>
  <c r="N27" i="33"/>
  <c r="N26" i="33"/>
  <c r="N23" i="33"/>
  <c r="N22" i="33"/>
  <c r="N21" i="33"/>
  <c r="N20" i="33"/>
  <c r="N19" i="33"/>
  <c r="N16" i="33"/>
  <c r="N15" i="33"/>
  <c r="N14" i="33"/>
  <c r="D12" i="33" a="1"/>
  <c r="C12" i="33"/>
  <c r="H10" i="33"/>
  <c r="B10" i="33"/>
  <c r="H9" i="33"/>
  <c r="B9" i="33"/>
  <c r="G8" i="33"/>
  <c r="F8" i="33"/>
  <c r="E8" i="33"/>
  <c r="D8" i="33"/>
  <c r="E6" i="33"/>
  <c r="B6" i="33"/>
  <c r="E3" i="33"/>
  <c r="C1" i="33"/>
  <c r="A1" i="33"/>
  <c r="M105" i="32"/>
  <c r="A105" i="32"/>
  <c r="M104" i="32"/>
  <c r="M103" i="32"/>
  <c r="M102" i="32"/>
  <c r="M101" i="32"/>
  <c r="M100" i="32"/>
  <c r="M99" i="32"/>
  <c r="M98" i="32"/>
  <c r="M97" i="32"/>
  <c r="A97" i="32" a="1"/>
  <c r="M74" i="32"/>
  <c r="A74" i="32"/>
  <c r="M73" i="32"/>
  <c r="M72" i="32"/>
  <c r="M71" i="32"/>
  <c r="M70" i="32"/>
  <c r="M69" i="32"/>
  <c r="M68" i="32"/>
  <c r="M67" i="32"/>
  <c r="M66" i="32"/>
  <c r="A66" i="32" a="1"/>
  <c r="A73" i="32"/>
  <c r="M43" i="32"/>
  <c r="A43" i="32"/>
  <c r="M42" i="32"/>
  <c r="M41" i="32"/>
  <c r="M40" i="32"/>
  <c r="M39" i="32"/>
  <c r="M38" i="32"/>
  <c r="M37" i="32"/>
  <c r="M36" i="32"/>
  <c r="M35" i="32"/>
  <c r="A35" i="32" a="1"/>
  <c r="M12" i="32"/>
  <c r="A12" i="32"/>
  <c r="M11" i="32"/>
  <c r="M10" i="32"/>
  <c r="M9" i="32"/>
  <c r="M8" i="32"/>
  <c r="M7" i="32"/>
  <c r="M6" i="32"/>
  <c r="M5" i="32"/>
  <c r="M4" i="32"/>
  <c r="A4" i="32" a="1"/>
  <c r="C3" i="32" a="1"/>
  <c r="B3" i="32"/>
  <c r="C1" i="32"/>
  <c r="A1" i="32"/>
  <c r="H81" i="31"/>
  <c r="G81" i="31"/>
  <c r="F81" i="31"/>
  <c r="H80" i="31"/>
  <c r="G80" i="31"/>
  <c r="F80" i="31"/>
  <c r="H79" i="31"/>
  <c r="G79" i="31"/>
  <c r="F79" i="31"/>
  <c r="H78" i="31"/>
  <c r="G78" i="31"/>
  <c r="F78" i="31"/>
  <c r="H77" i="31"/>
  <c r="G77" i="31"/>
  <c r="F77" i="31"/>
  <c r="H76" i="31"/>
  <c r="G76" i="31"/>
  <c r="F76" i="31"/>
  <c r="H75" i="31"/>
  <c r="G75" i="31"/>
  <c r="F75" i="31"/>
  <c r="H74" i="31"/>
  <c r="G74" i="31"/>
  <c r="F74" i="31"/>
  <c r="D81" i="31"/>
  <c r="C81" i="31"/>
  <c r="B81" i="31"/>
  <c r="D80" i="31"/>
  <c r="C80" i="31"/>
  <c r="B80" i="31"/>
  <c r="D79" i="31"/>
  <c r="C79" i="31"/>
  <c r="B79" i="31"/>
  <c r="D78" i="31"/>
  <c r="C78" i="31"/>
  <c r="B78" i="31"/>
  <c r="D77" i="31"/>
  <c r="C77" i="31"/>
  <c r="B77" i="31"/>
  <c r="D76" i="31"/>
  <c r="C76" i="31"/>
  <c r="B76" i="31"/>
  <c r="D75" i="31"/>
  <c r="C75" i="31"/>
  <c r="B75" i="31"/>
  <c r="D74" i="31"/>
  <c r="C74" i="31"/>
  <c r="B74" i="31"/>
  <c r="H71" i="31"/>
  <c r="G71" i="31"/>
  <c r="F71" i="31"/>
  <c r="H70" i="31"/>
  <c r="G70" i="31"/>
  <c r="F70" i="31"/>
  <c r="H69" i="31"/>
  <c r="G69" i="31"/>
  <c r="F69" i="31"/>
  <c r="H68" i="31"/>
  <c r="G68" i="31"/>
  <c r="F68" i="31"/>
  <c r="H67" i="31"/>
  <c r="G67" i="31"/>
  <c r="F67" i="31"/>
  <c r="H66" i="31"/>
  <c r="G66" i="31"/>
  <c r="F66" i="31"/>
  <c r="H65" i="31"/>
  <c r="G65" i="31"/>
  <c r="F65" i="31"/>
  <c r="H64" i="31"/>
  <c r="G64" i="31"/>
  <c r="F64" i="31"/>
  <c r="D71" i="31"/>
  <c r="C71" i="31"/>
  <c r="B71" i="31"/>
  <c r="D70" i="31"/>
  <c r="C70" i="31"/>
  <c r="B70" i="31"/>
  <c r="D69" i="31"/>
  <c r="C69" i="31"/>
  <c r="B69" i="31"/>
  <c r="D68" i="31"/>
  <c r="C68" i="31"/>
  <c r="B68" i="31"/>
  <c r="D67" i="31"/>
  <c r="C67" i="31"/>
  <c r="B67" i="31"/>
  <c r="D66" i="31"/>
  <c r="C66" i="31"/>
  <c r="B66" i="31"/>
  <c r="D65" i="31"/>
  <c r="C65" i="31"/>
  <c r="B65" i="31"/>
  <c r="D64" i="31"/>
  <c r="C64" i="31"/>
  <c r="B64" i="31"/>
  <c r="H61" i="31"/>
  <c r="G61" i="31"/>
  <c r="F61" i="31"/>
  <c r="H60" i="31"/>
  <c r="G60" i="31"/>
  <c r="F60" i="31"/>
  <c r="H59" i="31"/>
  <c r="G59" i="31"/>
  <c r="F59" i="31"/>
  <c r="H58" i="31"/>
  <c r="G58" i="31"/>
  <c r="F58" i="31"/>
  <c r="H57" i="31"/>
  <c r="G57" i="31"/>
  <c r="F57" i="31"/>
  <c r="H56" i="31"/>
  <c r="G56" i="31"/>
  <c r="F56" i="31"/>
  <c r="H55" i="31"/>
  <c r="G55" i="31"/>
  <c r="F55" i="31"/>
  <c r="H54" i="31"/>
  <c r="G54" i="31"/>
  <c r="F54" i="31"/>
  <c r="D61" i="31"/>
  <c r="C61" i="31"/>
  <c r="B61" i="31"/>
  <c r="D60" i="31"/>
  <c r="C60" i="31"/>
  <c r="B60" i="31"/>
  <c r="D59" i="31"/>
  <c r="C59" i="31"/>
  <c r="B59" i="31"/>
  <c r="D58" i="31"/>
  <c r="C58" i="31"/>
  <c r="B58" i="31"/>
  <c r="D57" i="31"/>
  <c r="C57" i="31"/>
  <c r="B57" i="31"/>
  <c r="D56" i="31"/>
  <c r="C56" i="31"/>
  <c r="B56" i="31"/>
  <c r="D55" i="31"/>
  <c r="C55" i="31"/>
  <c r="B55" i="31"/>
  <c r="D54" i="31"/>
  <c r="C54" i="31"/>
  <c r="B54" i="31"/>
  <c r="K50" i="31"/>
  <c r="J50" i="31"/>
  <c r="I50" i="31"/>
  <c r="H50" i="31"/>
  <c r="G50" i="31"/>
  <c r="F50" i="31"/>
  <c r="E50" i="31"/>
  <c r="D50" i="31"/>
  <c r="C50" i="31"/>
  <c r="B50" i="31"/>
  <c r="K48" i="31"/>
  <c r="J48" i="31"/>
  <c r="I48" i="31"/>
  <c r="H48" i="31"/>
  <c r="G48" i="31"/>
  <c r="F48" i="31"/>
  <c r="E48" i="31"/>
  <c r="D48" i="31"/>
  <c r="C48" i="31"/>
  <c r="B48" i="31"/>
  <c r="K47" i="31"/>
  <c r="J47" i="31"/>
  <c r="I47" i="31"/>
  <c r="H47" i="31"/>
  <c r="G47" i="31"/>
  <c r="F47" i="31"/>
  <c r="E47" i="31"/>
  <c r="D47" i="31"/>
  <c r="C47" i="31"/>
  <c r="B47" i="31"/>
  <c r="K46" i="31"/>
  <c r="J46" i="31"/>
  <c r="I46" i="31"/>
  <c r="H46" i="31"/>
  <c r="G46" i="31"/>
  <c r="F46" i="31"/>
  <c r="E46" i="31"/>
  <c r="D46" i="31"/>
  <c r="C46" i="31"/>
  <c r="B46" i="31"/>
  <c r="K45" i="31"/>
  <c r="J45" i="31"/>
  <c r="I45" i="31"/>
  <c r="H45" i="31"/>
  <c r="G45" i="31"/>
  <c r="F45" i="31"/>
  <c r="E45" i="31"/>
  <c r="D45" i="31"/>
  <c r="C45" i="31"/>
  <c r="B45" i="31"/>
  <c r="K44" i="31"/>
  <c r="J44" i="31"/>
  <c r="I44" i="31"/>
  <c r="H44" i="31"/>
  <c r="G44" i="31"/>
  <c r="F44" i="31"/>
  <c r="E44" i="31"/>
  <c r="D44" i="31"/>
  <c r="C44" i="31"/>
  <c r="B44" i="31"/>
  <c r="K43" i="31"/>
  <c r="J43" i="31"/>
  <c r="I43" i="31"/>
  <c r="H43" i="31"/>
  <c r="G43" i="31"/>
  <c r="F43" i="31"/>
  <c r="E43" i="31"/>
  <c r="D43" i="31"/>
  <c r="C43" i="31"/>
  <c r="B43" i="31"/>
  <c r="K42" i="31"/>
  <c r="J42" i="31"/>
  <c r="I42" i="31"/>
  <c r="H42" i="31"/>
  <c r="G42" i="31"/>
  <c r="F42" i="31"/>
  <c r="E42" i="31"/>
  <c r="D42" i="31"/>
  <c r="C42" i="31"/>
  <c r="B42" i="31"/>
  <c r="K41" i="31"/>
  <c r="J41" i="31"/>
  <c r="I41" i="31"/>
  <c r="H41" i="31"/>
  <c r="G41" i="31"/>
  <c r="F41" i="31"/>
  <c r="E41" i="31"/>
  <c r="D41" i="31"/>
  <c r="C41" i="31"/>
  <c r="B41" i="31"/>
  <c r="K39" i="31"/>
  <c r="J39" i="31"/>
  <c r="I39" i="31"/>
  <c r="H39" i="31"/>
  <c r="G39" i="31"/>
  <c r="F39" i="31"/>
  <c r="E39" i="31"/>
  <c r="D39" i="31"/>
  <c r="C39" i="31"/>
  <c r="B39" i="31"/>
  <c r="K38" i="31"/>
  <c r="J38" i="31"/>
  <c r="I38" i="31"/>
  <c r="H38" i="31"/>
  <c r="G38" i="31"/>
  <c r="F38" i="31"/>
  <c r="E38" i="31"/>
  <c r="D38" i="31"/>
  <c r="C38" i="31"/>
  <c r="B38" i="31"/>
  <c r="K37" i="31"/>
  <c r="J37" i="31"/>
  <c r="I37" i="31"/>
  <c r="H37" i="31"/>
  <c r="G37" i="31"/>
  <c r="F37" i="31"/>
  <c r="E37" i="31"/>
  <c r="D37" i="31"/>
  <c r="C37" i="31"/>
  <c r="B37" i="31"/>
  <c r="K36" i="31"/>
  <c r="J36" i="31"/>
  <c r="I36" i="31"/>
  <c r="H36" i="31"/>
  <c r="G36" i="31"/>
  <c r="F36" i="31"/>
  <c r="E36" i="31"/>
  <c r="D36" i="31"/>
  <c r="C36" i="31"/>
  <c r="B36" i="31"/>
  <c r="K35" i="31"/>
  <c r="J35" i="31"/>
  <c r="I35" i="31"/>
  <c r="H35" i="31"/>
  <c r="G35" i="31"/>
  <c r="F35" i="31"/>
  <c r="E35" i="31"/>
  <c r="D35" i="31"/>
  <c r="C35" i="31"/>
  <c r="B35" i="31"/>
  <c r="K34" i="31"/>
  <c r="J34" i="31"/>
  <c r="I34" i="31"/>
  <c r="H34" i="31"/>
  <c r="G34" i="31"/>
  <c r="F34" i="31"/>
  <c r="E34" i="31"/>
  <c r="D34" i="31"/>
  <c r="C34" i="31"/>
  <c r="B34" i="31"/>
  <c r="K33" i="31"/>
  <c r="J33" i="31"/>
  <c r="I33" i="31"/>
  <c r="H33" i="31"/>
  <c r="G33" i="31"/>
  <c r="F33" i="31"/>
  <c r="E33" i="31"/>
  <c r="D33" i="31"/>
  <c r="C33" i="31"/>
  <c r="B33" i="31"/>
  <c r="K32" i="31"/>
  <c r="J32" i="31"/>
  <c r="I32" i="31"/>
  <c r="H32" i="31"/>
  <c r="G32" i="31"/>
  <c r="F32" i="31"/>
  <c r="E32" i="31"/>
  <c r="D32" i="31"/>
  <c r="C32" i="31"/>
  <c r="B32" i="31"/>
  <c r="K30" i="31"/>
  <c r="J30" i="31"/>
  <c r="I30" i="31"/>
  <c r="H30" i="31"/>
  <c r="G30" i="31"/>
  <c r="F30" i="31"/>
  <c r="E30" i="31"/>
  <c r="D30" i="31"/>
  <c r="C30" i="31"/>
  <c r="B30" i="31"/>
  <c r="K29" i="31"/>
  <c r="J29" i="31"/>
  <c r="I29" i="31"/>
  <c r="H29" i="31"/>
  <c r="G29" i="31"/>
  <c r="F29" i="31"/>
  <c r="E29" i="31"/>
  <c r="D29" i="31"/>
  <c r="C29" i="31"/>
  <c r="B29" i="31"/>
  <c r="K28" i="31"/>
  <c r="J28" i="31"/>
  <c r="I28" i="31"/>
  <c r="H28" i="31"/>
  <c r="G28" i="31"/>
  <c r="F28" i="31"/>
  <c r="E28" i="31"/>
  <c r="D28" i="31"/>
  <c r="C28" i="31"/>
  <c r="B28" i="31"/>
  <c r="K27" i="31"/>
  <c r="J27" i="31"/>
  <c r="I27" i="31"/>
  <c r="H27" i="31"/>
  <c r="G27" i="31"/>
  <c r="F27" i="31"/>
  <c r="E27" i="31"/>
  <c r="D27" i="31"/>
  <c r="C27" i="31"/>
  <c r="B27" i="31"/>
  <c r="K26" i="31"/>
  <c r="J26" i="31"/>
  <c r="I26" i="31"/>
  <c r="H26" i="31"/>
  <c r="G26" i="31"/>
  <c r="F26" i="31"/>
  <c r="E26" i="31"/>
  <c r="D26" i="31"/>
  <c r="C26" i="31"/>
  <c r="B26" i="31"/>
  <c r="K25" i="31"/>
  <c r="J25" i="31"/>
  <c r="I25" i="31"/>
  <c r="H25" i="31"/>
  <c r="G25" i="31"/>
  <c r="F25" i="31"/>
  <c r="E25" i="31"/>
  <c r="D25" i="31"/>
  <c r="C25" i="31"/>
  <c r="B25" i="31"/>
  <c r="K24" i="31"/>
  <c r="J24" i="31"/>
  <c r="I24" i="31"/>
  <c r="H24" i="31"/>
  <c r="G24" i="31"/>
  <c r="F24" i="31"/>
  <c r="E24" i="31"/>
  <c r="D24" i="31"/>
  <c r="C24" i="31"/>
  <c r="B24" i="31"/>
  <c r="K23" i="31"/>
  <c r="J23" i="31"/>
  <c r="I23" i="31"/>
  <c r="H23" i="31"/>
  <c r="G23" i="31"/>
  <c r="F23" i="31"/>
  <c r="E23" i="31"/>
  <c r="D23" i="31"/>
  <c r="C23" i="31"/>
  <c r="B23" i="31"/>
  <c r="K21" i="31"/>
  <c r="J21" i="31"/>
  <c r="I21" i="31"/>
  <c r="H21" i="31"/>
  <c r="G21" i="31"/>
  <c r="F21" i="31"/>
  <c r="E21" i="31"/>
  <c r="D21" i="31"/>
  <c r="C21" i="31"/>
  <c r="B21" i="31"/>
  <c r="K20" i="31"/>
  <c r="J20" i="31"/>
  <c r="I20" i="31"/>
  <c r="H20" i="31"/>
  <c r="G20" i="31"/>
  <c r="F20" i="31"/>
  <c r="E20" i="31"/>
  <c r="D20" i="31"/>
  <c r="C20" i="31"/>
  <c r="B20" i="31"/>
  <c r="K19" i="31"/>
  <c r="J19" i="31"/>
  <c r="I19" i="31"/>
  <c r="H19" i="31"/>
  <c r="G19" i="31"/>
  <c r="F19" i="31"/>
  <c r="E19" i="31"/>
  <c r="D19" i="31"/>
  <c r="C19" i="31"/>
  <c r="B19" i="31"/>
  <c r="K18" i="31"/>
  <c r="J18" i="31"/>
  <c r="I18" i="31"/>
  <c r="H18" i="31"/>
  <c r="G18" i="31"/>
  <c r="F18" i="31"/>
  <c r="E18" i="31"/>
  <c r="D18" i="31"/>
  <c r="C18" i="31"/>
  <c r="B18" i="31"/>
  <c r="K17" i="31"/>
  <c r="J17" i="31"/>
  <c r="I17" i="31"/>
  <c r="H17" i="31"/>
  <c r="G17" i="31"/>
  <c r="F17" i="31"/>
  <c r="E17" i="31"/>
  <c r="D17" i="31"/>
  <c r="C17" i="31"/>
  <c r="B17" i="31"/>
  <c r="K16" i="31"/>
  <c r="J16" i="31"/>
  <c r="I16" i="31"/>
  <c r="H16" i="31"/>
  <c r="G16" i="31"/>
  <c r="F16" i="31"/>
  <c r="E16" i="31"/>
  <c r="D16" i="31"/>
  <c r="C16" i="31"/>
  <c r="B16" i="31"/>
  <c r="K15" i="31"/>
  <c r="J15" i="31"/>
  <c r="I15" i="31"/>
  <c r="H15" i="31"/>
  <c r="G15" i="31"/>
  <c r="F15" i="31"/>
  <c r="E15" i="31"/>
  <c r="D15" i="31"/>
  <c r="C15" i="31"/>
  <c r="B15" i="31"/>
  <c r="K14" i="31"/>
  <c r="J14" i="31"/>
  <c r="I14" i="31"/>
  <c r="H14" i="31"/>
  <c r="G14" i="31"/>
  <c r="F14" i="31"/>
  <c r="E14" i="31"/>
  <c r="D14" i="31"/>
  <c r="C14" i="31"/>
  <c r="B14" i="31"/>
  <c r="A74" i="31" a="1"/>
  <c r="A81" i="31"/>
  <c r="A64" i="31" a="1"/>
  <c r="A54" i="31" a="1"/>
  <c r="A61" i="31"/>
  <c r="A41" i="31" a="1"/>
  <c r="A42" i="31"/>
  <c r="A32" i="31" a="1"/>
  <c r="A39" i="31"/>
  <c r="A23" i="31" a="1"/>
  <c r="A14" i="31" a="1"/>
  <c r="A21" i="31"/>
  <c r="A5" i="31" a="1"/>
  <c r="B4" i="31" a="1"/>
  <c r="K4" i="31"/>
  <c r="C1" i="31"/>
  <c r="A1" i="31"/>
  <c r="C68" i="30" a="1"/>
  <c r="D70" i="30"/>
  <c r="C59" i="30" a="1"/>
  <c r="C59" i="30"/>
  <c r="C50" i="30" a="1"/>
  <c r="L53" i="30"/>
  <c r="C41" i="30" a="1"/>
  <c r="C32" i="30" a="1"/>
  <c r="F35" i="30"/>
  <c r="C23" i="30" a="1"/>
  <c r="L29" i="30"/>
  <c r="A195" i="34"/>
  <c r="A229" i="34"/>
  <c r="A274" i="34"/>
  <c r="A294" i="34"/>
  <c r="A337" i="34"/>
  <c r="A368" i="34"/>
  <c r="A400" i="34"/>
  <c r="A254" i="34"/>
  <c r="A292" i="34"/>
  <c r="A362" i="34"/>
  <c r="A7" i="34"/>
  <c r="G15" i="34"/>
  <c r="A36" i="34"/>
  <c r="A74" i="34"/>
  <c r="A90" i="34"/>
  <c r="A112" i="34"/>
  <c r="A121" i="34"/>
  <c r="A125" i="34"/>
  <c r="A147" i="34"/>
  <c r="A164" i="34"/>
  <c r="A225" i="34"/>
  <c r="A252" i="34"/>
  <c r="A260" i="34"/>
  <c r="A270" i="34"/>
  <c r="A333" i="34"/>
  <c r="A360" i="34"/>
  <c r="A378" i="34"/>
  <c r="A396" i="34"/>
  <c r="A414" i="34"/>
  <c r="A433" i="34"/>
  <c r="A441" i="34"/>
  <c r="A6" i="34"/>
  <c r="A10" i="34"/>
  <c r="F15" i="34"/>
  <c r="A53" i="34"/>
  <c r="A89" i="34"/>
  <c r="A113" i="34"/>
  <c r="A124" i="34"/>
  <c r="A146" i="34"/>
  <c r="A165" i="34"/>
  <c r="A192" i="34"/>
  <c r="A196" i="34"/>
  <c r="A202" i="34"/>
  <c r="A212" i="34"/>
  <c r="A228" i="34"/>
  <c r="A232" i="34"/>
  <c r="A238" i="34"/>
  <c r="A257" i="34"/>
  <c r="A273" i="34"/>
  <c r="A285" i="34"/>
  <c r="A302" i="34"/>
  <c r="A310" i="34"/>
  <c r="A320" i="34"/>
  <c r="A338" i="34"/>
  <c r="A357" i="34"/>
  <c r="A363" i="34"/>
  <c r="A367" i="34"/>
  <c r="A381" i="34"/>
  <c r="A393" i="34"/>
  <c r="A399" i="34"/>
  <c r="A403" i="34"/>
  <c r="A426" i="34"/>
  <c r="K12" i="33"/>
  <c r="B85" i="33"/>
  <c r="B89" i="33"/>
  <c r="C106" i="33"/>
  <c r="B84" i="33"/>
  <c r="C103" i="33"/>
  <c r="C122" i="33"/>
  <c r="C123" i="33"/>
  <c r="A6" i="32"/>
  <c r="A10" i="32"/>
  <c r="A70" i="32"/>
  <c r="A97" i="32"/>
  <c r="A7" i="32"/>
  <c r="A14" i="31"/>
  <c r="A18" i="31"/>
  <c r="A32" i="31"/>
  <c r="A17" i="31"/>
  <c r="A37" i="31"/>
  <c r="A75" i="31"/>
  <c r="L63" i="30"/>
  <c r="A436" i="30" a="1"/>
  <c r="A437" i="30"/>
  <c r="A426" i="30" a="1"/>
  <c r="A428" i="30"/>
  <c r="N414" i="30"/>
  <c r="N413" i="30"/>
  <c r="N412" i="30"/>
  <c r="N411" i="30"/>
  <c r="N410" i="30"/>
  <c r="N409" i="30"/>
  <c r="N408" i="30"/>
  <c r="N407" i="30"/>
  <c r="A407" i="30" a="1"/>
  <c r="A414" i="30"/>
  <c r="N405" i="30"/>
  <c r="N404" i="30"/>
  <c r="N403" i="30"/>
  <c r="N402" i="30"/>
  <c r="N401" i="30"/>
  <c r="N400" i="30"/>
  <c r="N399" i="30"/>
  <c r="N398" i="30"/>
  <c r="A398" i="30" a="1"/>
  <c r="N396" i="30"/>
  <c r="N395" i="30"/>
  <c r="N394" i="30"/>
  <c r="N393" i="30"/>
  <c r="N392" i="30"/>
  <c r="N391" i="30"/>
  <c r="N390" i="30"/>
  <c r="N389" i="30"/>
  <c r="A389" i="30" a="1"/>
  <c r="A380" i="30" a="1"/>
  <c r="A384" i="30"/>
  <c r="A371" i="30" a="1"/>
  <c r="A372" i="30"/>
  <c r="A362" i="30" a="1"/>
  <c r="A369" i="30"/>
  <c r="A353" i="30" a="1"/>
  <c r="A355" i="30"/>
  <c r="N351" i="30"/>
  <c r="N350" i="30"/>
  <c r="N349" i="30"/>
  <c r="N348" i="30"/>
  <c r="N347" i="30"/>
  <c r="N346" i="30"/>
  <c r="N345" i="30"/>
  <c r="N344" i="30"/>
  <c r="A344" i="30" a="1"/>
  <c r="A346" i="30"/>
  <c r="N342" i="30"/>
  <c r="N341" i="30"/>
  <c r="N340" i="30"/>
  <c r="N339" i="30"/>
  <c r="N338" i="30"/>
  <c r="N337" i="30"/>
  <c r="N336" i="30"/>
  <c r="N335" i="30"/>
  <c r="A335" i="30" a="1"/>
  <c r="A342" i="30"/>
  <c r="N333" i="30"/>
  <c r="N332" i="30"/>
  <c r="N331" i="30"/>
  <c r="N330" i="30"/>
  <c r="N329" i="30"/>
  <c r="N328" i="30"/>
  <c r="N327" i="30"/>
  <c r="N326" i="30"/>
  <c r="A326" i="30" a="1"/>
  <c r="A317" i="30" a="1"/>
  <c r="A324" i="30"/>
  <c r="A308" i="30" a="1"/>
  <c r="A310" i="30"/>
  <c r="A299" i="30" a="1"/>
  <c r="A306" i="30"/>
  <c r="N297" i="30"/>
  <c r="N296" i="30"/>
  <c r="N295" i="30"/>
  <c r="N294" i="30"/>
  <c r="N293" i="30"/>
  <c r="N292" i="30"/>
  <c r="N291" i="30"/>
  <c r="N290" i="30"/>
  <c r="A290" i="30" a="1"/>
  <c r="A292" i="30"/>
  <c r="N288" i="30"/>
  <c r="N287" i="30"/>
  <c r="N286" i="30"/>
  <c r="N285" i="30"/>
  <c r="N284" i="30"/>
  <c r="N283" i="30"/>
  <c r="N282" i="30"/>
  <c r="N281" i="30"/>
  <c r="A281" i="30" a="1"/>
  <c r="N279" i="30"/>
  <c r="N278" i="30"/>
  <c r="N277" i="30"/>
  <c r="N276" i="30"/>
  <c r="N275" i="30"/>
  <c r="N274" i="30"/>
  <c r="N273" i="30"/>
  <c r="N272" i="30"/>
  <c r="A272" i="30" a="1"/>
  <c r="A277" i="30"/>
  <c r="A263" i="30" a="1"/>
  <c r="A268" i="30"/>
  <c r="A254" i="30" a="1"/>
  <c r="A255" i="30"/>
  <c r="A245" i="30" a="1"/>
  <c r="A251" i="30"/>
  <c r="N243" i="30"/>
  <c r="N242" i="30"/>
  <c r="N241" i="30"/>
  <c r="N240" i="30"/>
  <c r="N239" i="30"/>
  <c r="N238" i="30"/>
  <c r="N237" i="30"/>
  <c r="N236" i="30"/>
  <c r="A236" i="30" a="1"/>
  <c r="A241" i="30"/>
  <c r="N234" i="30"/>
  <c r="N233" i="30"/>
  <c r="N232" i="30"/>
  <c r="N231" i="30"/>
  <c r="N230" i="30"/>
  <c r="N229" i="30"/>
  <c r="N228" i="30"/>
  <c r="N227" i="30"/>
  <c r="A227" i="30" a="1"/>
  <c r="A231" i="30"/>
  <c r="N225" i="30"/>
  <c r="N224" i="30"/>
  <c r="N223" i="30"/>
  <c r="N222" i="30"/>
  <c r="N221" i="30"/>
  <c r="N220" i="30"/>
  <c r="N219" i="30"/>
  <c r="N218" i="30"/>
  <c r="A218" i="30" a="1"/>
  <c r="A224" i="30"/>
  <c r="A209" i="30" a="1"/>
  <c r="A210" i="30"/>
  <c r="A200" i="30" a="1"/>
  <c r="A205" i="30"/>
  <c r="A191" i="30" a="1"/>
  <c r="A195" i="30"/>
  <c r="A163" i="30" a="1"/>
  <c r="A165" i="30"/>
  <c r="A154" i="30" a="1"/>
  <c r="A155" i="30"/>
  <c r="N151" i="30"/>
  <c r="N150" i="30"/>
  <c r="N149" i="30"/>
  <c r="N148" i="30"/>
  <c r="N147" i="30"/>
  <c r="N146" i="30"/>
  <c r="N145" i="30"/>
  <c r="N144" i="30"/>
  <c r="N143" i="30"/>
  <c r="A143" i="30" a="1"/>
  <c r="A148" i="30"/>
  <c r="N140" i="30"/>
  <c r="N139" i="30"/>
  <c r="N138" i="30"/>
  <c r="N137" i="30"/>
  <c r="N136" i="30"/>
  <c r="N135" i="30"/>
  <c r="N134" i="30"/>
  <c r="N133" i="30"/>
  <c r="N132" i="30"/>
  <c r="B132" i="30" a="1"/>
  <c r="B138" i="30"/>
  <c r="A132" i="30" a="1"/>
  <c r="A134" i="30"/>
  <c r="N129" i="30"/>
  <c r="N128" i="30"/>
  <c r="N127" i="30"/>
  <c r="N126" i="30"/>
  <c r="N125" i="30"/>
  <c r="N124" i="30"/>
  <c r="N123" i="30"/>
  <c r="N122" i="30"/>
  <c r="N121" i="30"/>
  <c r="B121" i="30" a="1"/>
  <c r="A121" i="30" a="1"/>
  <c r="A126" i="30"/>
  <c r="N118" i="30"/>
  <c r="N117" i="30"/>
  <c r="N116" i="30"/>
  <c r="N115" i="30"/>
  <c r="N114" i="30"/>
  <c r="N113" i="30"/>
  <c r="N112" i="30"/>
  <c r="N111" i="30"/>
  <c r="N110" i="30"/>
  <c r="B110" i="30" a="1"/>
  <c r="B113" i="30"/>
  <c r="A110" i="30" a="1"/>
  <c r="A338" i="30"/>
  <c r="A95" i="30" a="1"/>
  <c r="A102" i="30"/>
  <c r="A86" i="30" a="1"/>
  <c r="A93" i="30"/>
  <c r="A77" i="30" a="1"/>
  <c r="A84" i="30"/>
  <c r="A68" i="30" a="1"/>
  <c r="A75" i="30"/>
  <c r="A59" i="30" a="1"/>
  <c r="A66" i="30"/>
  <c r="A50" i="30" a="1"/>
  <c r="A57" i="30"/>
  <c r="A41" i="30" a="1"/>
  <c r="A48" i="30"/>
  <c r="A32" i="30" a="1"/>
  <c r="A39" i="30"/>
  <c r="A23" i="30" a="1"/>
  <c r="A29" i="30"/>
  <c r="D18" i="30" a="1"/>
  <c r="K18" i="30"/>
  <c r="C18" i="30"/>
  <c r="L17" i="30"/>
  <c r="C17" i="30" a="1"/>
  <c r="J17" i="30"/>
  <c r="C15" i="30" a="1"/>
  <c r="L15" i="30"/>
  <c r="B15" i="30"/>
  <c r="A5" i="30" a="1"/>
  <c r="D64" i="29" a="1"/>
  <c r="N136" i="29"/>
  <c r="N135" i="29"/>
  <c r="N134" i="29"/>
  <c r="N133" i="29"/>
  <c r="N132" i="29"/>
  <c r="N131" i="29"/>
  <c r="N130" i="29"/>
  <c r="N129" i="29"/>
  <c r="N128" i="29"/>
  <c r="N127" i="29"/>
  <c r="N126" i="29"/>
  <c r="C126" i="29" a="1"/>
  <c r="C133" i="29"/>
  <c r="N125" i="29"/>
  <c r="N124" i="29"/>
  <c r="N123" i="29"/>
  <c r="N122" i="29"/>
  <c r="N121" i="29"/>
  <c r="N120" i="29"/>
  <c r="N119" i="29"/>
  <c r="N118" i="29"/>
  <c r="C118" i="29" a="1"/>
  <c r="C125" i="29"/>
  <c r="N117" i="29"/>
  <c r="N116" i="29"/>
  <c r="N115" i="29"/>
  <c r="N114" i="29"/>
  <c r="N113" i="29"/>
  <c r="N112" i="29"/>
  <c r="N111" i="29"/>
  <c r="N110" i="29"/>
  <c r="C110" i="29" a="1"/>
  <c r="C117" i="29"/>
  <c r="N108" i="29"/>
  <c r="N107" i="29"/>
  <c r="N106" i="29"/>
  <c r="N105" i="29"/>
  <c r="N104" i="29"/>
  <c r="N103" i="29"/>
  <c r="N102" i="29"/>
  <c r="N101" i="29"/>
  <c r="C101" i="29" a="1"/>
  <c r="C108" i="29"/>
  <c r="N98" i="29"/>
  <c r="N97" i="29"/>
  <c r="N96" i="29"/>
  <c r="N95" i="29"/>
  <c r="N94" i="29"/>
  <c r="N93" i="29"/>
  <c r="N92" i="29"/>
  <c r="N91" i="29"/>
  <c r="C91" i="29" a="1"/>
  <c r="C98" i="29"/>
  <c r="N89" i="29"/>
  <c r="N88" i="29"/>
  <c r="N87" i="29"/>
  <c r="N86" i="29"/>
  <c r="N85" i="29"/>
  <c r="N84" i="29"/>
  <c r="N83" i="29"/>
  <c r="N82" i="29"/>
  <c r="B82" i="29" a="1"/>
  <c r="B89" i="29"/>
  <c r="N80" i="29"/>
  <c r="N79" i="29"/>
  <c r="N78" i="29"/>
  <c r="N77" i="29"/>
  <c r="N76" i="29"/>
  <c r="N75" i="29"/>
  <c r="N74" i="29"/>
  <c r="N73" i="29"/>
  <c r="B73" i="29" a="1"/>
  <c r="B80" i="29"/>
  <c r="N72" i="29"/>
  <c r="N71" i="29"/>
  <c r="N70" i="29"/>
  <c r="N69" i="29"/>
  <c r="N68" i="29"/>
  <c r="N67" i="29"/>
  <c r="N66" i="29"/>
  <c r="N65" i="29"/>
  <c r="N64" i="29"/>
  <c r="C64" i="29" a="1"/>
  <c r="C71" i="29"/>
  <c r="B64" i="29" a="1"/>
  <c r="B69" i="29"/>
  <c r="N62" i="29"/>
  <c r="C62" i="29"/>
  <c r="N61" i="29"/>
  <c r="C61" i="29"/>
  <c r="A61" i="29"/>
  <c r="N60" i="29"/>
  <c r="C60" i="29"/>
  <c r="A60" i="29"/>
  <c r="N59" i="29"/>
  <c r="A59" i="29"/>
  <c r="N58" i="29"/>
  <c r="A58" i="29"/>
  <c r="N57" i="29"/>
  <c r="A57" i="29"/>
  <c r="A56" i="29"/>
  <c r="A55" i="29"/>
  <c r="A54" i="29"/>
  <c r="A53" i="29"/>
  <c r="C51" i="29"/>
  <c r="C50" i="29"/>
  <c r="N47" i="29"/>
  <c r="C47" i="29"/>
  <c r="N46" i="29"/>
  <c r="C46" i="29"/>
  <c r="N45" i="29"/>
  <c r="N43" i="29"/>
  <c r="N40" i="29"/>
  <c r="N37" i="29"/>
  <c r="C37" i="29"/>
  <c r="N36" i="29"/>
  <c r="C36" i="29"/>
  <c r="N35" i="29"/>
  <c r="N33" i="29"/>
  <c r="N30" i="29"/>
  <c r="N27" i="29"/>
  <c r="C27" i="29"/>
  <c r="N26" i="29"/>
  <c r="C26" i="29"/>
  <c r="N23" i="29"/>
  <c r="N22" i="29"/>
  <c r="N21" i="29"/>
  <c r="N20" i="29"/>
  <c r="N19" i="29"/>
  <c r="N16" i="29"/>
  <c r="N15" i="29"/>
  <c r="N14" i="29"/>
  <c r="E13" i="29" a="1"/>
  <c r="M13" i="29"/>
  <c r="D13" i="29"/>
  <c r="D12" i="29" a="1"/>
  <c r="L12" i="29"/>
  <c r="C12" i="29"/>
  <c r="H10" i="29"/>
  <c r="B10" i="29"/>
  <c r="H9" i="29"/>
  <c r="D9" i="29" a="1"/>
  <c r="F9" i="29"/>
  <c r="B9" i="29"/>
  <c r="G8" i="29"/>
  <c r="F8" i="29"/>
  <c r="E8" i="29"/>
  <c r="D8" i="29"/>
  <c r="E6" i="29"/>
  <c r="B6" i="29"/>
  <c r="E3" i="29"/>
  <c r="D3" i="29"/>
  <c r="C1" i="29"/>
  <c r="A1" i="29"/>
  <c r="C97" i="28" a="1"/>
  <c r="C97" i="28"/>
  <c r="C66" i="28" a="1"/>
  <c r="C66" i="28"/>
  <c r="C35" i="28" a="1"/>
  <c r="C35" i="28"/>
  <c r="M105" i="28"/>
  <c r="A105" i="28"/>
  <c r="M104" i="28"/>
  <c r="M103" i="28"/>
  <c r="M102" i="28"/>
  <c r="M101" i="28"/>
  <c r="M100" i="28"/>
  <c r="M99" i="28"/>
  <c r="M98" i="28"/>
  <c r="M97" i="28"/>
  <c r="B97" i="28" a="1"/>
  <c r="B104" i="28"/>
  <c r="A97" i="28" a="1"/>
  <c r="A104" i="28"/>
  <c r="M74" i="28"/>
  <c r="A74" i="28"/>
  <c r="M73" i="28"/>
  <c r="M72" i="28"/>
  <c r="M71" i="28"/>
  <c r="M70" i="28"/>
  <c r="M69" i="28"/>
  <c r="M68" i="28"/>
  <c r="M67" i="28"/>
  <c r="M66" i="28"/>
  <c r="B66" i="28" a="1"/>
  <c r="B73" i="28"/>
  <c r="A66" i="28" a="1"/>
  <c r="A73" i="28"/>
  <c r="M43" i="28"/>
  <c r="A43" i="28"/>
  <c r="M42" i="28"/>
  <c r="M41" i="28"/>
  <c r="M40" i="28"/>
  <c r="M39" i="28"/>
  <c r="M38" i="28"/>
  <c r="M37" i="28"/>
  <c r="M36" i="28"/>
  <c r="M35" i="28"/>
  <c r="B35" i="28" a="1"/>
  <c r="B42" i="28"/>
  <c r="A35" i="28" a="1"/>
  <c r="A42" i="28"/>
  <c r="M12" i="28"/>
  <c r="A12" i="28"/>
  <c r="M11" i="28"/>
  <c r="M10" i="28"/>
  <c r="M9" i="28"/>
  <c r="M8" i="28"/>
  <c r="M7" i="28"/>
  <c r="M6" i="28"/>
  <c r="M5" i="28"/>
  <c r="M4" i="28"/>
  <c r="B4" i="28" a="1"/>
  <c r="B11" i="28"/>
  <c r="A4" i="28" a="1"/>
  <c r="A11" i="28"/>
  <c r="C3" i="28" a="1"/>
  <c r="L3" i="28"/>
  <c r="B3" i="28"/>
  <c r="C1" i="28"/>
  <c r="A1" i="28"/>
  <c r="A74" i="27" a="1"/>
  <c r="A81" i="27"/>
  <c r="A64" i="27" a="1"/>
  <c r="A70" i="27"/>
  <c r="A54" i="27" a="1"/>
  <c r="A61" i="27"/>
  <c r="A41" i="27" a="1"/>
  <c r="A47" i="27"/>
  <c r="A32" i="27" a="1"/>
  <c r="A39" i="27"/>
  <c r="A23" i="27" a="1"/>
  <c r="A14" i="27" a="1"/>
  <c r="A21" i="27"/>
  <c r="A5" i="27" a="1"/>
  <c r="A11" i="27"/>
  <c r="B4" i="27" a="1"/>
  <c r="K4" i="27"/>
  <c r="C1" i="27"/>
  <c r="A1" i="27"/>
  <c r="A426" i="6" a="1"/>
  <c r="A431" i="6"/>
  <c r="A436" i="6" a="1"/>
  <c r="A436" i="6"/>
  <c r="A5" i="6" a="1"/>
  <c r="A154" i="6" a="1"/>
  <c r="A398" i="6" a="1"/>
  <c r="A407" i="6" a="1"/>
  <c r="A413" i="6"/>
  <c r="A389" i="6" a="1"/>
  <c r="A371" i="6" a="1"/>
  <c r="A380" i="6" a="1"/>
  <c r="A382" i="6"/>
  <c r="A362" i="6" a="1"/>
  <c r="A353" i="6" a="1"/>
  <c r="N405" i="6"/>
  <c r="N404" i="6"/>
  <c r="N403" i="6"/>
  <c r="N402" i="6"/>
  <c r="N401" i="6"/>
  <c r="N400" i="6"/>
  <c r="N399" i="6"/>
  <c r="N398" i="6"/>
  <c r="N414" i="6"/>
  <c r="N413" i="6"/>
  <c r="N412" i="6"/>
  <c r="N411" i="6"/>
  <c r="N410" i="6"/>
  <c r="N409" i="6"/>
  <c r="N408" i="6"/>
  <c r="N407" i="6"/>
  <c r="N396" i="6"/>
  <c r="N395" i="6"/>
  <c r="N394" i="6"/>
  <c r="N393" i="6"/>
  <c r="N392" i="6"/>
  <c r="N391" i="6"/>
  <c r="N390" i="6"/>
  <c r="N389" i="6"/>
  <c r="A335" i="6" a="1"/>
  <c r="A341" i="6"/>
  <c r="A344" i="6" a="1"/>
  <c r="A326" i="6" a="1"/>
  <c r="A331" i="6"/>
  <c r="A317" i="6" a="1"/>
  <c r="A308" i="6" a="1"/>
  <c r="A299" i="6" a="1"/>
  <c r="N342" i="6"/>
  <c r="N341" i="6"/>
  <c r="N340" i="6"/>
  <c r="N339" i="6"/>
  <c r="N338" i="6"/>
  <c r="N337" i="6"/>
  <c r="N336" i="6"/>
  <c r="N335" i="6"/>
  <c r="N351" i="6"/>
  <c r="N350" i="6"/>
  <c r="N349" i="6"/>
  <c r="N348" i="6"/>
  <c r="N347" i="6"/>
  <c r="N346" i="6"/>
  <c r="N345" i="6"/>
  <c r="N344" i="6"/>
  <c r="N333" i="6"/>
  <c r="N332" i="6"/>
  <c r="N331" i="6"/>
  <c r="N330" i="6"/>
  <c r="N329" i="6"/>
  <c r="N328" i="6"/>
  <c r="N327" i="6"/>
  <c r="N326" i="6"/>
  <c r="A281" i="6" a="1"/>
  <c r="A286" i="6"/>
  <c r="A290" i="6" a="1"/>
  <c r="A272" i="6" a="1"/>
  <c r="A274" i="6"/>
  <c r="A263" i="6" a="1"/>
  <c r="A254" i="6" a="1"/>
  <c r="A245" i="6" a="1"/>
  <c r="N288" i="6"/>
  <c r="N287" i="6"/>
  <c r="N286" i="6"/>
  <c r="N285" i="6"/>
  <c r="N284" i="6"/>
  <c r="N283" i="6"/>
  <c r="N282" i="6"/>
  <c r="N281" i="6"/>
  <c r="N297" i="6"/>
  <c r="N296" i="6"/>
  <c r="N295" i="6"/>
  <c r="N294" i="6"/>
  <c r="N293" i="6"/>
  <c r="N292" i="6"/>
  <c r="N291" i="6"/>
  <c r="N290" i="6"/>
  <c r="N279" i="6"/>
  <c r="N278" i="6"/>
  <c r="N277" i="6"/>
  <c r="N276" i="6"/>
  <c r="N275" i="6"/>
  <c r="N274" i="6"/>
  <c r="N273" i="6"/>
  <c r="N272" i="6"/>
  <c r="C68" i="6" a="1"/>
  <c r="H74" i="6"/>
  <c r="A68" i="6" a="1"/>
  <c r="A73" i="6"/>
  <c r="C59" i="6" a="1"/>
  <c r="E60" i="6"/>
  <c r="A59" i="6" a="1"/>
  <c r="C50" i="6" a="1"/>
  <c r="H53" i="6"/>
  <c r="A50" i="6" a="1"/>
  <c r="A56" i="6"/>
  <c r="N243" i="6"/>
  <c r="N242" i="6"/>
  <c r="N241" i="6"/>
  <c r="N240" i="6"/>
  <c r="N239" i="6"/>
  <c r="N238" i="6"/>
  <c r="N237" i="6"/>
  <c r="N236" i="6"/>
  <c r="A236" i="6" a="1"/>
  <c r="A239" i="6"/>
  <c r="N234" i="6"/>
  <c r="N233" i="6"/>
  <c r="N232" i="6"/>
  <c r="N231" i="6"/>
  <c r="N230" i="6"/>
  <c r="N229" i="6"/>
  <c r="N228" i="6"/>
  <c r="N227" i="6"/>
  <c r="A227" i="6" a="1"/>
  <c r="A230" i="6"/>
  <c r="N225" i="6"/>
  <c r="N224" i="6"/>
  <c r="N223" i="6"/>
  <c r="N222" i="6"/>
  <c r="N221" i="6"/>
  <c r="N220" i="6"/>
  <c r="N219" i="6"/>
  <c r="N218" i="6"/>
  <c r="A218" i="6" a="1"/>
  <c r="A209" i="6" a="1"/>
  <c r="A200" i="6" a="1"/>
  <c r="A191" i="6" a="1"/>
  <c r="A191" i="6"/>
  <c r="N151" i="6"/>
  <c r="N150" i="6"/>
  <c r="N149" i="6"/>
  <c r="N148" i="6"/>
  <c r="N147" i="6"/>
  <c r="N146" i="6"/>
  <c r="N145" i="6"/>
  <c r="N144" i="6"/>
  <c r="N143" i="6"/>
  <c r="A143" i="6" a="1"/>
  <c r="A147" i="6"/>
  <c r="B38" i="2"/>
  <c r="B34" i="2"/>
  <c r="B35" i="2"/>
  <c r="B39" i="2"/>
  <c r="B36" i="2"/>
  <c r="B32" i="2"/>
  <c r="B37" i="2"/>
  <c r="B33" i="2"/>
  <c r="A163" i="6" a="1"/>
  <c r="N140" i="6"/>
  <c r="N139" i="6"/>
  <c r="N138" i="6"/>
  <c r="N137" i="6"/>
  <c r="N136" i="6"/>
  <c r="N135" i="6"/>
  <c r="N134" i="6"/>
  <c r="N133" i="6"/>
  <c r="N132" i="6"/>
  <c r="B132" i="6" a="1"/>
  <c r="B132" i="6"/>
  <c r="A132" i="6" a="1"/>
  <c r="A137" i="6"/>
  <c r="N129" i="6"/>
  <c r="N128" i="6"/>
  <c r="N127" i="6"/>
  <c r="N126" i="6"/>
  <c r="N125" i="6"/>
  <c r="N124" i="6"/>
  <c r="N123" i="6"/>
  <c r="N122" i="6"/>
  <c r="N121" i="6"/>
  <c r="B121" i="6" a="1"/>
  <c r="B128" i="6"/>
  <c r="A121" i="6" a="1"/>
  <c r="A127" i="6"/>
  <c r="N118" i="6"/>
  <c r="N117" i="6"/>
  <c r="N116" i="6"/>
  <c r="N115" i="6"/>
  <c r="N114" i="6"/>
  <c r="N113" i="6"/>
  <c r="N112" i="6"/>
  <c r="N111" i="6"/>
  <c r="N110" i="6"/>
  <c r="A110" i="6" a="1"/>
  <c r="A110" i="6"/>
  <c r="A77" i="6" a="1"/>
  <c r="A77" i="6"/>
  <c r="A41" i="6" a="1"/>
  <c r="A43" i="6"/>
  <c r="A95" i="6" a="1"/>
  <c r="A99" i="6"/>
  <c r="A86" i="6" a="1"/>
  <c r="A86" i="6"/>
  <c r="C23" i="6" a="1"/>
  <c r="I27" i="6"/>
  <c r="A23" i="6" a="1"/>
  <c r="A27" i="6"/>
  <c r="C41" i="6" a="1"/>
  <c r="H46" i="6"/>
  <c r="C32" i="6" a="1"/>
  <c r="K37" i="6"/>
  <c r="A32" i="6" a="1"/>
  <c r="A36" i="6"/>
  <c r="B15" i="6"/>
  <c r="C18" i="34"/>
  <c r="L17" i="34"/>
  <c r="C15" i="6" a="1"/>
  <c r="D64" i="4" a="1"/>
  <c r="I66" i="4"/>
  <c r="A41" i="3" a="1"/>
  <c r="A54" i="3" a="1"/>
  <c r="A59" i="3"/>
  <c r="A74" i="3" a="1"/>
  <c r="A79" i="3"/>
  <c r="A64" i="3" a="1"/>
  <c r="C62" i="4"/>
  <c r="C62" i="33"/>
  <c r="N72" i="4"/>
  <c r="C64" i="4" a="1"/>
  <c r="C64" i="4"/>
  <c r="B11" i="2"/>
  <c r="B13" i="2"/>
  <c r="N135" i="4"/>
  <c r="N134" i="4"/>
  <c r="N125" i="4"/>
  <c r="N124" i="4"/>
  <c r="N123" i="4"/>
  <c r="N122" i="4"/>
  <c r="N121" i="4"/>
  <c r="N120" i="4"/>
  <c r="N119" i="4"/>
  <c r="N118" i="4"/>
  <c r="C118" i="4" a="1"/>
  <c r="C122" i="4"/>
  <c r="N117" i="4"/>
  <c r="N116" i="4"/>
  <c r="N115" i="4"/>
  <c r="N114" i="4"/>
  <c r="N113" i="4"/>
  <c r="N112" i="4"/>
  <c r="N111" i="4"/>
  <c r="N110" i="4"/>
  <c r="C110" i="4" a="1"/>
  <c r="C112" i="4"/>
  <c r="N26" i="4"/>
  <c r="C26" i="4"/>
  <c r="C51" i="4"/>
  <c r="C51" i="33"/>
  <c r="C50" i="4"/>
  <c r="A1" i="5"/>
  <c r="C1" i="4"/>
  <c r="A1" i="4"/>
  <c r="C1" i="5"/>
  <c r="C1" i="3"/>
  <c r="A1" i="3"/>
  <c r="C1" i="2"/>
  <c r="A1" i="2"/>
  <c r="C47" i="4"/>
  <c r="C46" i="4"/>
  <c r="C46" i="33"/>
  <c r="N47" i="4"/>
  <c r="N45" i="4"/>
  <c r="N43" i="4"/>
  <c r="N40" i="4"/>
  <c r="F8" i="4"/>
  <c r="K25" i="9"/>
  <c r="J25" i="9"/>
  <c r="I25" i="9"/>
  <c r="H25" i="9"/>
  <c r="G25" i="9"/>
  <c r="F25" i="9"/>
  <c r="E25" i="9"/>
  <c r="D25" i="9"/>
  <c r="C25" i="9"/>
  <c r="B25" i="9"/>
  <c r="K14" i="9"/>
  <c r="J14" i="9"/>
  <c r="I14" i="9"/>
  <c r="H14" i="9"/>
  <c r="G14" i="9"/>
  <c r="F14" i="9"/>
  <c r="E14" i="9"/>
  <c r="D14" i="9"/>
  <c r="C14" i="9"/>
  <c r="B14" i="9"/>
  <c r="M110" i="8"/>
  <c r="M109" i="8"/>
  <c r="M108" i="8"/>
  <c r="M107" i="8"/>
  <c r="M106" i="8"/>
  <c r="M105" i="8"/>
  <c r="M104" i="8"/>
  <c r="M103" i="8"/>
  <c r="M101" i="8"/>
  <c r="M100" i="8"/>
  <c r="M99" i="8"/>
  <c r="M98" i="8"/>
  <c r="M97" i="8"/>
  <c r="M96" i="8"/>
  <c r="M95" i="8"/>
  <c r="M94" i="8"/>
  <c r="M92" i="8"/>
  <c r="M91" i="8"/>
  <c r="M90" i="8"/>
  <c r="M89" i="8"/>
  <c r="M88" i="8"/>
  <c r="M87" i="8"/>
  <c r="M86" i="8"/>
  <c r="M85" i="8"/>
  <c r="M74" i="8"/>
  <c r="M73" i="8"/>
  <c r="M72" i="8"/>
  <c r="M71" i="8"/>
  <c r="M70" i="8"/>
  <c r="M69" i="8"/>
  <c r="M68" i="8"/>
  <c r="M67" i="8"/>
  <c r="M65" i="8"/>
  <c r="M64" i="8"/>
  <c r="M63" i="8"/>
  <c r="M62" i="8"/>
  <c r="M61" i="8"/>
  <c r="M60" i="8"/>
  <c r="M59" i="8"/>
  <c r="M58" i="8"/>
  <c r="M56" i="8"/>
  <c r="M55" i="8"/>
  <c r="M54" i="8"/>
  <c r="M53" i="8"/>
  <c r="M52" i="8"/>
  <c r="M51" i="8"/>
  <c r="M50" i="8"/>
  <c r="M49" i="8"/>
  <c r="E13" i="8"/>
  <c r="C13" i="8"/>
  <c r="B13" i="8"/>
  <c r="G13" i="7"/>
  <c r="F13" i="7"/>
  <c r="C13" i="7"/>
  <c r="E13" i="7"/>
  <c r="D13" i="7"/>
  <c r="B13" i="7"/>
  <c r="N136" i="4"/>
  <c r="N133" i="4"/>
  <c r="N132" i="4"/>
  <c r="N131" i="4"/>
  <c r="N130" i="4"/>
  <c r="N129" i="4"/>
  <c r="N128" i="4"/>
  <c r="N127" i="4"/>
  <c r="N126" i="4"/>
  <c r="C126" i="4" a="1"/>
  <c r="C126" i="4"/>
  <c r="N108" i="4"/>
  <c r="N107" i="4"/>
  <c r="N106" i="4"/>
  <c r="N105" i="4"/>
  <c r="N104" i="4"/>
  <c r="N103" i="4"/>
  <c r="N102" i="4"/>
  <c r="N101" i="4"/>
  <c r="C101" i="4" a="1"/>
  <c r="C106" i="4"/>
  <c r="N98" i="4"/>
  <c r="N97" i="4"/>
  <c r="N96" i="4"/>
  <c r="N95" i="4"/>
  <c r="N94" i="4"/>
  <c r="N93" i="4"/>
  <c r="N92" i="4"/>
  <c r="N91" i="4"/>
  <c r="C91" i="4" a="1"/>
  <c r="C94" i="4"/>
  <c r="N89" i="4"/>
  <c r="N88" i="4"/>
  <c r="N87" i="4"/>
  <c r="N86" i="4"/>
  <c r="N85" i="4"/>
  <c r="N84" i="4"/>
  <c r="N83" i="4"/>
  <c r="N82" i="4"/>
  <c r="B82" i="4" a="1"/>
  <c r="B87" i="4"/>
  <c r="N80" i="4"/>
  <c r="N79" i="4"/>
  <c r="N78" i="4"/>
  <c r="N77" i="4"/>
  <c r="N76" i="4"/>
  <c r="N75" i="4"/>
  <c r="N74" i="4"/>
  <c r="N73" i="4"/>
  <c r="B73" i="4" a="1"/>
  <c r="B78" i="4"/>
  <c r="N71" i="4"/>
  <c r="N70" i="4"/>
  <c r="N69" i="4"/>
  <c r="N68" i="4"/>
  <c r="N67" i="4"/>
  <c r="N66" i="4"/>
  <c r="N65" i="4"/>
  <c r="N64" i="4"/>
  <c r="B64" i="4" a="1"/>
  <c r="N62" i="4"/>
  <c r="N61" i="4"/>
  <c r="C61" i="4"/>
  <c r="C61" i="33"/>
  <c r="A61" i="4"/>
  <c r="C60" i="4"/>
  <c r="A60" i="4"/>
  <c r="A59" i="4"/>
  <c r="A58" i="4"/>
  <c r="A57" i="4"/>
  <c r="A56" i="4"/>
  <c r="N55" i="4"/>
  <c r="A55" i="4"/>
  <c r="N54" i="4"/>
  <c r="A54" i="4"/>
  <c r="N53" i="4"/>
  <c r="A53" i="4"/>
  <c r="N37" i="4"/>
  <c r="C37" i="4"/>
  <c r="C37" i="33"/>
  <c r="C36" i="4"/>
  <c r="N35" i="4"/>
  <c r="N33" i="4"/>
  <c r="N30" i="4"/>
  <c r="N27" i="4"/>
  <c r="C27" i="4"/>
  <c r="C27" i="33"/>
  <c r="N23" i="4"/>
  <c r="N22" i="4"/>
  <c r="N21" i="4"/>
  <c r="N20" i="4"/>
  <c r="N19" i="4"/>
  <c r="N16" i="4"/>
  <c r="N15" i="4"/>
  <c r="N14" i="4"/>
  <c r="D12" i="4" a="1"/>
  <c r="C12" i="4"/>
  <c r="H10" i="4"/>
  <c r="B10" i="4"/>
  <c r="H9" i="4"/>
  <c r="B9" i="4"/>
  <c r="G8" i="4"/>
  <c r="E8" i="4"/>
  <c r="D8" i="4"/>
  <c r="E6" i="4"/>
  <c r="B6" i="4"/>
  <c r="E3" i="4"/>
  <c r="M105" i="5"/>
  <c r="A105" i="5"/>
  <c r="M104" i="5"/>
  <c r="M103" i="5"/>
  <c r="M102" i="5"/>
  <c r="M101" i="5"/>
  <c r="M100" i="5"/>
  <c r="M99" i="5"/>
  <c r="M98" i="5"/>
  <c r="M97" i="5"/>
  <c r="C97" i="5" a="1"/>
  <c r="E99" i="5"/>
  <c r="B97" i="5" a="1"/>
  <c r="B97" i="5"/>
  <c r="A97" i="5" a="1"/>
  <c r="A98" i="5"/>
  <c r="M74" i="5"/>
  <c r="A74" i="5"/>
  <c r="M73" i="5"/>
  <c r="M72" i="5"/>
  <c r="M71" i="5"/>
  <c r="M70" i="5"/>
  <c r="M69" i="5"/>
  <c r="M68" i="5"/>
  <c r="M67" i="5"/>
  <c r="M66" i="5"/>
  <c r="A66" i="5" a="1"/>
  <c r="A69" i="5"/>
  <c r="M43" i="5"/>
  <c r="A43" i="5"/>
  <c r="M42" i="5"/>
  <c r="M41" i="5"/>
  <c r="M40" i="5"/>
  <c r="M39" i="5"/>
  <c r="M38" i="5"/>
  <c r="M37" i="5"/>
  <c r="M36" i="5"/>
  <c r="M35" i="5"/>
  <c r="C35" i="5" a="1"/>
  <c r="D36" i="5"/>
  <c r="B35" i="5" a="1"/>
  <c r="B40" i="5"/>
  <c r="A35" i="5" a="1"/>
  <c r="A41" i="5"/>
  <c r="M12" i="5"/>
  <c r="A12" i="5"/>
  <c r="M11" i="5"/>
  <c r="M10" i="5"/>
  <c r="M9" i="5"/>
  <c r="M8" i="5"/>
  <c r="M7" i="5"/>
  <c r="M6" i="5"/>
  <c r="M5" i="5"/>
  <c r="M4" i="5"/>
  <c r="H5" i="5"/>
  <c r="A4" i="5" a="1"/>
  <c r="A7" i="5"/>
  <c r="C3" i="5" a="1"/>
  <c r="J3" i="5"/>
  <c r="B3" i="5"/>
  <c r="A32" i="3" a="1"/>
  <c r="A38" i="3"/>
  <c r="A23" i="3" a="1"/>
  <c r="A26" i="3"/>
  <c r="A14" i="3" a="1"/>
  <c r="A14" i="3"/>
  <c r="A5" i="3" a="1"/>
  <c r="A5" i="3"/>
  <c r="B4" i="3" a="1"/>
  <c r="H4" i="3"/>
  <c r="B60" i="2" a="1"/>
  <c r="B59" i="2"/>
  <c r="B57" i="2"/>
  <c r="B58" i="2"/>
  <c r="B56" i="2"/>
  <c r="B45" i="2" a="1"/>
  <c r="B50" i="2"/>
  <c r="B58" i="1" a="1"/>
  <c r="B58" i="1"/>
  <c r="C57" i="1" a="1"/>
  <c r="K57" i="1"/>
  <c r="D56" i="1" a="1"/>
  <c r="I56" i="1"/>
  <c r="C56" i="1"/>
  <c r="C66" i="5" a="1"/>
  <c r="N60" i="4"/>
  <c r="N46" i="4"/>
  <c r="B66" i="5" a="1"/>
  <c r="B68" i="5"/>
  <c r="N36" i="4"/>
  <c r="C115" i="4"/>
  <c r="A198" i="6"/>
  <c r="A216" i="6"/>
  <c r="A72" i="6"/>
  <c r="A64" i="6"/>
  <c r="A371" i="6"/>
  <c r="A364" i="6"/>
  <c r="A373" i="6"/>
  <c r="A365" i="6"/>
  <c r="A374" i="6"/>
  <c r="A330" i="6"/>
  <c r="A304" i="6"/>
  <c r="A26" i="6"/>
  <c r="A23" i="6"/>
  <c r="E75" i="6"/>
  <c r="A338" i="6"/>
  <c r="I39" i="6"/>
  <c r="A89" i="6"/>
  <c r="A65" i="6"/>
  <c r="A66" i="6"/>
  <c r="A74" i="6"/>
  <c r="A75" i="6"/>
  <c r="A24" i="6"/>
  <c r="A63" i="6"/>
  <c r="A260" i="6"/>
  <c r="A278" i="6"/>
  <c r="A255" i="6"/>
  <c r="A275" i="6"/>
  <c r="A117" i="6"/>
  <c r="A48" i="6"/>
  <c r="A70" i="6"/>
  <c r="C128" i="4"/>
  <c r="C113" i="4"/>
  <c r="A224" i="6"/>
  <c r="I72" i="6"/>
  <c r="A300" i="6"/>
  <c r="A317" i="6"/>
  <c r="A318" i="6"/>
  <c r="A351" i="6"/>
  <c r="A348" i="6"/>
  <c r="A342" i="6"/>
  <c r="A335" i="6"/>
  <c r="A339" i="6"/>
  <c r="A336" i="6"/>
  <c r="A340" i="6"/>
  <c r="A357" i="6"/>
  <c r="A161" i="6"/>
  <c r="A12" i="6"/>
  <c r="A426" i="6"/>
  <c r="A111" i="6"/>
  <c r="A45" i="6"/>
  <c r="A283" i="6"/>
  <c r="A291" i="6"/>
  <c r="J65" i="6"/>
  <c r="I66" i="6"/>
  <c r="A263" i="6"/>
  <c r="J60" i="6"/>
  <c r="G64" i="6"/>
  <c r="A349" i="6"/>
  <c r="A320" i="6"/>
  <c r="A337" i="6"/>
  <c r="A346" i="6"/>
  <c r="A319" i="6"/>
  <c r="K72" i="6"/>
  <c r="C69" i="6"/>
  <c r="A427" i="6"/>
  <c r="A442" i="6"/>
  <c r="A440" i="6"/>
  <c r="A438" i="6"/>
  <c r="A390" i="6"/>
  <c r="A399" i="6"/>
  <c r="H39" i="6"/>
  <c r="D33" i="6"/>
  <c r="C35" i="6"/>
  <c r="D34" i="6"/>
  <c r="A409" i="6"/>
  <c r="A412" i="6"/>
  <c r="A155" i="6"/>
  <c r="A393" i="6"/>
  <c r="A411" i="6"/>
  <c r="A407" i="6"/>
  <c r="A405" i="6"/>
  <c r="A414" i="6"/>
  <c r="A410" i="6"/>
  <c r="A395" i="6"/>
  <c r="A389" i="6"/>
  <c r="A158" i="6"/>
  <c r="F67" i="4"/>
  <c r="M65" i="4"/>
  <c r="A441" i="6"/>
  <c r="A437" i="6"/>
  <c r="A213" i="6"/>
  <c r="A443" i="6"/>
  <c r="A439" i="6"/>
  <c r="A408" i="6"/>
  <c r="A391" i="6"/>
  <c r="F41" i="28"/>
  <c r="L73" i="28"/>
  <c r="F72" i="28"/>
  <c r="J70" i="28"/>
  <c r="H67" i="28"/>
  <c r="F103" i="28"/>
  <c r="D100" i="28"/>
  <c r="L42" i="28"/>
  <c r="H36" i="28"/>
  <c r="B35" i="28"/>
  <c r="J73" i="28"/>
  <c r="L72" i="28"/>
  <c r="D72" i="28"/>
  <c r="F71" i="28"/>
  <c r="F70" i="28"/>
  <c r="J68" i="28"/>
  <c r="D67" i="28"/>
  <c r="F66" i="28"/>
  <c r="L104" i="28"/>
  <c r="J101" i="28"/>
  <c r="H98" i="28"/>
  <c r="B97" i="28"/>
  <c r="A59" i="30"/>
  <c r="A68" i="30"/>
  <c r="A36" i="30"/>
  <c r="A54" i="30"/>
  <c r="A32" i="30"/>
  <c r="A50" i="30"/>
  <c r="A63" i="30"/>
  <c r="A72" i="30"/>
  <c r="C15" i="30"/>
  <c r="G15" i="30"/>
  <c r="K15" i="30"/>
  <c r="C17" i="30"/>
  <c r="G17" i="30"/>
  <c r="K17" i="30"/>
  <c r="D18" i="30"/>
  <c r="H18" i="30"/>
  <c r="L18" i="30"/>
  <c r="A34" i="30"/>
  <c r="A38" i="30"/>
  <c r="A41" i="30"/>
  <c r="A45" i="30"/>
  <c r="A52" i="30"/>
  <c r="A56" i="30"/>
  <c r="A61" i="30"/>
  <c r="A65" i="30"/>
  <c r="A70" i="30"/>
  <c r="A74" i="30"/>
  <c r="E15" i="30"/>
  <c r="I15" i="30"/>
  <c r="E17" i="30"/>
  <c r="I17" i="30"/>
  <c r="F18" i="30"/>
  <c r="J18" i="30"/>
  <c r="A43" i="30"/>
  <c r="A47" i="30"/>
  <c r="A6" i="30"/>
  <c r="A10" i="30"/>
  <c r="A24" i="30"/>
  <c r="A26" i="30"/>
  <c r="A28" i="30"/>
  <c r="A30" i="30"/>
  <c r="A77" i="30"/>
  <c r="A79" i="30"/>
  <c r="A81" i="30"/>
  <c r="A83" i="30"/>
  <c r="A86" i="30"/>
  <c r="A88" i="30"/>
  <c r="A90" i="30"/>
  <c r="A92" i="30"/>
  <c r="A95" i="30"/>
  <c r="A97" i="30"/>
  <c r="A99" i="30"/>
  <c r="A101" i="30"/>
  <c r="C130" i="4"/>
  <c r="B4" i="28"/>
  <c r="B66" i="28"/>
  <c r="D42" i="28"/>
  <c r="L38" i="28"/>
  <c r="J35" i="28"/>
  <c r="D104" i="28"/>
  <c r="H102" i="28"/>
  <c r="L100" i="28"/>
  <c r="F99" i="28"/>
  <c r="J97" i="28"/>
  <c r="A7" i="30"/>
  <c r="D15" i="30"/>
  <c r="F15" i="30"/>
  <c r="H15" i="30"/>
  <c r="J15" i="30"/>
  <c r="D17" i="30"/>
  <c r="F17" i="30"/>
  <c r="H17" i="30"/>
  <c r="E18" i="30"/>
  <c r="G18" i="30"/>
  <c r="I18" i="30"/>
  <c r="A23" i="30"/>
  <c r="A25" i="30"/>
  <c r="A27" i="30"/>
  <c r="A33" i="30"/>
  <c r="A35" i="30"/>
  <c r="A37" i="30"/>
  <c r="A42" i="30"/>
  <c r="A44" i="30"/>
  <c r="A46" i="30"/>
  <c r="A51" i="30"/>
  <c r="A53" i="30"/>
  <c r="A55" i="30"/>
  <c r="A60" i="30"/>
  <c r="A62" i="30"/>
  <c r="A64" i="30"/>
  <c r="A69" i="30"/>
  <c r="A71" i="30"/>
  <c r="A73" i="30"/>
  <c r="A78" i="30"/>
  <c r="A80" i="30"/>
  <c r="A82" i="30"/>
  <c r="A87" i="30"/>
  <c r="A89" i="30"/>
  <c r="A91" i="30"/>
  <c r="A96" i="30"/>
  <c r="A98" i="30"/>
  <c r="A100" i="30"/>
  <c r="A64" i="27"/>
  <c r="B8" i="28"/>
  <c r="B39" i="28"/>
  <c r="B70" i="28"/>
  <c r="B101" i="28"/>
  <c r="K73" i="28"/>
  <c r="I73" i="28"/>
  <c r="G73" i="28"/>
  <c r="E73" i="28"/>
  <c r="C73" i="28"/>
  <c r="K72" i="28"/>
  <c r="I72" i="28"/>
  <c r="G72" i="28"/>
  <c r="E72" i="28"/>
  <c r="C72" i="28"/>
  <c r="K71" i="28"/>
  <c r="I71" i="28"/>
  <c r="G71" i="28"/>
  <c r="E71" i="28"/>
  <c r="C71" i="28"/>
  <c r="K70" i="28"/>
  <c r="H70" i="28"/>
  <c r="D70" i="28"/>
  <c r="J69" i="28"/>
  <c r="F69" i="28"/>
  <c r="L68" i="28"/>
  <c r="H68" i="28"/>
  <c r="D68" i="28"/>
  <c r="J67" i="28"/>
  <c r="F67" i="28"/>
  <c r="D66" i="28"/>
  <c r="J41" i="28"/>
  <c r="D40" i="28"/>
  <c r="H38" i="28"/>
  <c r="L36" i="28"/>
  <c r="F35" i="28"/>
  <c r="H104" i="28"/>
  <c r="J103" i="28"/>
  <c r="L102" i="28"/>
  <c r="D102" i="28"/>
  <c r="F101" i="28"/>
  <c r="H100" i="28"/>
  <c r="J99" i="28"/>
  <c r="L98" i="28"/>
  <c r="D98" i="28"/>
  <c r="F97" i="28"/>
  <c r="G70" i="29"/>
  <c r="M71" i="29"/>
  <c r="I65" i="29"/>
  <c r="I69" i="29"/>
  <c r="G66" i="29"/>
  <c r="I71" i="29"/>
  <c r="M69" i="29"/>
  <c r="G68" i="29"/>
  <c r="K66" i="29"/>
  <c r="M65" i="29"/>
  <c r="E65" i="29"/>
  <c r="G64" i="29"/>
  <c r="K71" i="29"/>
  <c r="G71" i="29"/>
  <c r="M70" i="29"/>
  <c r="I70" i="29"/>
  <c r="E70" i="29"/>
  <c r="K69" i="29"/>
  <c r="G69" i="29"/>
  <c r="M68" i="29"/>
  <c r="I68" i="29"/>
  <c r="E68" i="29"/>
  <c r="K67" i="29"/>
  <c r="G67" i="29"/>
  <c r="M66" i="29"/>
  <c r="I66" i="29"/>
  <c r="E66" i="29"/>
  <c r="K65" i="29"/>
  <c r="G65" i="29"/>
  <c r="G72" i="29" a="1"/>
  <c r="G72" i="29"/>
  <c r="M64" i="29"/>
  <c r="I64" i="29"/>
  <c r="E64" i="29"/>
  <c r="L71" i="29"/>
  <c r="J71" i="29"/>
  <c r="H71" i="29"/>
  <c r="F71" i="29"/>
  <c r="D71" i="29"/>
  <c r="L70" i="29"/>
  <c r="J70" i="29"/>
  <c r="H70" i="29"/>
  <c r="F70" i="29"/>
  <c r="D70" i="29"/>
  <c r="L69" i="29"/>
  <c r="J69" i="29"/>
  <c r="H69" i="29"/>
  <c r="F69" i="29"/>
  <c r="D69" i="29"/>
  <c r="L68" i="29"/>
  <c r="J68" i="29"/>
  <c r="H68" i="29"/>
  <c r="F68" i="29"/>
  <c r="D68" i="29"/>
  <c r="L67" i="29"/>
  <c r="J67" i="29"/>
  <c r="H67" i="29"/>
  <c r="F67" i="29"/>
  <c r="D67" i="29"/>
  <c r="L66" i="29"/>
  <c r="J66" i="29"/>
  <c r="H66" i="29"/>
  <c r="F66" i="29"/>
  <c r="D66" i="29"/>
  <c r="L65" i="29"/>
  <c r="J65" i="29"/>
  <c r="H65" i="29"/>
  <c r="F65" i="29"/>
  <c r="D65" i="29"/>
  <c r="L64" i="29"/>
  <c r="J64" i="29"/>
  <c r="H64" i="29"/>
  <c r="H72" i="29" a="1"/>
  <c r="H72" i="29"/>
  <c r="F64" i="29"/>
  <c r="C110" i="29"/>
  <c r="C64" i="29"/>
  <c r="C126" i="29"/>
  <c r="C68" i="29"/>
  <c r="C114" i="29"/>
  <c r="C130" i="29"/>
  <c r="C66" i="29"/>
  <c r="C70" i="29"/>
  <c r="C103" i="29"/>
  <c r="C107" i="29"/>
  <c r="C101" i="29"/>
  <c r="C105" i="29"/>
  <c r="C112" i="29"/>
  <c r="C116" i="29"/>
  <c r="C128" i="29"/>
  <c r="C132" i="29"/>
  <c r="E3" i="28"/>
  <c r="I3" i="28"/>
  <c r="J42" i="28"/>
  <c r="L41" i="28"/>
  <c r="D41" i="28"/>
  <c r="F40" i="28"/>
  <c r="H39" i="28"/>
  <c r="J38" i="28"/>
  <c r="L37" i="28"/>
  <c r="D37" i="28"/>
  <c r="F36" i="28"/>
  <c r="H35" i="28"/>
  <c r="J104" i="28"/>
  <c r="F104" i="28"/>
  <c r="L103" i="28"/>
  <c r="H103" i="28"/>
  <c r="D103" i="28"/>
  <c r="J102" i="28"/>
  <c r="F102" i="28"/>
  <c r="L101" i="28"/>
  <c r="H101" i="28"/>
  <c r="D101" i="28"/>
  <c r="J100" i="28"/>
  <c r="F100" i="28"/>
  <c r="L99" i="28"/>
  <c r="H99" i="28"/>
  <c r="D99" i="28"/>
  <c r="J98" i="28"/>
  <c r="F98" i="28"/>
  <c r="F105" i="28"/>
  <c r="L97" i="28"/>
  <c r="L105" i="28"/>
  <c r="H97" i="28"/>
  <c r="D97" i="28"/>
  <c r="D105" i="28"/>
  <c r="E9" i="29"/>
  <c r="G9" i="29"/>
  <c r="E12" i="29"/>
  <c r="G12" i="29"/>
  <c r="I12" i="29"/>
  <c r="K12" i="29"/>
  <c r="M12" i="29"/>
  <c r="F13" i="29"/>
  <c r="H13" i="29"/>
  <c r="J13" i="29"/>
  <c r="L13" i="29"/>
  <c r="B65" i="29"/>
  <c r="B70" i="29"/>
  <c r="B68" i="29"/>
  <c r="B66" i="29"/>
  <c r="B64" i="29"/>
  <c r="A5" i="27"/>
  <c r="A27" i="27"/>
  <c r="C3" i="28"/>
  <c r="G3" i="28"/>
  <c r="K3" i="28"/>
  <c r="B6" i="28"/>
  <c r="B10" i="28"/>
  <c r="B37" i="28"/>
  <c r="B41" i="28"/>
  <c r="B68" i="28"/>
  <c r="B72" i="28"/>
  <c r="B99" i="28"/>
  <c r="B103" i="28"/>
  <c r="I70" i="28"/>
  <c r="G70" i="28"/>
  <c r="E70" i="28"/>
  <c r="C70" i="28"/>
  <c r="K69" i="28"/>
  <c r="I69" i="28"/>
  <c r="G69" i="28"/>
  <c r="E69" i="28"/>
  <c r="C69" i="28"/>
  <c r="K68" i="28"/>
  <c r="I68" i="28"/>
  <c r="G68" i="28"/>
  <c r="E68" i="28"/>
  <c r="C68" i="28"/>
  <c r="K67" i="28"/>
  <c r="I67" i="28"/>
  <c r="G67" i="28"/>
  <c r="E67" i="28"/>
  <c r="C67" i="28"/>
  <c r="K66" i="28"/>
  <c r="I66" i="28"/>
  <c r="I74" i="28"/>
  <c r="G66" i="28"/>
  <c r="E66" i="28"/>
  <c r="D9" i="29"/>
  <c r="D12" i="29"/>
  <c r="F12" i="29"/>
  <c r="H12" i="29"/>
  <c r="J12" i="29"/>
  <c r="E13" i="29"/>
  <c r="G13" i="29"/>
  <c r="I13" i="29"/>
  <c r="K13" i="29"/>
  <c r="B67" i="29"/>
  <c r="B71" i="29"/>
  <c r="C65" i="29"/>
  <c r="C67" i="29"/>
  <c r="C69" i="29"/>
  <c r="B73" i="29"/>
  <c r="B75" i="29"/>
  <c r="B77" i="29"/>
  <c r="B79" i="29"/>
  <c r="B82" i="29"/>
  <c r="B84" i="29"/>
  <c r="B86" i="29"/>
  <c r="B88" i="29"/>
  <c r="C91" i="29"/>
  <c r="C93" i="29"/>
  <c r="C95" i="29"/>
  <c r="C97" i="29"/>
  <c r="B74" i="29"/>
  <c r="B76" i="29"/>
  <c r="B78" i="29"/>
  <c r="B83" i="29"/>
  <c r="B85" i="29"/>
  <c r="B87" i="29"/>
  <c r="C92" i="29"/>
  <c r="C94" i="29"/>
  <c r="C96" i="29"/>
  <c r="C102" i="29"/>
  <c r="C104" i="29"/>
  <c r="C106" i="29"/>
  <c r="C111" i="29"/>
  <c r="C113" i="29"/>
  <c r="C115" i="29"/>
  <c r="C118" i="29"/>
  <c r="C120" i="29"/>
  <c r="C122" i="29"/>
  <c r="C124" i="29"/>
  <c r="C127" i="29"/>
  <c r="C129" i="29"/>
  <c r="C131" i="29"/>
  <c r="C119" i="29"/>
  <c r="C121" i="29"/>
  <c r="C123" i="29"/>
  <c r="K42" i="28"/>
  <c r="G42" i="28"/>
  <c r="C42" i="28"/>
  <c r="I41" i="28"/>
  <c r="E41" i="28"/>
  <c r="K40" i="28"/>
  <c r="G40" i="28"/>
  <c r="C40" i="28"/>
  <c r="I39" i="28"/>
  <c r="E39" i="28"/>
  <c r="C39" i="28"/>
  <c r="K38" i="28"/>
  <c r="I38" i="28"/>
  <c r="G38" i="28"/>
  <c r="E38" i="28"/>
  <c r="C38" i="28"/>
  <c r="K37" i="28"/>
  <c r="I37" i="28"/>
  <c r="G37" i="28"/>
  <c r="E37" i="28"/>
  <c r="C37" i="28"/>
  <c r="K36" i="28"/>
  <c r="I36" i="28"/>
  <c r="G36" i="28"/>
  <c r="E36" i="28"/>
  <c r="C36" i="28"/>
  <c r="K35" i="28"/>
  <c r="I35" i="28"/>
  <c r="G35" i="28"/>
  <c r="E35" i="28"/>
  <c r="K104" i="28"/>
  <c r="I104" i="28"/>
  <c r="G104" i="28"/>
  <c r="E104" i="28"/>
  <c r="C104" i="28"/>
  <c r="K103" i="28"/>
  <c r="I103" i="28"/>
  <c r="G103" i="28"/>
  <c r="E103" i="28"/>
  <c r="C103" i="28"/>
  <c r="K102" i="28"/>
  <c r="I102" i="28"/>
  <c r="G102" i="28"/>
  <c r="E102" i="28"/>
  <c r="C102" i="28"/>
  <c r="K101" i="28"/>
  <c r="I101" i="28"/>
  <c r="G101" i="28"/>
  <c r="E101" i="28"/>
  <c r="C101" i="28"/>
  <c r="K100" i="28"/>
  <c r="I100" i="28"/>
  <c r="G100" i="28"/>
  <c r="E100" i="28"/>
  <c r="C100" i="28"/>
  <c r="K99" i="28"/>
  <c r="I99" i="28"/>
  <c r="G99" i="28"/>
  <c r="E99" i="28"/>
  <c r="C99" i="28"/>
  <c r="K98" i="28"/>
  <c r="K97" i="28"/>
  <c r="K105" i="28"/>
  <c r="I98" i="28"/>
  <c r="G98" i="28"/>
  <c r="E98" i="28"/>
  <c r="C98" i="28"/>
  <c r="I97" i="28"/>
  <c r="G97" i="28"/>
  <c r="E97" i="28"/>
  <c r="E105" i="28"/>
  <c r="A7" i="27"/>
  <c r="A25" i="27"/>
  <c r="A41" i="27"/>
  <c r="A45" i="27"/>
  <c r="A66" i="27"/>
  <c r="D3" i="28"/>
  <c r="F3" i="28"/>
  <c r="H3" i="28"/>
  <c r="J3" i="28"/>
  <c r="A4" i="28"/>
  <c r="A6" i="28"/>
  <c r="A8" i="28"/>
  <c r="A10" i="28"/>
  <c r="B5" i="28"/>
  <c r="B7" i="28"/>
  <c r="B9" i="28"/>
  <c r="A35" i="28"/>
  <c r="A37" i="28"/>
  <c r="A39" i="28"/>
  <c r="A41" i="28"/>
  <c r="B36" i="28"/>
  <c r="B38" i="28"/>
  <c r="B40" i="28"/>
  <c r="A66" i="28"/>
  <c r="A68" i="28"/>
  <c r="A70" i="28"/>
  <c r="A72" i="28"/>
  <c r="B67" i="28"/>
  <c r="B69" i="28"/>
  <c r="B71" i="28"/>
  <c r="A97" i="28"/>
  <c r="A99" i="28"/>
  <c r="A101" i="28"/>
  <c r="A103" i="28"/>
  <c r="B98" i="28"/>
  <c r="B100" i="28"/>
  <c r="B102" i="28"/>
  <c r="I69" i="4"/>
  <c r="I69" i="33"/>
  <c r="A43" i="27"/>
  <c r="A5" i="28"/>
  <c r="A7" i="28"/>
  <c r="A9" i="28"/>
  <c r="A36" i="28"/>
  <c r="A38" i="28"/>
  <c r="A40" i="28"/>
  <c r="A67" i="28"/>
  <c r="A69" i="28"/>
  <c r="A71" i="28"/>
  <c r="A98" i="28"/>
  <c r="A100" i="28"/>
  <c r="A102" i="28"/>
  <c r="K64" i="4"/>
  <c r="D4" i="27"/>
  <c r="H4" i="27"/>
  <c r="A6" i="27"/>
  <c r="A8" i="27"/>
  <c r="A10" i="27"/>
  <c r="A12" i="27"/>
  <c r="A14" i="27"/>
  <c r="A18" i="27"/>
  <c r="A24" i="27"/>
  <c r="A26" i="27"/>
  <c r="A28" i="27"/>
  <c r="A30" i="27"/>
  <c r="A32" i="27"/>
  <c r="A36" i="27"/>
  <c r="A42" i="27"/>
  <c r="A44" i="27"/>
  <c r="A46" i="27"/>
  <c r="A48" i="27"/>
  <c r="A54" i="27"/>
  <c r="A58" i="27"/>
  <c r="A65" i="27"/>
  <c r="A67" i="27"/>
  <c r="A69" i="27"/>
  <c r="A71" i="27"/>
  <c r="A74" i="27"/>
  <c r="A78" i="27"/>
  <c r="E67" i="4"/>
  <c r="C4" i="27"/>
  <c r="G4" i="27"/>
  <c r="A9" i="27"/>
  <c r="A17" i="27"/>
  <c r="A33" i="27"/>
  <c r="A37" i="27"/>
  <c r="A57" i="27"/>
  <c r="A68" i="27"/>
  <c r="A77" i="27"/>
  <c r="A367" i="30"/>
  <c r="A363" i="30"/>
  <c r="A405" i="30"/>
  <c r="A401" i="30"/>
  <c r="A385" i="30"/>
  <c r="A381" i="30"/>
  <c r="A366" i="30"/>
  <c r="A362" i="30"/>
  <c r="A320" i="30"/>
  <c r="A337" i="30"/>
  <c r="A319" i="30"/>
  <c r="A305" i="30"/>
  <c r="A295" i="30"/>
  <c r="A159" i="30"/>
  <c r="A230" i="30"/>
  <c r="A194" i="30"/>
  <c r="A160" i="30"/>
  <c r="B135" i="30"/>
  <c r="A122" i="30"/>
  <c r="G50" i="30"/>
  <c r="K56" i="30"/>
  <c r="G37" i="30"/>
  <c r="C72" i="30"/>
  <c r="L37" i="30"/>
  <c r="C36" i="33"/>
  <c r="A117" i="30"/>
  <c r="A113" i="30"/>
  <c r="B128" i="30"/>
  <c r="B124" i="30"/>
  <c r="B123" i="30"/>
  <c r="A139" i="30"/>
  <c r="A132" i="30"/>
  <c r="A135" i="30"/>
  <c r="A133" i="30"/>
  <c r="A170" i="30"/>
  <c r="A169" i="30"/>
  <c r="A166" i="30"/>
  <c r="A200" i="30"/>
  <c r="A206" i="30"/>
  <c r="A201" i="30"/>
  <c r="A219" i="30"/>
  <c r="A223" i="30"/>
  <c r="A238" i="30"/>
  <c r="A239" i="30"/>
  <c r="A243" i="30"/>
  <c r="A240" i="30"/>
  <c r="A237" i="30"/>
  <c r="A252" i="30"/>
  <c r="A245" i="30"/>
  <c r="A249" i="30"/>
  <c r="A246" i="30"/>
  <c r="A250" i="30"/>
  <c r="A247" i="30"/>
  <c r="A266" i="30"/>
  <c r="A264" i="30"/>
  <c r="A287" i="30"/>
  <c r="A282" i="30"/>
  <c r="A286" i="30"/>
  <c r="A284" i="30"/>
  <c r="A315" i="30"/>
  <c r="A308" i="30"/>
  <c r="A312" i="30"/>
  <c r="A311" i="30"/>
  <c r="A314" i="30"/>
  <c r="A309" i="30"/>
  <c r="A333" i="30"/>
  <c r="A326" i="30"/>
  <c r="A330" i="30"/>
  <c r="A329" i="30"/>
  <c r="A332" i="30"/>
  <c r="A331" i="30"/>
  <c r="A351" i="30"/>
  <c r="A344" i="30"/>
  <c r="A348" i="30"/>
  <c r="A347" i="30"/>
  <c r="A350" i="30"/>
  <c r="A345" i="30"/>
  <c r="A360" i="30"/>
  <c r="A353" i="30"/>
  <c r="A357" i="30"/>
  <c r="A359" i="30"/>
  <c r="A356" i="30"/>
  <c r="A378" i="30"/>
  <c r="A371" i="30"/>
  <c r="A375" i="30"/>
  <c r="A377" i="30"/>
  <c r="A374" i="30"/>
  <c r="A393" i="30"/>
  <c r="A392" i="30"/>
  <c r="A395" i="30"/>
  <c r="A390" i="30"/>
  <c r="A408" i="30"/>
  <c r="A412" i="30"/>
  <c r="A410" i="30"/>
  <c r="A411" i="30"/>
  <c r="A433" i="30"/>
  <c r="A432" i="30"/>
  <c r="A426" i="30"/>
  <c r="A429" i="30"/>
  <c r="A443" i="30"/>
  <c r="A438" i="30"/>
  <c r="A436" i="30"/>
  <c r="A442" i="30"/>
  <c r="A439" i="30"/>
  <c r="C32" i="30"/>
  <c r="F38" i="30"/>
  <c r="L39" i="30"/>
  <c r="H37" i="30"/>
  <c r="H39" i="30"/>
  <c r="F36" i="30"/>
  <c r="D33" i="30"/>
  <c r="F39" i="30"/>
  <c r="J37" i="30"/>
  <c r="D36" i="30"/>
  <c r="H34" i="30"/>
  <c r="L32" i="30"/>
  <c r="G39" i="30"/>
  <c r="I38" i="30"/>
  <c r="K37" i="30"/>
  <c r="C37" i="30"/>
  <c r="E36" i="30"/>
  <c r="G35" i="30"/>
  <c r="I34" i="30"/>
  <c r="K33" i="30"/>
  <c r="C33" i="30"/>
  <c r="E32" i="30"/>
  <c r="F34" i="30"/>
  <c r="J34" i="30"/>
  <c r="L36" i="30"/>
  <c r="J33" i="30"/>
  <c r="K39" i="30"/>
  <c r="E38" i="30"/>
  <c r="I36" i="30"/>
  <c r="C35" i="30"/>
  <c r="G33" i="30"/>
  <c r="C50" i="30"/>
  <c r="L57" i="30"/>
  <c r="D57" i="30"/>
  <c r="J50" i="30"/>
  <c r="L55" i="30"/>
  <c r="J52" i="30"/>
  <c r="F57" i="30"/>
  <c r="J55" i="30"/>
  <c r="D54" i="30"/>
  <c r="H52" i="30"/>
  <c r="L50" i="30"/>
  <c r="E57" i="30"/>
  <c r="G56" i="30"/>
  <c r="I55" i="30"/>
  <c r="K54" i="30"/>
  <c r="C54" i="30"/>
  <c r="E53" i="30"/>
  <c r="G52" i="30"/>
  <c r="I51" i="30"/>
  <c r="K50" i="30"/>
  <c r="F56" i="30"/>
  <c r="H51" i="30"/>
  <c r="F54" i="30"/>
  <c r="H56" i="30"/>
  <c r="F53" i="30"/>
  <c r="D50" i="30"/>
  <c r="I57" i="30"/>
  <c r="C56" i="30"/>
  <c r="G54" i="30"/>
  <c r="K52" i="30"/>
  <c r="E51" i="30"/>
  <c r="C68" i="30"/>
  <c r="H73" i="30"/>
  <c r="L73" i="30"/>
  <c r="J70" i="30"/>
  <c r="J75" i="30"/>
  <c r="D74" i="30"/>
  <c r="H72" i="30"/>
  <c r="L70" i="30"/>
  <c r="F69" i="30"/>
  <c r="I75" i="30"/>
  <c r="K74" i="30"/>
  <c r="C74" i="30"/>
  <c r="E73" i="30"/>
  <c r="G72" i="30"/>
  <c r="I71" i="30"/>
  <c r="K70" i="30"/>
  <c r="C70" i="30"/>
  <c r="E69" i="30"/>
  <c r="G68" i="30"/>
  <c r="H75" i="30"/>
  <c r="D69" i="30"/>
  <c r="L74" i="30"/>
  <c r="J71" i="30"/>
  <c r="H68" i="30"/>
  <c r="G74" i="30"/>
  <c r="K72" i="30"/>
  <c r="E71" i="30"/>
  <c r="I69" i="30"/>
  <c r="A11" i="31"/>
  <c r="A5" i="31"/>
  <c r="A10" i="31"/>
  <c r="A9" i="31"/>
  <c r="A29" i="31"/>
  <c r="A28" i="31"/>
  <c r="A25" i="31"/>
  <c r="A24" i="31"/>
  <c r="A47" i="31"/>
  <c r="A46" i="31"/>
  <c r="A70" i="31"/>
  <c r="A64" i="31"/>
  <c r="A69" i="31"/>
  <c r="A65" i="31"/>
  <c r="L3" i="32"/>
  <c r="I3" i="32"/>
  <c r="C3" i="32"/>
  <c r="K3" i="32"/>
  <c r="F3" i="32"/>
  <c r="J3" i="32"/>
  <c r="G3" i="32"/>
  <c r="H3" i="32"/>
  <c r="A42" i="32"/>
  <c r="A37" i="32"/>
  <c r="A41" i="32"/>
  <c r="A36" i="32"/>
  <c r="A40" i="32"/>
  <c r="A39" i="32"/>
  <c r="A38" i="32"/>
  <c r="A104" i="32"/>
  <c r="A99" i="32"/>
  <c r="A103" i="32"/>
  <c r="A98" i="32"/>
  <c r="A102" i="32"/>
  <c r="A101" i="32"/>
  <c r="A100" i="32"/>
  <c r="B70" i="33"/>
  <c r="B67" i="33"/>
  <c r="B71" i="33"/>
  <c r="B66" i="33"/>
  <c r="B65" i="33"/>
  <c r="B68" i="33"/>
  <c r="B74" i="33"/>
  <c r="B73" i="33"/>
  <c r="B78" i="33"/>
  <c r="B77" i="33"/>
  <c r="B76" i="33"/>
  <c r="C97" i="33"/>
  <c r="C94" i="33"/>
  <c r="C98" i="33"/>
  <c r="C91" i="33"/>
  <c r="C95" i="33"/>
  <c r="C96" i="33"/>
  <c r="C93" i="33"/>
  <c r="C110" i="33"/>
  <c r="C114" i="33"/>
  <c r="C112" i="33"/>
  <c r="C111" i="33"/>
  <c r="C115" i="33"/>
  <c r="C113" i="33"/>
  <c r="C126" i="33"/>
  <c r="C128" i="33"/>
  <c r="C129" i="33"/>
  <c r="C130" i="33"/>
  <c r="C132" i="33"/>
  <c r="C131" i="33"/>
  <c r="A27" i="34"/>
  <c r="A25" i="34"/>
  <c r="A24" i="34"/>
  <c r="A28" i="34"/>
  <c r="A26" i="34"/>
  <c r="A45" i="34"/>
  <c r="A43" i="34"/>
  <c r="A44" i="34"/>
  <c r="A47" i="34"/>
  <c r="A46" i="34"/>
  <c r="A63" i="34"/>
  <c r="A61" i="34"/>
  <c r="A60" i="34"/>
  <c r="A64" i="34"/>
  <c r="A81" i="34"/>
  <c r="A79" i="34"/>
  <c r="A80" i="34"/>
  <c r="A83" i="34"/>
  <c r="A78" i="34"/>
  <c r="A99" i="34"/>
  <c r="A97" i="34"/>
  <c r="A96" i="34"/>
  <c r="A100" i="34"/>
  <c r="A98" i="34"/>
  <c r="A169" i="34"/>
  <c r="A166" i="34"/>
  <c r="A170" i="34"/>
  <c r="A163" i="34"/>
  <c r="A167" i="34"/>
  <c r="A168" i="34"/>
  <c r="F70" i="4"/>
  <c r="F70" i="33"/>
  <c r="D64" i="4"/>
  <c r="L69" i="4"/>
  <c r="I68" i="4"/>
  <c r="K34" i="6"/>
  <c r="C36" i="6"/>
  <c r="C37" i="6"/>
  <c r="A30" i="6"/>
  <c r="A25" i="6"/>
  <c r="A28" i="6"/>
  <c r="A29" i="6"/>
  <c r="A92" i="6"/>
  <c r="A91" i="6"/>
  <c r="A93" i="6"/>
  <c r="A96" i="6"/>
  <c r="A101" i="6"/>
  <c r="A165" i="6"/>
  <c r="I57" i="6"/>
  <c r="L52" i="6"/>
  <c r="L52" i="30"/>
  <c r="L52" i="34"/>
  <c r="D56" i="6"/>
  <c r="G52" i="6"/>
  <c r="I55" i="6"/>
  <c r="J50" i="6"/>
  <c r="F52" i="6"/>
  <c r="L53" i="6"/>
  <c r="L53" i="34"/>
  <c r="H55" i="6"/>
  <c r="D57" i="6"/>
  <c r="D57" i="34"/>
  <c r="C51" i="6"/>
  <c r="I52" i="6"/>
  <c r="I52" i="30"/>
  <c r="I52" i="34"/>
  <c r="E54" i="6"/>
  <c r="K55" i="6"/>
  <c r="K55" i="30"/>
  <c r="K55" i="34"/>
  <c r="G57" i="6"/>
  <c r="G60" i="6"/>
  <c r="K66" i="6"/>
  <c r="F66" i="6"/>
  <c r="K59" i="6"/>
  <c r="C63" i="6"/>
  <c r="E66" i="6"/>
  <c r="J61" i="6"/>
  <c r="J61" i="30"/>
  <c r="J61" i="34"/>
  <c r="D66" i="6"/>
  <c r="G71" i="6"/>
  <c r="I68" i="6"/>
  <c r="C75" i="6"/>
  <c r="G70" i="6"/>
  <c r="I73" i="6"/>
  <c r="L70" i="6"/>
  <c r="L70" i="34"/>
  <c r="J71" i="6"/>
  <c r="F75" i="6"/>
  <c r="D72" i="6"/>
  <c r="L68" i="6"/>
  <c r="D75" i="6"/>
  <c r="H73" i="6"/>
  <c r="L71" i="6"/>
  <c r="F70" i="6"/>
  <c r="J68" i="6"/>
  <c r="A251" i="6"/>
  <c r="A248" i="6"/>
  <c r="A269" i="6"/>
  <c r="A266" i="6"/>
  <c r="A296" i="6"/>
  <c r="A290" i="6"/>
  <c r="A292" i="6"/>
  <c r="A293" i="6"/>
  <c r="A315" i="6"/>
  <c r="A312" i="6"/>
  <c r="A308" i="6"/>
  <c r="A314" i="6"/>
  <c r="A311" i="6"/>
  <c r="A332" i="6"/>
  <c r="A329" i="6"/>
  <c r="A333" i="6"/>
  <c r="A441" i="30"/>
  <c r="A440" i="30"/>
  <c r="A431" i="30"/>
  <c r="A376" i="30"/>
  <c r="A354" i="30"/>
  <c r="A394" i="30"/>
  <c r="A373" i="30"/>
  <c r="A349" i="30"/>
  <c r="A327" i="30"/>
  <c r="A313" i="30"/>
  <c r="A328" i="30"/>
  <c r="A248" i="30"/>
  <c r="A137" i="30"/>
  <c r="A430" i="30"/>
  <c r="A263" i="30"/>
  <c r="A265" i="30"/>
  <c r="A285" i="30"/>
  <c r="C52" i="30"/>
  <c r="E55" i="30"/>
  <c r="I32" i="30"/>
  <c r="K35" i="30"/>
  <c r="C39" i="30"/>
  <c r="G70" i="30"/>
  <c r="I73" i="30"/>
  <c r="J51" i="30"/>
  <c r="D32" i="30"/>
  <c r="H38" i="30"/>
  <c r="F73" i="30"/>
  <c r="H57" i="30"/>
  <c r="F72" i="30"/>
  <c r="F70" i="30"/>
  <c r="J72" i="30"/>
  <c r="D71" i="30"/>
  <c r="A66" i="31"/>
  <c r="A45" i="31"/>
  <c r="A6" i="31"/>
  <c r="A35" i="32"/>
  <c r="C127" i="33"/>
  <c r="B64" i="33"/>
  <c r="B69" i="33"/>
  <c r="C116" i="33"/>
  <c r="A82" i="34"/>
  <c r="A42" i="34"/>
  <c r="A29" i="34"/>
  <c r="A206" i="34"/>
  <c r="A201" i="34"/>
  <c r="A205" i="34"/>
  <c r="A200" i="34"/>
  <c r="A204" i="34"/>
  <c r="A224" i="34"/>
  <c r="A219" i="34"/>
  <c r="A223" i="34"/>
  <c r="A218" i="34"/>
  <c r="A222" i="34"/>
  <c r="A242" i="34"/>
  <c r="A237" i="34"/>
  <c r="A241" i="34"/>
  <c r="A236" i="34"/>
  <c r="A240" i="34"/>
  <c r="A251" i="34"/>
  <c r="A246" i="34"/>
  <c r="A250" i="34"/>
  <c r="A247" i="34"/>
  <c r="A269" i="34"/>
  <c r="A264" i="34"/>
  <c r="A268" i="34"/>
  <c r="A265" i="34"/>
  <c r="A287" i="34"/>
  <c r="A284" i="34"/>
  <c r="A288" i="34"/>
  <c r="A283" i="34"/>
  <c r="A314" i="34"/>
  <c r="A309" i="34"/>
  <c r="A313" i="34"/>
  <c r="A308" i="34"/>
  <c r="A312" i="34"/>
  <c r="A332" i="34"/>
  <c r="A327" i="34"/>
  <c r="A331" i="34"/>
  <c r="A326" i="34"/>
  <c r="A330" i="34"/>
  <c r="A350" i="34"/>
  <c r="A345" i="34"/>
  <c r="A349" i="34"/>
  <c r="A344" i="34"/>
  <c r="A348" i="34"/>
  <c r="A359" i="34"/>
  <c r="A354" i="34"/>
  <c r="A358" i="34"/>
  <c r="A355" i="34"/>
  <c r="A377" i="34"/>
  <c r="A372" i="34"/>
  <c r="A376" i="34"/>
  <c r="A373" i="34"/>
  <c r="A395" i="34"/>
  <c r="A390" i="34"/>
  <c r="A394" i="34"/>
  <c r="A391" i="34"/>
  <c r="A413" i="34"/>
  <c r="A408" i="34"/>
  <c r="A412" i="34"/>
  <c r="A409" i="34"/>
  <c r="A432" i="34"/>
  <c r="A427" i="34"/>
  <c r="A431" i="34"/>
  <c r="A428" i="34"/>
  <c r="A442" i="34"/>
  <c r="A439" i="34"/>
  <c r="A443" i="34"/>
  <c r="A436" i="34"/>
  <c r="A440" i="34"/>
  <c r="A430" i="34"/>
  <c r="A411" i="34"/>
  <c r="A389" i="34"/>
  <c r="A375" i="34"/>
  <c r="A353" i="34"/>
  <c r="A281" i="34"/>
  <c r="A267" i="34"/>
  <c r="A245" i="34"/>
  <c r="A437" i="34"/>
  <c r="A429" i="34"/>
  <c r="A410" i="34"/>
  <c r="A392" i="34"/>
  <c r="A374" i="34"/>
  <c r="A356" i="34"/>
  <c r="A347" i="34"/>
  <c r="A329" i="34"/>
  <c r="A311" i="34"/>
  <c r="A286" i="34"/>
  <c r="A266" i="34"/>
  <c r="A248" i="34"/>
  <c r="A239" i="34"/>
  <c r="A221" i="34"/>
  <c r="A203" i="34"/>
  <c r="A136" i="30"/>
  <c r="H73" i="28"/>
  <c r="A138" i="30"/>
  <c r="B127" i="30"/>
  <c r="L69" i="28"/>
  <c r="B126" i="30"/>
  <c r="B122" i="30"/>
  <c r="B125" i="30"/>
  <c r="B121" i="30"/>
  <c r="A112" i="30"/>
  <c r="A114" i="30"/>
  <c r="A306" i="34"/>
  <c r="A299" i="34"/>
  <c r="A6" i="6"/>
  <c r="B136" i="30"/>
  <c r="A23" i="34"/>
  <c r="A102" i="34"/>
  <c r="A95" i="34"/>
  <c r="I41" i="8"/>
  <c r="A128" i="30"/>
  <c r="A123" i="30"/>
  <c r="A125" i="30"/>
  <c r="A150" i="30"/>
  <c r="A149" i="30"/>
  <c r="A143" i="30"/>
  <c r="A215" i="30"/>
  <c r="A209" i="30"/>
  <c r="A261" i="30"/>
  <c r="A258" i="30"/>
  <c r="A260" i="30"/>
  <c r="A279" i="30"/>
  <c r="A272" i="30"/>
  <c r="A297" i="30"/>
  <c r="A296" i="30"/>
  <c r="A290" i="30"/>
  <c r="A387" i="30"/>
  <c r="A386" i="30"/>
  <c r="A380" i="30"/>
  <c r="A404" i="30"/>
  <c r="A398" i="30"/>
  <c r="C23" i="30"/>
  <c r="L30" i="30"/>
  <c r="H30" i="30"/>
  <c r="D30" i="30"/>
  <c r="J29" i="30"/>
  <c r="F29" i="30"/>
  <c r="L28" i="30"/>
  <c r="H28" i="30"/>
  <c r="D28" i="30"/>
  <c r="J27" i="30"/>
  <c r="F27" i="30"/>
  <c r="L26" i="30"/>
  <c r="H26" i="30"/>
  <c r="D26" i="30"/>
  <c r="J25" i="30"/>
  <c r="F25" i="30"/>
  <c r="L24" i="30"/>
  <c r="H24" i="30"/>
  <c r="D24" i="30"/>
  <c r="J23" i="30"/>
  <c r="F23" i="30"/>
  <c r="K30" i="30"/>
  <c r="G30" i="30"/>
  <c r="C30" i="30"/>
  <c r="I29" i="30"/>
  <c r="E29" i="30"/>
  <c r="K28" i="30"/>
  <c r="G28" i="30"/>
  <c r="C28" i="30"/>
  <c r="I27" i="30"/>
  <c r="E27" i="30"/>
  <c r="K26" i="30"/>
  <c r="G26" i="30"/>
  <c r="C26" i="30"/>
  <c r="I25" i="30"/>
  <c r="E25" i="30"/>
  <c r="K24" i="30"/>
  <c r="G24" i="30"/>
  <c r="C24" i="30"/>
  <c r="I23" i="30"/>
  <c r="E23" i="30"/>
  <c r="A116" i="30"/>
  <c r="A111" i="30"/>
  <c r="A115" i="30"/>
  <c r="A110" i="30"/>
  <c r="A270" i="30"/>
  <c r="A269" i="30"/>
  <c r="A267" i="30"/>
  <c r="A288" i="30"/>
  <c r="A281" i="30"/>
  <c r="A283" i="30"/>
  <c r="A396" i="30"/>
  <c r="A389" i="30"/>
  <c r="A391" i="30"/>
  <c r="A413" i="30"/>
  <c r="A409" i="30"/>
  <c r="A407" i="30"/>
  <c r="L71" i="28"/>
  <c r="L66" i="28"/>
  <c r="A340" i="30"/>
  <c r="A336" i="30"/>
  <c r="A322" i="30"/>
  <c r="A318" i="30"/>
  <c r="A304" i="30"/>
  <c r="A300" i="30"/>
  <c r="A339" i="30"/>
  <c r="A335" i="30"/>
  <c r="A321" i="30"/>
  <c r="A317" i="30"/>
  <c r="A303" i="30"/>
  <c r="A299" i="30"/>
  <c r="A293" i="30"/>
  <c r="A275" i="30"/>
  <c r="A257" i="30"/>
  <c r="A157" i="30"/>
  <c r="A278" i="30"/>
  <c r="A232" i="30"/>
  <c r="A228" i="30"/>
  <c r="A212" i="30"/>
  <c r="A196" i="30"/>
  <c r="A192" i="30"/>
  <c r="A158" i="30"/>
  <c r="A154" i="30"/>
  <c r="A146" i="30"/>
  <c r="A124" i="30"/>
  <c r="A294" i="30"/>
  <c r="A274" i="30"/>
  <c r="A256" i="30"/>
  <c r="A227" i="30"/>
  <c r="A213" i="30"/>
  <c r="A147" i="30"/>
  <c r="A121" i="30"/>
  <c r="A233" i="30"/>
  <c r="A145" i="30"/>
  <c r="A127" i="30"/>
  <c r="A276" i="30"/>
  <c r="A254" i="30"/>
  <c r="K23" i="30"/>
  <c r="I24" i="30"/>
  <c r="G25" i="30"/>
  <c r="E26" i="30"/>
  <c r="C27" i="30"/>
  <c r="K27" i="30"/>
  <c r="I28" i="30"/>
  <c r="G29" i="30"/>
  <c r="E30" i="30"/>
  <c r="D23" i="30"/>
  <c r="L23" i="30"/>
  <c r="J24" i="30"/>
  <c r="H25" i="30"/>
  <c r="F26" i="30"/>
  <c r="D27" i="30"/>
  <c r="L27" i="30"/>
  <c r="J28" i="30"/>
  <c r="H29" i="30"/>
  <c r="F30" i="30"/>
  <c r="A66" i="34"/>
  <c r="A59" i="34"/>
  <c r="A209" i="34"/>
  <c r="A234" i="34"/>
  <c r="A227" i="34"/>
  <c r="E41" i="8"/>
  <c r="G41" i="30"/>
  <c r="K41" i="30"/>
  <c r="E42" i="30"/>
  <c r="I42" i="30"/>
  <c r="C43" i="30"/>
  <c r="G43" i="30"/>
  <c r="K43" i="30"/>
  <c r="E44" i="30"/>
  <c r="I44" i="30"/>
  <c r="C45" i="30"/>
  <c r="G45" i="30"/>
  <c r="K45" i="30"/>
  <c r="E46" i="30"/>
  <c r="I46" i="30"/>
  <c r="C47" i="30"/>
  <c r="G47" i="30"/>
  <c r="K47" i="30"/>
  <c r="E48" i="30"/>
  <c r="I48" i="30"/>
  <c r="E50" i="30"/>
  <c r="I50" i="30"/>
  <c r="C51" i="30"/>
  <c r="G51" i="30"/>
  <c r="K51" i="30"/>
  <c r="E52" i="30"/>
  <c r="C53" i="30"/>
  <c r="G53" i="30"/>
  <c r="K53" i="30"/>
  <c r="E54" i="30"/>
  <c r="I54" i="30"/>
  <c r="C55" i="30"/>
  <c r="G55" i="30"/>
  <c r="E56" i="30"/>
  <c r="I56" i="30"/>
  <c r="C57" i="30"/>
  <c r="G57" i="30"/>
  <c r="K57" i="30"/>
  <c r="G32" i="30"/>
  <c r="K32" i="30"/>
  <c r="E33" i="30"/>
  <c r="I33" i="30"/>
  <c r="C34" i="30"/>
  <c r="G34" i="30"/>
  <c r="K34" i="30"/>
  <c r="E35" i="30"/>
  <c r="I35" i="30"/>
  <c r="C36" i="30"/>
  <c r="G36" i="30"/>
  <c r="K36" i="30"/>
  <c r="E37" i="30"/>
  <c r="I37" i="30"/>
  <c r="C38" i="30"/>
  <c r="G38" i="30"/>
  <c r="K38" i="30"/>
  <c r="E39" i="30"/>
  <c r="I39" i="30"/>
  <c r="C64" i="30"/>
  <c r="K64" i="30"/>
  <c r="I65" i="30"/>
  <c r="G66" i="30"/>
  <c r="D41" i="30"/>
  <c r="L41" i="30"/>
  <c r="J42" i="30"/>
  <c r="H43" i="30"/>
  <c r="F44" i="30"/>
  <c r="D45" i="30"/>
  <c r="L45" i="30"/>
  <c r="J46" i="30"/>
  <c r="H47" i="30"/>
  <c r="F48" i="30"/>
  <c r="H50" i="30"/>
  <c r="F51" i="30"/>
  <c r="D52" i="30"/>
  <c r="J53" i="30"/>
  <c r="H54" i="30"/>
  <c r="F55" i="30"/>
  <c r="D56" i="30"/>
  <c r="L56" i="30"/>
  <c r="J57" i="30"/>
  <c r="H32" i="30"/>
  <c r="F33" i="30"/>
  <c r="D34" i="30"/>
  <c r="D34" i="34"/>
  <c r="L34" i="30"/>
  <c r="J35" i="30"/>
  <c r="H36" i="30"/>
  <c r="F37" i="30"/>
  <c r="D38" i="30"/>
  <c r="L38" i="30"/>
  <c r="J39" i="30"/>
  <c r="J47" i="30"/>
  <c r="F50" i="30"/>
  <c r="L51" i="30"/>
  <c r="H53" i="30"/>
  <c r="D55" i="30"/>
  <c r="J56" i="30"/>
  <c r="F32" i="30"/>
  <c r="L33" i="30"/>
  <c r="H35" i="30"/>
  <c r="D37" i="30"/>
  <c r="J38" i="30"/>
  <c r="F52" i="30"/>
  <c r="H55" i="30"/>
  <c r="J32" i="30"/>
  <c r="L35" i="30"/>
  <c r="D39" i="30"/>
  <c r="J54" i="30"/>
  <c r="F41" i="30"/>
  <c r="L42" i="30"/>
  <c r="H44" i="30"/>
  <c r="D46" i="30"/>
  <c r="L48" i="30"/>
  <c r="J36" i="30"/>
  <c r="D53" i="30"/>
  <c r="D35" i="30"/>
  <c r="J41" i="30"/>
  <c r="F43" i="30"/>
  <c r="L44" i="30"/>
  <c r="H46" i="30"/>
  <c r="L59" i="30"/>
  <c r="H61" i="30"/>
  <c r="D63" i="30"/>
  <c r="J64" i="30"/>
  <c r="F66" i="30"/>
  <c r="F59" i="30"/>
  <c r="H62" i="30"/>
  <c r="J65" i="30"/>
  <c r="L62" i="30"/>
  <c r="L66" i="30"/>
  <c r="H60" i="30"/>
  <c r="D62" i="30"/>
  <c r="C133" i="33"/>
  <c r="A30" i="34"/>
  <c r="A342" i="34"/>
  <c r="A335" i="34"/>
  <c r="I46" i="8"/>
  <c r="E46" i="8"/>
  <c r="K41" i="8"/>
  <c r="G41" i="8"/>
  <c r="C41" i="8"/>
  <c r="J41" i="8"/>
  <c r="H41" i="8"/>
  <c r="F41" i="8"/>
  <c r="D41" i="8"/>
  <c r="K46" i="8"/>
  <c r="G46" i="8"/>
  <c r="G46" i="39"/>
  <c r="C46" i="8"/>
  <c r="A48" i="34"/>
  <c r="A41" i="34"/>
  <c r="A84" i="34"/>
  <c r="A77" i="34"/>
  <c r="A216" i="34"/>
  <c r="A324" i="34"/>
  <c r="A317" i="34"/>
  <c r="J46" i="8"/>
  <c r="H46" i="8"/>
  <c r="F46" i="8"/>
  <c r="D46" i="8"/>
  <c r="D46" i="39"/>
  <c r="B117" i="30"/>
  <c r="B112" i="30"/>
  <c r="B110" i="30"/>
  <c r="B139" i="30"/>
  <c r="B134" i="30"/>
  <c r="B132" i="30"/>
  <c r="A207" i="30"/>
  <c r="A202" i="30"/>
  <c r="A225" i="30"/>
  <c r="A218" i="30"/>
  <c r="A222" i="30"/>
  <c r="A242" i="30"/>
  <c r="A236" i="30"/>
  <c r="A198" i="30"/>
  <c r="A193" i="30"/>
  <c r="A191" i="30"/>
  <c r="A216" i="30"/>
  <c r="A211" i="30"/>
  <c r="A234" i="30"/>
  <c r="A229" i="30"/>
  <c r="A56" i="3"/>
  <c r="J72" i="28"/>
  <c r="D71" i="28"/>
  <c r="F68" i="28"/>
  <c r="A168" i="30"/>
  <c r="A164" i="30"/>
  <c r="A221" i="30"/>
  <c r="A203" i="30"/>
  <c r="A167" i="30"/>
  <c r="A163" i="30"/>
  <c r="B137" i="30"/>
  <c r="B133" i="30"/>
  <c r="B115" i="30"/>
  <c r="B111" i="30"/>
  <c r="A220" i="30"/>
  <c r="B114" i="30"/>
  <c r="B116" i="30"/>
  <c r="A204" i="30"/>
  <c r="G59" i="30"/>
  <c r="G59" i="6"/>
  <c r="G59" i="34"/>
  <c r="K59" i="30"/>
  <c r="E60" i="30"/>
  <c r="I60" i="30"/>
  <c r="C61" i="30"/>
  <c r="G61" i="30"/>
  <c r="K61" i="30"/>
  <c r="E62" i="30"/>
  <c r="I62" i="30"/>
  <c r="C63" i="30"/>
  <c r="G63" i="30"/>
  <c r="K63" i="30"/>
  <c r="E64" i="30"/>
  <c r="I64" i="30"/>
  <c r="C65" i="30"/>
  <c r="G65" i="30"/>
  <c r="K65" i="30"/>
  <c r="E66" i="30"/>
  <c r="I66" i="30"/>
  <c r="E68" i="30"/>
  <c r="I68" i="30"/>
  <c r="C69" i="30"/>
  <c r="G69" i="30"/>
  <c r="K69" i="30"/>
  <c r="E70" i="30"/>
  <c r="I70" i="30"/>
  <c r="C71" i="30"/>
  <c r="G71" i="30"/>
  <c r="K71" i="30"/>
  <c r="E72" i="30"/>
  <c r="I72" i="30"/>
  <c r="C73" i="30"/>
  <c r="G73" i="30"/>
  <c r="K73" i="30"/>
  <c r="E74" i="30"/>
  <c r="I74" i="30"/>
  <c r="C75" i="30"/>
  <c r="G75" i="30"/>
  <c r="K75" i="30"/>
  <c r="D68" i="30"/>
  <c r="L68" i="30"/>
  <c r="J69" i="30"/>
  <c r="H70" i="30"/>
  <c r="F71" i="30"/>
  <c r="D72" i="30"/>
  <c r="L72" i="30"/>
  <c r="J73" i="30"/>
  <c r="H74" i="30"/>
  <c r="H74" i="34"/>
  <c r="F75" i="30"/>
  <c r="F68" i="30"/>
  <c r="L69" i="30"/>
  <c r="H71" i="30"/>
  <c r="D73" i="30"/>
  <c r="J74" i="30"/>
  <c r="J68" i="30"/>
  <c r="L71" i="30"/>
  <c r="D75" i="30"/>
  <c r="H69" i="30"/>
  <c r="L75" i="30"/>
  <c r="H59" i="30"/>
  <c r="F60" i="30"/>
  <c r="D61" i="30"/>
  <c r="L61" i="30"/>
  <c r="J62" i="30"/>
  <c r="H63" i="30"/>
  <c r="F64" i="30"/>
  <c r="D65" i="30"/>
  <c r="L65" i="30"/>
  <c r="J66" i="30"/>
  <c r="F74" i="30"/>
  <c r="D60" i="30"/>
  <c r="F63" i="30"/>
  <c r="L64" i="30"/>
  <c r="H66" i="30"/>
  <c r="F61" i="30"/>
  <c r="H64" i="30"/>
  <c r="J63" i="30"/>
  <c r="F65" i="30"/>
  <c r="A77" i="31"/>
  <c r="A68" i="31"/>
  <c r="A59" i="31"/>
  <c r="A55" i="31"/>
  <c r="A43" i="31"/>
  <c r="A35" i="31"/>
  <c r="A27" i="31"/>
  <c r="A19" i="31"/>
  <c r="A15" i="31"/>
  <c r="A7" i="31"/>
  <c r="G4" i="31"/>
  <c r="C4" i="31"/>
  <c r="A80" i="31"/>
  <c r="A76" i="31"/>
  <c r="A71" i="31"/>
  <c r="A67" i="31"/>
  <c r="A60" i="31"/>
  <c r="A56" i="31"/>
  <c r="A48" i="31"/>
  <c r="A44" i="31"/>
  <c r="A38" i="31"/>
  <c r="A34" i="31"/>
  <c r="A30" i="31"/>
  <c r="A26" i="31"/>
  <c r="A20" i="31"/>
  <c r="A16" i="31"/>
  <c r="A12" i="31"/>
  <c r="A8" i="31"/>
  <c r="J4" i="31"/>
  <c r="B4" i="31"/>
  <c r="A23" i="31"/>
  <c r="D4" i="31"/>
  <c r="B80" i="33"/>
  <c r="A41" i="31"/>
  <c r="B75" i="33"/>
  <c r="B79" i="33"/>
  <c r="C117" i="33"/>
  <c r="A405" i="34"/>
  <c r="A64" i="8"/>
  <c r="A58" i="8"/>
  <c r="A59" i="8"/>
  <c r="A90" i="8"/>
  <c r="A89" i="8"/>
  <c r="A663" i="8"/>
  <c r="A641" i="8"/>
  <c r="A645" i="8"/>
  <c r="A51" i="8"/>
  <c r="A54" i="8"/>
  <c r="A74" i="8"/>
  <c r="A98" i="8"/>
  <c r="A94" i="8"/>
  <c r="A88" i="8"/>
  <c r="A101" i="8"/>
  <c r="A97" i="8"/>
  <c r="A91" i="8"/>
  <c r="A87" i="8"/>
  <c r="A116" i="8"/>
  <c r="A112" i="8"/>
  <c r="A106" i="8"/>
  <c r="A119" i="8"/>
  <c r="A115" i="8"/>
  <c r="A109" i="8"/>
  <c r="A105" i="8"/>
  <c r="A664" i="8"/>
  <c r="A660" i="8"/>
  <c r="A665" i="8"/>
  <c r="A661" i="8"/>
  <c r="A643" i="8"/>
  <c r="A647" i="8"/>
  <c r="A650" i="8"/>
  <c r="A296" i="8"/>
  <c r="A291" i="8"/>
  <c r="A295" i="8"/>
  <c r="A314" i="8"/>
  <c r="A309" i="8"/>
  <c r="A313" i="8"/>
  <c r="A377" i="8"/>
  <c r="A372" i="8"/>
  <c r="A376" i="8"/>
  <c r="A373" i="8"/>
  <c r="A369" i="8"/>
  <c r="A364" i="8"/>
  <c r="A368" i="8"/>
  <c r="A365" i="8"/>
  <c r="A405" i="8"/>
  <c r="A404" i="8"/>
  <c r="A402" i="8"/>
  <c r="A399" i="8"/>
  <c r="A403" i="8"/>
  <c r="A422" i="8"/>
  <c r="A419" i="8"/>
  <c r="A423" i="8"/>
  <c r="A416" i="8"/>
  <c r="A420" i="8"/>
  <c r="A440" i="8"/>
  <c r="A437" i="8"/>
  <c r="A441" i="8"/>
  <c r="A434" i="8"/>
  <c r="A438" i="8"/>
  <c r="A458" i="8"/>
  <c r="A455" i="8"/>
  <c r="A459" i="8"/>
  <c r="A452" i="8"/>
  <c r="A456" i="8"/>
  <c r="A252" i="8"/>
  <c r="A249" i="8"/>
  <c r="A288" i="8"/>
  <c r="A281" i="8"/>
  <c r="A285" i="8"/>
  <c r="A283" i="8"/>
  <c r="A305" i="8"/>
  <c r="A300" i="8"/>
  <c r="A304" i="8"/>
  <c r="A360" i="8"/>
  <c r="A357" i="8"/>
  <c r="A359" i="8"/>
  <c r="A354" i="8"/>
  <c r="A358" i="8"/>
  <c r="A386" i="8"/>
  <c r="A381" i="8"/>
  <c r="A385" i="8"/>
  <c r="A380" i="8"/>
  <c r="A384" i="8"/>
  <c r="A395" i="8"/>
  <c r="A392" i="8"/>
  <c r="A396" i="8"/>
  <c r="A391" i="8"/>
  <c r="A413" i="8"/>
  <c r="A410" i="8"/>
  <c r="A414" i="8"/>
  <c r="A409" i="8"/>
  <c r="A432" i="8"/>
  <c r="A429" i="8"/>
  <c r="A431" i="8"/>
  <c r="A428" i="8"/>
  <c r="A449" i="8"/>
  <c r="A446" i="8"/>
  <c r="A450" i="8"/>
  <c r="A445" i="8"/>
  <c r="A468" i="8"/>
  <c r="A461" i="8"/>
  <c r="A467" i="8"/>
  <c r="A464" i="8"/>
  <c r="A80" i="8"/>
  <c r="A62" i="8"/>
  <c r="A69" i="8"/>
  <c r="A73" i="8"/>
  <c r="A53" i="8"/>
  <c r="A52" i="8"/>
  <c r="A56" i="8"/>
  <c r="A81" i="8"/>
  <c r="A61" i="8"/>
  <c r="A50" i="8"/>
  <c r="A63" i="8"/>
  <c r="A70" i="8"/>
  <c r="A83" i="8"/>
  <c r="A72" i="8"/>
  <c r="A36" i="8"/>
  <c r="A32" i="8"/>
  <c r="A35" i="8"/>
  <c r="A31" i="8"/>
  <c r="A9" i="8"/>
  <c r="A6" i="8"/>
  <c r="A10" i="8"/>
  <c r="A152" i="8"/>
  <c r="A148" i="8"/>
  <c r="A134" i="8"/>
  <c r="A130" i="8"/>
  <c r="A155" i="8"/>
  <c r="A151" i="8"/>
  <c r="A137" i="8"/>
  <c r="A133" i="8"/>
  <c r="A172" i="8"/>
  <c r="A168" i="8"/>
  <c r="A171" i="8"/>
  <c r="A167" i="8"/>
  <c r="A642" i="8"/>
  <c r="A644" i="8"/>
  <c r="A646" i="8"/>
  <c r="A651" i="8"/>
  <c r="A653" i="8"/>
  <c r="A655" i="8"/>
  <c r="A657" i="8"/>
  <c r="A473" i="8"/>
  <c r="A474" i="8"/>
  <c r="A470" i="8"/>
  <c r="A684" i="8"/>
  <c r="A680" i="8"/>
  <c r="A652" i="8"/>
  <c r="A654" i="8"/>
  <c r="A36" i="3"/>
  <c r="J37" i="5"/>
  <c r="J36" i="5"/>
  <c r="G100" i="5"/>
  <c r="G100" i="32"/>
  <c r="D43" i="6"/>
  <c r="D42" i="5"/>
  <c r="D42" i="32"/>
  <c r="C66" i="4"/>
  <c r="C66" i="33"/>
  <c r="C70" i="4"/>
  <c r="C70" i="33"/>
  <c r="C69" i="4"/>
  <c r="C41" i="6"/>
  <c r="I25" i="6"/>
  <c r="J24" i="6"/>
  <c r="J24" i="34"/>
  <c r="J29" i="6"/>
  <c r="H25" i="6"/>
  <c r="H25" i="34"/>
  <c r="L29" i="6"/>
  <c r="L29" i="34"/>
  <c r="D25" i="6"/>
  <c r="K27" i="6"/>
  <c r="K27" i="34"/>
  <c r="F28" i="6"/>
  <c r="A83" i="6"/>
  <c r="A80" i="6"/>
  <c r="A82" i="6"/>
  <c r="A81" i="6"/>
  <c r="B111" i="34"/>
  <c r="B110" i="34"/>
  <c r="A125" i="6"/>
  <c r="A128" i="6"/>
  <c r="A122" i="6"/>
  <c r="A126" i="6"/>
  <c r="B135" i="6"/>
  <c r="B135" i="34"/>
  <c r="B133" i="6"/>
  <c r="B138" i="6"/>
  <c r="B138" i="34"/>
  <c r="B136" i="6"/>
  <c r="B137" i="6"/>
  <c r="A166" i="6"/>
  <c r="A168" i="6"/>
  <c r="A164" i="6"/>
  <c r="A167" i="6"/>
  <c r="A204" i="6"/>
  <c r="A205" i="6"/>
  <c r="A207" i="6"/>
  <c r="A201" i="6"/>
  <c r="A200" i="6"/>
  <c r="A206" i="6"/>
  <c r="A223" i="6"/>
  <c r="A221" i="6"/>
  <c r="A219" i="6"/>
  <c r="A220" i="6"/>
  <c r="A218" i="6"/>
  <c r="A240" i="6"/>
  <c r="A242" i="6"/>
  <c r="A243" i="6"/>
  <c r="A237" i="6"/>
  <c r="A236" i="6"/>
  <c r="A241" i="6"/>
  <c r="A238" i="6"/>
  <c r="A54" i="6"/>
  <c r="A55" i="6"/>
  <c r="A53" i="6"/>
  <c r="A50" i="6"/>
  <c r="A51" i="6"/>
  <c r="A57" i="6"/>
  <c r="A52" i="6"/>
  <c r="I65" i="6"/>
  <c r="C62" i="6"/>
  <c r="D63" i="6"/>
  <c r="I60" i="6"/>
  <c r="I60" i="34"/>
  <c r="K63" i="6"/>
  <c r="K63" i="34"/>
  <c r="L60" i="6"/>
  <c r="D65" i="6"/>
  <c r="D65" i="34"/>
  <c r="L66" i="6"/>
  <c r="J63" i="6"/>
  <c r="C64" i="6"/>
  <c r="I61" i="6"/>
  <c r="L63" i="6"/>
  <c r="L63" i="34"/>
  <c r="D64" i="6"/>
  <c r="D64" i="30"/>
  <c r="D64" i="34"/>
  <c r="H59" i="6"/>
  <c r="E65" i="6"/>
  <c r="J62" i="6"/>
  <c r="G65" i="6"/>
  <c r="F59" i="6"/>
  <c r="F59" i="34"/>
  <c r="H65" i="6"/>
  <c r="K64" i="6"/>
  <c r="K64" i="34"/>
  <c r="L64" i="6"/>
  <c r="H66" i="6"/>
  <c r="H66" i="34"/>
  <c r="L65" i="6"/>
  <c r="L62" i="6"/>
  <c r="L62" i="34"/>
  <c r="F61" i="6"/>
  <c r="J59" i="6"/>
  <c r="K65" i="6"/>
  <c r="E64" i="6"/>
  <c r="I62" i="6"/>
  <c r="C61" i="6"/>
  <c r="F62" i="6"/>
  <c r="J66" i="6"/>
  <c r="D59" i="6"/>
  <c r="C66" i="6"/>
  <c r="K62" i="6"/>
  <c r="K62" i="30"/>
  <c r="K62" i="34"/>
  <c r="I59" i="6"/>
  <c r="G66" i="6"/>
  <c r="L61" i="6"/>
  <c r="L61" i="34"/>
  <c r="C72" i="6"/>
  <c r="C72" i="34"/>
  <c r="H68" i="6"/>
  <c r="H70" i="6"/>
  <c r="L75" i="6"/>
  <c r="J72" i="6"/>
  <c r="H69" i="6"/>
  <c r="G75" i="6"/>
  <c r="G75" i="34"/>
  <c r="K73" i="6"/>
  <c r="C73" i="6"/>
  <c r="C73" i="34"/>
  <c r="C71" i="6"/>
  <c r="E74" i="6"/>
  <c r="D74" i="6"/>
  <c r="E69" i="6"/>
  <c r="K70" i="6"/>
  <c r="G72" i="6"/>
  <c r="C74" i="6"/>
  <c r="I75" i="6"/>
  <c r="F69" i="6"/>
  <c r="F68" i="6"/>
  <c r="F68" i="34"/>
  <c r="L69" i="6"/>
  <c r="H71" i="6"/>
  <c r="H71" i="34"/>
  <c r="D73" i="6"/>
  <c r="J74" i="6"/>
  <c r="J74" i="34"/>
  <c r="K71" i="6"/>
  <c r="K71" i="34"/>
  <c r="K68" i="6"/>
  <c r="J73" i="6"/>
  <c r="F74" i="6"/>
  <c r="F74" i="34"/>
  <c r="E72" i="6"/>
  <c r="G69" i="6"/>
  <c r="K75" i="6"/>
  <c r="C70" i="6"/>
  <c r="C70" i="34"/>
  <c r="E73" i="6"/>
  <c r="J75" i="6"/>
  <c r="D69" i="6"/>
  <c r="F72" i="6"/>
  <c r="H75" i="6"/>
  <c r="J69" i="6"/>
  <c r="L72" i="6"/>
  <c r="F73" i="6"/>
  <c r="H72" i="6"/>
  <c r="G74" i="6"/>
  <c r="E71" i="6"/>
  <c r="G73" i="6"/>
  <c r="E68" i="6"/>
  <c r="A252" i="6"/>
  <c r="A250" i="6"/>
  <c r="A249" i="6"/>
  <c r="A245" i="6"/>
  <c r="A268" i="6"/>
  <c r="A270" i="6"/>
  <c r="A267" i="6"/>
  <c r="A264" i="6"/>
  <c r="A265" i="6"/>
  <c r="A297" i="6"/>
  <c r="A295" i="6"/>
  <c r="A294" i="6"/>
  <c r="A326" i="6"/>
  <c r="A328" i="6"/>
  <c r="A327" i="6"/>
  <c r="A358" i="6"/>
  <c r="A359" i="6"/>
  <c r="A353" i="6"/>
  <c r="A354" i="6"/>
  <c r="A356" i="6"/>
  <c r="A381" i="6"/>
  <c r="A386" i="6"/>
  <c r="A387" i="6"/>
  <c r="A384" i="6"/>
  <c r="A383" i="6"/>
  <c r="A380" i="6"/>
  <c r="A385" i="6"/>
  <c r="A396" i="6"/>
  <c r="A394" i="6"/>
  <c r="A392" i="6"/>
  <c r="A404" i="6"/>
  <c r="A400" i="6"/>
  <c r="A402" i="6"/>
  <c r="A401" i="6"/>
  <c r="A154" i="6"/>
  <c r="A156" i="6"/>
  <c r="A159" i="6"/>
  <c r="A160" i="6"/>
  <c r="A157" i="6"/>
  <c r="G72" i="5"/>
  <c r="J69" i="5"/>
  <c r="J69" i="32"/>
  <c r="F8" i="5"/>
  <c r="I9" i="5"/>
  <c r="D7" i="5"/>
  <c r="E8" i="5"/>
  <c r="C121" i="4"/>
  <c r="A78" i="3"/>
  <c r="A77" i="3"/>
  <c r="A74" i="3"/>
  <c r="A41" i="3"/>
  <c r="A44" i="3"/>
  <c r="A45" i="3"/>
  <c r="A42" i="3"/>
  <c r="A46" i="3"/>
  <c r="A47" i="3"/>
  <c r="A32" i="6"/>
  <c r="A48" i="3"/>
  <c r="B101" i="5"/>
  <c r="B101" i="32"/>
  <c r="A20" i="3"/>
  <c r="H64" i="6"/>
  <c r="H63" i="6"/>
  <c r="D60" i="6"/>
  <c r="I64" i="6"/>
  <c r="I64" i="34"/>
  <c r="G61" i="6"/>
  <c r="H61" i="6"/>
  <c r="L59" i="6"/>
  <c r="L59" i="34"/>
  <c r="I63" i="6"/>
  <c r="I63" i="30"/>
  <c r="I63" i="34"/>
  <c r="E63" i="6"/>
  <c r="A170" i="6"/>
  <c r="A121" i="6"/>
  <c r="B115" i="34"/>
  <c r="A79" i="6"/>
  <c r="C118" i="4"/>
  <c r="D9" i="5"/>
  <c r="K7" i="5"/>
  <c r="E4" i="5"/>
  <c r="E4" i="3"/>
  <c r="K4" i="5"/>
  <c r="A21" i="3"/>
  <c r="B85" i="4"/>
  <c r="B102" i="5"/>
  <c r="G9" i="5"/>
  <c r="F11" i="5"/>
  <c r="J8" i="5"/>
  <c r="B70" i="4"/>
  <c r="A73" i="5"/>
  <c r="I4" i="5"/>
  <c r="L71" i="5"/>
  <c r="F56" i="1"/>
  <c r="J67" i="5"/>
  <c r="D67" i="5"/>
  <c r="D67" i="32"/>
  <c r="D4" i="5"/>
  <c r="A43" i="3"/>
  <c r="J45" i="6"/>
  <c r="E59" i="6"/>
  <c r="A169" i="6"/>
  <c r="I69" i="6"/>
  <c r="C60" i="6"/>
  <c r="E61" i="6"/>
  <c r="J64" i="6"/>
  <c r="D70" i="6"/>
  <c r="A163" i="6"/>
  <c r="K61" i="6"/>
  <c r="C65" i="6"/>
  <c r="H60" i="6"/>
  <c r="F64" i="6"/>
  <c r="F71" i="6"/>
  <c r="C59" i="6"/>
  <c r="F63" i="6"/>
  <c r="A246" i="6"/>
  <c r="L73" i="6"/>
  <c r="B139" i="6"/>
  <c r="K74" i="6"/>
  <c r="G68" i="6"/>
  <c r="K69" i="6"/>
  <c r="G62" i="6"/>
  <c r="B134" i="6"/>
  <c r="J26" i="6"/>
  <c r="D71" i="6"/>
  <c r="E28" i="6"/>
  <c r="F65" i="6"/>
  <c r="A247" i="6"/>
  <c r="C67" i="4"/>
  <c r="A80" i="3"/>
  <c r="K60" i="6"/>
  <c r="A432" i="6"/>
  <c r="A430" i="6"/>
  <c r="A428" i="6"/>
  <c r="A400" i="30"/>
  <c r="A399" i="30"/>
  <c r="L54" i="30"/>
  <c r="I53" i="30"/>
  <c r="A79" i="27"/>
  <c r="A75" i="27"/>
  <c r="A59" i="27"/>
  <c r="A55" i="27"/>
  <c r="A35" i="27"/>
  <c r="A19" i="27"/>
  <c r="A15" i="27"/>
  <c r="I4" i="27"/>
  <c r="E4" i="27"/>
  <c r="A80" i="27"/>
  <c r="A76" i="27"/>
  <c r="A60" i="27"/>
  <c r="A56" i="27"/>
  <c r="A38" i="27"/>
  <c r="A34" i="27"/>
  <c r="A20" i="27"/>
  <c r="A16" i="27"/>
  <c r="J4" i="27"/>
  <c r="F4" i="27"/>
  <c r="B4" i="27"/>
  <c r="A429" i="6"/>
  <c r="A433" i="6"/>
  <c r="A403" i="30"/>
  <c r="A402" i="30"/>
  <c r="C47" i="33"/>
  <c r="C50" i="33"/>
  <c r="C26" i="33"/>
  <c r="K68" i="30"/>
  <c r="A71" i="8"/>
  <c r="B103" i="2"/>
  <c r="B117" i="2"/>
  <c r="J66" i="5"/>
  <c r="A79" i="8"/>
  <c r="A95" i="8"/>
  <c r="B102" i="2"/>
  <c r="B101" i="2"/>
  <c r="B116" i="2"/>
  <c r="B120" i="2"/>
  <c r="K4" i="3"/>
  <c r="B64" i="2"/>
  <c r="B80" i="4"/>
  <c r="F41" i="5"/>
  <c r="A102" i="5"/>
  <c r="A197" i="6"/>
  <c r="A86" i="8"/>
  <c r="B118" i="2"/>
  <c r="B115" i="2"/>
  <c r="B119" i="2"/>
  <c r="I3" i="9"/>
  <c r="A678" i="8"/>
  <c r="A32" i="35"/>
  <c r="A62" i="35"/>
  <c r="A141" i="35"/>
  <c r="A86" i="35"/>
  <c r="A174" i="35"/>
  <c r="A22" i="35"/>
  <c r="A82" i="35"/>
  <c r="A102" i="35"/>
  <c r="A122" i="35"/>
  <c r="A145" i="35"/>
  <c r="A170" i="35"/>
  <c r="A26" i="35"/>
  <c r="A44" i="35"/>
  <c r="A48" i="35"/>
  <c r="A74" i="35"/>
  <c r="A94" i="35"/>
  <c r="A114" i="35"/>
  <c r="A118" i="35"/>
  <c r="A124" i="35"/>
  <c r="A128" i="35"/>
  <c r="A143" i="35"/>
  <c r="A147" i="35"/>
  <c r="A150" i="35"/>
  <c r="A154" i="35"/>
  <c r="A160" i="35"/>
  <c r="A82" i="8"/>
  <c r="A55" i="8"/>
  <c r="A65" i="8"/>
  <c r="A68" i="8"/>
  <c r="A662" i="8"/>
  <c r="A24" i="35"/>
  <c r="A28" i="35"/>
  <c r="A42" i="35"/>
  <c r="A46" i="35"/>
  <c r="A64" i="35"/>
  <c r="A72" i="35"/>
  <c r="A84" i="35"/>
  <c r="A88" i="35"/>
  <c r="A92" i="35"/>
  <c r="A104" i="35"/>
  <c r="A112" i="35"/>
  <c r="A116" i="35"/>
  <c r="A126" i="35"/>
  <c r="A152" i="35"/>
  <c r="A156" i="35"/>
  <c r="A162" i="35"/>
  <c r="A172" i="35"/>
  <c r="A176" i="35"/>
  <c r="G67" i="5"/>
  <c r="K70" i="5"/>
  <c r="K70" i="32"/>
  <c r="D70" i="5"/>
  <c r="D70" i="32"/>
  <c r="K67" i="5"/>
  <c r="A9" i="3"/>
  <c r="A27" i="3"/>
  <c r="I5" i="5"/>
  <c r="H6" i="5"/>
  <c r="A70" i="5"/>
  <c r="L13" i="33"/>
  <c r="G13" i="33"/>
  <c r="A35" i="3"/>
  <c r="A33" i="3"/>
  <c r="H3" i="5"/>
  <c r="E3" i="5"/>
  <c r="G3" i="5"/>
  <c r="B11" i="32"/>
  <c r="A42" i="5"/>
  <c r="E41" i="5"/>
  <c r="G39" i="5"/>
  <c r="F36" i="5"/>
  <c r="F36" i="32"/>
  <c r="G35" i="5"/>
  <c r="G35" i="32"/>
  <c r="L37" i="5"/>
  <c r="L37" i="32"/>
  <c r="I41" i="5"/>
  <c r="I41" i="32"/>
  <c r="K36" i="5"/>
  <c r="K36" i="32"/>
  <c r="J39" i="5"/>
  <c r="E97" i="5"/>
  <c r="E97" i="32"/>
  <c r="F99" i="5"/>
  <c r="F99" i="32"/>
  <c r="G98" i="5"/>
  <c r="G98" i="32"/>
  <c r="J104" i="5"/>
  <c r="J104" i="32"/>
  <c r="I104" i="5"/>
  <c r="C93" i="4"/>
  <c r="C96" i="4"/>
  <c r="C92" i="4"/>
  <c r="C91" i="4"/>
  <c r="A161" i="30"/>
  <c r="A156" i="30"/>
  <c r="H33" i="30"/>
  <c r="E34" i="30"/>
  <c r="A323" i="30"/>
  <c r="A214" i="30"/>
  <c r="A382" i="30"/>
  <c r="C25" i="30"/>
  <c r="E28" i="30"/>
  <c r="H23" i="30"/>
  <c r="J26" i="30"/>
  <c r="J30" i="30"/>
  <c r="D29" i="30"/>
  <c r="H27" i="30"/>
  <c r="L25" i="30"/>
  <c r="F24" i="30"/>
  <c r="I30" i="30"/>
  <c r="C29" i="30"/>
  <c r="G27" i="30"/>
  <c r="K25" i="30"/>
  <c r="E24" i="30"/>
  <c r="C41" i="30"/>
  <c r="J45" i="30"/>
  <c r="H42" i="30"/>
  <c r="F45" i="30"/>
  <c r="D42" i="30"/>
  <c r="L46" i="30"/>
  <c r="J48" i="30"/>
  <c r="D47" i="30"/>
  <c r="H45" i="30"/>
  <c r="L43" i="30"/>
  <c r="F42" i="30"/>
  <c r="K48" i="30"/>
  <c r="C48" i="30"/>
  <c r="E47" i="30"/>
  <c r="G46" i="30"/>
  <c r="I45" i="30"/>
  <c r="K44" i="30"/>
  <c r="C44" i="30"/>
  <c r="E43" i="30"/>
  <c r="G42" i="30"/>
  <c r="I41" i="30"/>
  <c r="A682" i="8"/>
  <c r="A5" i="35"/>
  <c r="A7" i="35"/>
  <c r="A9" i="35"/>
  <c r="A11" i="35"/>
  <c r="B15" i="35"/>
  <c r="D15" i="35"/>
  <c r="F15" i="35"/>
  <c r="H15" i="35"/>
  <c r="J15" i="35"/>
  <c r="A23" i="35"/>
  <c r="A25" i="35"/>
  <c r="A27" i="35"/>
  <c r="A34" i="35"/>
  <c r="A36" i="35"/>
  <c r="A38" i="35"/>
  <c r="A43" i="35"/>
  <c r="A45" i="35"/>
  <c r="A47" i="35"/>
  <c r="A52" i="35"/>
  <c r="A54" i="35"/>
  <c r="A56" i="35"/>
  <c r="A58" i="35"/>
  <c r="A66" i="35"/>
  <c r="A68" i="35"/>
  <c r="I59" i="30"/>
  <c r="G60" i="30"/>
  <c r="E61" i="30"/>
  <c r="C62" i="30"/>
  <c r="E65" i="30"/>
  <c r="K66" i="30"/>
  <c r="E75" i="30"/>
  <c r="D51" i="30"/>
  <c r="D59" i="30"/>
  <c r="F62" i="30"/>
  <c r="H65" i="30"/>
  <c r="D66" i="30"/>
  <c r="A79" i="31"/>
  <c r="A33" i="31"/>
  <c r="I4" i="31"/>
  <c r="A74" i="31"/>
  <c r="A36" i="31"/>
  <c r="H4" i="31"/>
  <c r="A96" i="8"/>
  <c r="A99" i="8"/>
  <c r="A85" i="8"/>
  <c r="A108" i="8"/>
  <c r="A117" i="8"/>
  <c r="A107" i="8"/>
  <c r="B100" i="2"/>
  <c r="B104" i="2"/>
  <c r="B99" i="2"/>
  <c r="A20" i="8"/>
  <c r="A25" i="8"/>
  <c r="A21" i="8"/>
  <c r="A34" i="8"/>
  <c r="A33" i="8"/>
  <c r="A11" i="8"/>
  <c r="A12" i="8"/>
  <c r="A144" i="8"/>
  <c r="A140" i="8"/>
  <c r="A126" i="8"/>
  <c r="A122" i="8"/>
  <c r="A149" i="8"/>
  <c r="A131" i="8"/>
  <c r="A192" i="8"/>
  <c r="A188" i="8"/>
  <c r="A180" i="8"/>
  <c r="A173" i="8"/>
  <c r="A162" i="8"/>
  <c r="A158" i="8"/>
  <c r="A141" i="8"/>
  <c r="A123" i="8"/>
  <c r="A189" i="8"/>
  <c r="A187" i="8"/>
  <c r="A179" i="8"/>
  <c r="A159" i="8"/>
  <c r="A125" i="8"/>
  <c r="A161" i="8"/>
  <c r="A121" i="8"/>
  <c r="A157" i="8"/>
  <c r="A226" i="8"/>
  <c r="A219" i="8"/>
  <c r="A215" i="8"/>
  <c r="A200" i="8"/>
  <c r="A229" i="8"/>
  <c r="A225" i="8"/>
  <c r="A220" i="8"/>
  <c r="A216" i="8"/>
  <c r="A211" i="8"/>
  <c r="A207" i="8"/>
  <c r="A201" i="8"/>
  <c r="A197" i="8"/>
  <c r="A206" i="8"/>
  <c r="A303" i="8"/>
  <c r="A299" i="8"/>
  <c r="A286" i="8"/>
  <c r="A282" i="8"/>
  <c r="A349" i="8"/>
  <c r="A345" i="8"/>
  <c r="A338" i="8"/>
  <c r="A331" i="8"/>
  <c r="A327" i="8"/>
  <c r="A320" i="8"/>
  <c r="A350" i="8"/>
  <c r="A332" i="8"/>
  <c r="A348" i="8"/>
  <c r="A341" i="8"/>
  <c r="A330" i="8"/>
  <c r="A323" i="8"/>
  <c r="A339" i="8"/>
  <c r="A335" i="8"/>
  <c r="A6" i="35"/>
  <c r="A8" i="35"/>
  <c r="A10" i="35"/>
  <c r="C15" i="35"/>
  <c r="E15" i="35"/>
  <c r="G15" i="35"/>
  <c r="I15" i="35"/>
  <c r="A33" i="35"/>
  <c r="A35" i="35"/>
  <c r="A37" i="35"/>
  <c r="A53" i="35"/>
  <c r="A55" i="35"/>
  <c r="A57" i="35"/>
  <c r="A63" i="35"/>
  <c r="A65" i="35"/>
  <c r="A67" i="35"/>
  <c r="A76" i="35"/>
  <c r="A78" i="35"/>
  <c r="A96" i="35"/>
  <c r="A98" i="35"/>
  <c r="A106" i="35"/>
  <c r="A108" i="35"/>
  <c r="A73" i="35"/>
  <c r="A75" i="35"/>
  <c r="A77" i="35"/>
  <c r="A83" i="35"/>
  <c r="A85" i="35"/>
  <c r="A87" i="35"/>
  <c r="A93" i="35"/>
  <c r="A95" i="35"/>
  <c r="A97" i="35"/>
  <c r="A103" i="35"/>
  <c r="A105" i="35"/>
  <c r="A107" i="35"/>
  <c r="A113" i="35"/>
  <c r="A115" i="35"/>
  <c r="A117" i="35"/>
  <c r="A161" i="35"/>
  <c r="A163" i="35"/>
  <c r="A165" i="35"/>
  <c r="A167" i="35"/>
  <c r="A123" i="35"/>
  <c r="A125" i="35"/>
  <c r="A127" i="35"/>
  <c r="A142" i="35"/>
  <c r="A144" i="35"/>
  <c r="A146" i="35"/>
  <c r="A151" i="35"/>
  <c r="A153" i="35"/>
  <c r="A155" i="35"/>
  <c r="A164" i="35"/>
  <c r="A171" i="35"/>
  <c r="A173" i="35"/>
  <c r="A175" i="35"/>
  <c r="A47" i="6"/>
  <c r="A259" i="30"/>
  <c r="A144" i="30"/>
  <c r="A197" i="30"/>
  <c r="A681" i="8"/>
  <c r="A700" i="8"/>
  <c r="A696" i="8"/>
  <c r="A701" i="8"/>
  <c r="A697" i="8"/>
  <c r="A175" i="37"/>
  <c r="A171" i="37"/>
  <c r="A163" i="37"/>
  <c r="A174" i="37"/>
  <c r="A170" i="37"/>
  <c r="A164" i="37"/>
  <c r="A160" i="37"/>
  <c r="A127" i="37"/>
  <c r="A123" i="37"/>
  <c r="A44" i="37"/>
  <c r="A36" i="37"/>
  <c r="A32" i="37"/>
  <c r="A10" i="37"/>
  <c r="A6" i="37"/>
  <c r="A43" i="37"/>
  <c r="A37" i="37"/>
  <c r="A33" i="37"/>
  <c r="A124" i="37"/>
  <c r="A5" i="37"/>
  <c r="A7" i="37"/>
  <c r="A122" i="37"/>
  <c r="G70" i="5"/>
  <c r="G70" i="32"/>
  <c r="G66" i="5"/>
  <c r="J71" i="5"/>
  <c r="H67" i="5"/>
  <c r="H67" i="32"/>
  <c r="C68" i="5"/>
  <c r="C68" i="32"/>
  <c r="F66" i="5"/>
  <c r="F66" i="32"/>
  <c r="F35" i="5"/>
  <c r="F35" i="32"/>
  <c r="A77" i="8"/>
  <c r="A114" i="8"/>
  <c r="A113" i="8"/>
  <c r="A23" i="8"/>
  <c r="A8" i="8"/>
  <c r="A12" i="34"/>
  <c r="A5" i="34"/>
  <c r="A9" i="34"/>
  <c r="A8" i="34"/>
  <c r="A75" i="34"/>
  <c r="A68" i="34"/>
  <c r="A72" i="34"/>
  <c r="A69" i="34"/>
  <c r="A73" i="34"/>
  <c r="A139" i="34"/>
  <c r="A132" i="34"/>
  <c r="A136" i="34"/>
  <c r="A133" i="34"/>
  <c r="A137" i="34"/>
  <c r="A213" i="34"/>
  <c r="A211" i="34"/>
  <c r="A210" i="34"/>
  <c r="A214" i="34"/>
  <c r="A279" i="34"/>
  <c r="A272" i="34"/>
  <c r="A278" i="34"/>
  <c r="A275" i="34"/>
  <c r="A321" i="34"/>
  <c r="A323" i="34"/>
  <c r="A387" i="34"/>
  <c r="A386" i="34"/>
  <c r="A380" i="34"/>
  <c r="A261" i="8"/>
  <c r="A254" i="8"/>
  <c r="A258" i="8"/>
  <c r="A257" i="8"/>
  <c r="A279" i="8"/>
  <c r="A274" i="8"/>
  <c r="A278" i="8"/>
  <c r="A273" i="8"/>
  <c r="A277" i="8"/>
  <c r="B106" i="2"/>
  <c r="B107" i="2"/>
  <c r="B112" i="2"/>
  <c r="B108" i="2"/>
  <c r="A374" i="8"/>
  <c r="A375" i="8"/>
  <c r="A366" i="8"/>
  <c r="A363" i="8"/>
  <c r="A400" i="8"/>
  <c r="A401" i="8"/>
  <c r="A435" i="8"/>
  <c r="A436" i="8"/>
  <c r="A68" i="7"/>
  <c r="A65" i="7"/>
  <c r="A69" i="7"/>
  <c r="A64" i="7"/>
  <c r="A119" i="7"/>
  <c r="A114" i="7"/>
  <c r="A118" i="7"/>
  <c r="A115" i="7"/>
  <c r="B3" i="9"/>
  <c r="E3" i="9"/>
  <c r="K3" i="9"/>
  <c r="C3" i="9"/>
  <c r="J3" i="9"/>
  <c r="F3" i="9"/>
  <c r="A675" i="8"/>
  <c r="A668" i="8"/>
  <c r="A672" i="8"/>
  <c r="A669" i="8"/>
  <c r="A673" i="8"/>
  <c r="G71" i="5"/>
  <c r="L73" i="5"/>
  <c r="L73" i="32"/>
  <c r="G68" i="5"/>
  <c r="K71" i="5"/>
  <c r="K71" i="32"/>
  <c r="E66" i="5"/>
  <c r="F68" i="5"/>
  <c r="F68" i="32"/>
  <c r="L42" i="5"/>
  <c r="L42" i="32"/>
  <c r="E37" i="5"/>
  <c r="D57" i="1"/>
  <c r="B68" i="4"/>
  <c r="B64" i="4"/>
  <c r="I73" i="5"/>
  <c r="B66" i="5"/>
  <c r="B66" i="32"/>
  <c r="F39" i="5"/>
  <c r="F37" i="5"/>
  <c r="D6" i="29" a="1"/>
  <c r="D6" i="29"/>
  <c r="B77" i="4"/>
  <c r="B76" i="4"/>
  <c r="B79" i="4"/>
  <c r="D3" i="5"/>
  <c r="A291" i="30"/>
  <c r="A58" i="31"/>
  <c r="A250" i="8"/>
  <c r="A310" i="8"/>
  <c r="A9" i="7"/>
  <c r="A659" i="8"/>
  <c r="A153" i="37"/>
  <c r="A39" i="34"/>
  <c r="A34" i="34"/>
  <c r="A38" i="34"/>
  <c r="A33" i="34"/>
  <c r="A37" i="34"/>
  <c r="A117" i="34"/>
  <c r="A110" i="34"/>
  <c r="A114" i="34"/>
  <c r="A111" i="34"/>
  <c r="A115" i="34"/>
  <c r="A161" i="34"/>
  <c r="A154" i="34"/>
  <c r="A156" i="34"/>
  <c r="A155" i="34"/>
  <c r="A159" i="34"/>
  <c r="N55" i="33"/>
  <c r="N54" i="33"/>
  <c r="N53" i="33"/>
  <c r="N44" i="33"/>
  <c r="N41" i="33"/>
  <c r="N39" i="33"/>
  <c r="N34" i="33"/>
  <c r="N31" i="33"/>
  <c r="N29" i="33"/>
  <c r="A251" i="8"/>
  <c r="A248" i="8"/>
  <c r="A270" i="8"/>
  <c r="A263" i="8"/>
  <c r="A267" i="8"/>
  <c r="A269" i="8"/>
  <c r="A264" i="8"/>
  <c r="A268" i="8"/>
  <c r="A311" i="8"/>
  <c r="A308" i="8"/>
  <c r="A312" i="8"/>
  <c r="A5" i="7"/>
  <c r="A12" i="7"/>
  <c r="A8" i="7"/>
  <c r="A6" i="7"/>
  <c r="A11" i="7"/>
  <c r="A7" i="7"/>
  <c r="A98" i="7"/>
  <c r="A93" i="7"/>
  <c r="A97" i="7"/>
  <c r="A92" i="7"/>
  <c r="A96" i="7"/>
  <c r="A156" i="7"/>
  <c r="A151" i="7"/>
  <c r="A155" i="7"/>
  <c r="A150" i="7"/>
  <c r="A154" i="7"/>
  <c r="A12" i="37"/>
  <c r="A9" i="37"/>
  <c r="A58" i="37"/>
  <c r="A54" i="37"/>
  <c r="A52" i="37"/>
  <c r="A56" i="37"/>
  <c r="A53" i="37"/>
  <c r="A57" i="37"/>
  <c r="A78" i="37"/>
  <c r="A72" i="37"/>
  <c r="A74" i="37"/>
  <c r="A73" i="37"/>
  <c r="A77" i="37"/>
  <c r="A98" i="37"/>
  <c r="A92" i="37"/>
  <c r="A93" i="37"/>
  <c r="A97" i="37"/>
  <c r="A118" i="37"/>
  <c r="A114" i="37"/>
  <c r="A112" i="37"/>
  <c r="A113" i="37"/>
  <c r="A117" i="37"/>
  <c r="A157" i="37"/>
  <c r="A150" i="37"/>
  <c r="A154" i="37"/>
  <c r="A151" i="37"/>
  <c r="A155" i="37"/>
  <c r="A148" i="37"/>
  <c r="A143" i="37"/>
  <c r="I46" i="39"/>
  <c r="L39" i="6"/>
  <c r="H33" i="6"/>
  <c r="K33" i="6"/>
  <c r="F33" i="6"/>
  <c r="F39" i="6"/>
  <c r="E33" i="6"/>
  <c r="D32" i="6"/>
  <c r="H38" i="6"/>
  <c r="H38" i="34"/>
  <c r="J33" i="6"/>
  <c r="C34" i="6"/>
  <c r="J37" i="6"/>
  <c r="J37" i="34"/>
  <c r="I33" i="6"/>
  <c r="I33" i="34"/>
  <c r="F37" i="6"/>
  <c r="G33" i="6"/>
  <c r="I36" i="6"/>
  <c r="I36" i="34"/>
  <c r="K39" i="6"/>
  <c r="K39" i="34"/>
  <c r="J34" i="6"/>
  <c r="L37" i="6"/>
  <c r="L37" i="34"/>
  <c r="D52" i="6"/>
  <c r="F50" i="6"/>
  <c r="J56" i="6"/>
  <c r="J56" i="34"/>
  <c r="E56" i="6"/>
  <c r="H56" i="6"/>
  <c r="H56" i="34"/>
  <c r="D50" i="6"/>
  <c r="D39" i="6"/>
  <c r="D39" i="34"/>
  <c r="J32" i="6"/>
  <c r="I34" i="6"/>
  <c r="I34" i="34"/>
  <c r="L34" i="6"/>
  <c r="I37" i="6"/>
  <c r="E50" i="6"/>
  <c r="D36" i="6"/>
  <c r="K50" i="6"/>
  <c r="K50" i="34"/>
  <c r="F38" i="6"/>
  <c r="D35" i="6"/>
  <c r="D35" i="34"/>
  <c r="I38" i="6"/>
  <c r="G35" i="6"/>
  <c r="G35" i="34"/>
  <c r="E32" i="6"/>
  <c r="H36" i="6"/>
  <c r="E39" i="6"/>
  <c r="K32" i="6"/>
  <c r="K32" i="34"/>
  <c r="L32" i="6"/>
  <c r="L36" i="6"/>
  <c r="F35" i="6"/>
  <c r="F35" i="34"/>
  <c r="C32" i="6"/>
  <c r="C32" i="34"/>
  <c r="C38" i="6"/>
  <c r="C38" i="34"/>
  <c r="G36" i="6"/>
  <c r="E37" i="6"/>
  <c r="E37" i="34"/>
  <c r="H34" i="6"/>
  <c r="E35" i="6"/>
  <c r="G38" i="6"/>
  <c r="H32" i="6"/>
  <c r="J35" i="6"/>
  <c r="L38" i="6"/>
  <c r="I32" i="6"/>
  <c r="E34" i="6"/>
  <c r="K35" i="6"/>
  <c r="G37" i="6"/>
  <c r="G37" i="34"/>
  <c r="C39" i="6"/>
  <c r="F32" i="6"/>
  <c r="L33" i="6"/>
  <c r="H35" i="6"/>
  <c r="D37" i="6"/>
  <c r="J38" i="6"/>
  <c r="F57" i="6"/>
  <c r="L54" i="6"/>
  <c r="L54" i="34"/>
  <c r="H50" i="6"/>
  <c r="J53" i="6"/>
  <c r="L56" i="6"/>
  <c r="L56" i="34"/>
  <c r="C50" i="6"/>
  <c r="G56" i="6"/>
  <c r="L51" i="6"/>
  <c r="D55" i="6"/>
  <c r="D55" i="34"/>
  <c r="G51" i="6"/>
  <c r="I54" i="6"/>
  <c r="I54" i="34"/>
  <c r="K57" i="6"/>
  <c r="C56" i="6"/>
  <c r="K56" i="6"/>
  <c r="C52" i="6"/>
  <c r="C52" i="34"/>
  <c r="H37" i="6"/>
  <c r="F34" i="6"/>
  <c r="G39" i="6"/>
  <c r="E36" i="6"/>
  <c r="E36" i="34"/>
  <c r="C33" i="6"/>
  <c r="C33" i="34"/>
  <c r="D38" i="6"/>
  <c r="G34" i="6"/>
  <c r="G53" i="6"/>
  <c r="L57" i="6"/>
  <c r="L57" i="34"/>
  <c r="H51" i="6"/>
  <c r="E57" i="6"/>
  <c r="E57" i="34"/>
  <c r="E67" i="5"/>
  <c r="K72" i="5"/>
  <c r="K72" i="32"/>
  <c r="F70" i="5"/>
  <c r="F70" i="32"/>
  <c r="I69" i="5"/>
  <c r="C35" i="5"/>
  <c r="J72" i="29" a="1"/>
  <c r="J72" i="29"/>
  <c r="L12" i="4"/>
  <c r="A699" i="8"/>
  <c r="E74" i="28"/>
  <c r="I57" i="34"/>
  <c r="C62" i="34"/>
  <c r="G56" i="1"/>
  <c r="B63" i="1"/>
  <c r="A37" i="5"/>
  <c r="I7" i="5"/>
  <c r="F10" i="5"/>
  <c r="H9" i="5"/>
  <c r="H8" i="5"/>
  <c r="I8" i="5"/>
  <c r="E11" i="5"/>
  <c r="K10" i="5"/>
  <c r="E6" i="5"/>
  <c r="J11" i="5"/>
  <c r="F6" i="5"/>
  <c r="F7" i="5"/>
  <c r="H39" i="5"/>
  <c r="D37" i="5"/>
  <c r="D37" i="32"/>
  <c r="D12" i="4"/>
  <c r="E13" i="33"/>
  <c r="C129" i="4"/>
  <c r="F101" i="5"/>
  <c r="F101" i="32"/>
  <c r="E101" i="5"/>
  <c r="E101" i="32"/>
  <c r="B75" i="4"/>
  <c r="C133" i="4"/>
  <c r="C3" i="5"/>
  <c r="A40" i="5"/>
  <c r="H12" i="4"/>
  <c r="G42" i="5"/>
  <c r="A19" i="8"/>
  <c r="A124" i="8"/>
  <c r="A143" i="8"/>
  <c r="A139" i="8"/>
  <c r="A670" i="8"/>
  <c r="C25" i="6"/>
  <c r="F27" i="6"/>
  <c r="K30" i="6"/>
  <c r="J23" i="6"/>
  <c r="J23" i="34"/>
  <c r="E26" i="6"/>
  <c r="A261" i="6"/>
  <c r="A254" i="6"/>
  <c r="A258" i="6"/>
  <c r="A257" i="6"/>
  <c r="A279" i="6"/>
  <c r="A272" i="6"/>
  <c r="A276" i="6"/>
  <c r="A273" i="6"/>
  <c r="A277" i="6"/>
  <c r="A287" i="6"/>
  <c r="A284" i="6"/>
  <c r="A285" i="6"/>
  <c r="A282" i="6"/>
  <c r="A306" i="6"/>
  <c r="A302" i="6"/>
  <c r="A305" i="6"/>
  <c r="A323" i="6"/>
  <c r="A324" i="6"/>
  <c r="A321" i="6"/>
  <c r="A322" i="6"/>
  <c r="A350" i="6"/>
  <c r="A345" i="6"/>
  <c r="A344" i="6"/>
  <c r="A347" i="6"/>
  <c r="A369" i="6"/>
  <c r="A366" i="6"/>
  <c r="A362" i="6"/>
  <c r="A368" i="6"/>
  <c r="A363" i="6"/>
  <c r="A367" i="6"/>
  <c r="A5" i="6"/>
  <c r="A8" i="6"/>
  <c r="A7" i="6"/>
  <c r="A9" i="6"/>
  <c r="B121" i="6"/>
  <c r="B121" i="34"/>
  <c r="B126" i="6"/>
  <c r="B123" i="6"/>
  <c r="B127" i="6"/>
  <c r="B124" i="6"/>
  <c r="A134" i="6"/>
  <c r="A133" i="6"/>
  <c r="A132" i="6"/>
  <c r="A144" i="6"/>
  <c r="A150" i="6"/>
  <c r="A196" i="6"/>
  <c r="A193" i="6"/>
  <c r="A194" i="6"/>
  <c r="A192" i="6"/>
  <c r="A212" i="6"/>
  <c r="A209" i="6"/>
  <c r="A210" i="6"/>
  <c r="A211" i="6"/>
  <c r="A231" i="6"/>
  <c r="A227" i="6"/>
  <c r="A234" i="6"/>
  <c r="A228" i="6"/>
  <c r="H52" i="6"/>
  <c r="H52" i="34"/>
  <c r="I53" i="6"/>
  <c r="E51" i="6"/>
  <c r="F51" i="6"/>
  <c r="J57" i="6"/>
  <c r="C54" i="6"/>
  <c r="D53" i="6"/>
  <c r="D53" i="34"/>
  <c r="F56" i="6"/>
  <c r="K51" i="6"/>
  <c r="K51" i="34"/>
  <c r="C55" i="6"/>
  <c r="C55" i="34"/>
  <c r="J55" i="6"/>
  <c r="J55" i="34"/>
  <c r="E55" i="6"/>
  <c r="E55" i="34"/>
  <c r="G50" i="6"/>
  <c r="F53" i="6"/>
  <c r="F53" i="34"/>
  <c r="K52" i="6"/>
  <c r="C57" i="6"/>
  <c r="C57" i="34"/>
  <c r="G55" i="6"/>
  <c r="G55" i="34"/>
  <c r="K53" i="6"/>
  <c r="K53" i="34"/>
  <c r="E52" i="6"/>
  <c r="I50" i="6"/>
  <c r="I50" i="34"/>
  <c r="H57" i="6"/>
  <c r="H57" i="34"/>
  <c r="L55" i="6"/>
  <c r="F54" i="6"/>
  <c r="J52" i="6"/>
  <c r="J52" i="34"/>
  <c r="D51" i="6"/>
  <c r="D51" i="34"/>
  <c r="K54" i="6"/>
  <c r="I51" i="6"/>
  <c r="E62" i="6"/>
  <c r="E62" i="34"/>
  <c r="H62" i="6"/>
  <c r="D62" i="6"/>
  <c r="D62" i="34"/>
  <c r="G63" i="6"/>
  <c r="D61" i="6"/>
  <c r="D61" i="34"/>
  <c r="L74" i="6"/>
  <c r="L74" i="34"/>
  <c r="C68" i="6"/>
  <c r="C68" i="34"/>
  <c r="I71" i="6"/>
  <c r="J70" i="6"/>
  <c r="J70" i="34"/>
  <c r="D68" i="6"/>
  <c r="D72" i="5"/>
  <c r="C71" i="5"/>
  <c r="C71" i="32"/>
  <c r="C69" i="5"/>
  <c r="H70" i="5"/>
  <c r="H70" i="32"/>
  <c r="J70" i="5"/>
  <c r="J70" i="32"/>
  <c r="H66" i="5"/>
  <c r="I68" i="5"/>
  <c r="E69" i="5"/>
  <c r="K69" i="5"/>
  <c r="J72" i="5"/>
  <c r="J72" i="32"/>
  <c r="B45" i="2"/>
  <c r="D4" i="3"/>
  <c r="A16" i="3"/>
  <c r="K73" i="5"/>
  <c r="K73" i="32"/>
  <c r="H69" i="5"/>
  <c r="L68" i="5"/>
  <c r="L68" i="32"/>
  <c r="H71" i="5"/>
  <c r="F72" i="5"/>
  <c r="F72" i="32"/>
  <c r="E71" i="5"/>
  <c r="L72" i="5"/>
  <c r="L72" i="32"/>
  <c r="F71" i="5"/>
  <c r="F71" i="32"/>
  <c r="B137" i="34"/>
  <c r="A72" i="5"/>
  <c r="B4" i="3"/>
  <c r="C69" i="34"/>
  <c r="B98" i="5"/>
  <c r="B98" i="32"/>
  <c r="B127" i="34"/>
  <c r="C123" i="4"/>
  <c r="B82" i="4"/>
  <c r="C121" i="30" a="1"/>
  <c r="C122" i="30"/>
  <c r="F57" i="1"/>
  <c r="C102" i="4"/>
  <c r="C108" i="4"/>
  <c r="B86" i="4"/>
  <c r="D13" i="33"/>
  <c r="G105" i="28"/>
  <c r="D4" i="29"/>
  <c r="G39" i="34"/>
  <c r="C60" i="33"/>
  <c r="A358" i="30"/>
  <c r="A57" i="31"/>
  <c r="A78" i="31"/>
  <c r="A71" i="32"/>
  <c r="A67" i="32"/>
  <c r="A72" i="32"/>
  <c r="A68" i="32"/>
  <c r="C121" i="33"/>
  <c r="C124" i="33"/>
  <c r="C120" i="33"/>
  <c r="C105" i="33"/>
  <c r="C101" i="33"/>
  <c r="C108" i="33"/>
  <c r="C104" i="33"/>
  <c r="I12" i="33"/>
  <c r="E12" i="33"/>
  <c r="A401" i="34"/>
  <c r="A383" i="34"/>
  <c r="A365" i="34"/>
  <c r="A340" i="34"/>
  <c r="A336" i="34"/>
  <c r="A322" i="34"/>
  <c r="A318" i="34"/>
  <c r="A304" i="34"/>
  <c r="A300" i="34"/>
  <c r="A295" i="34"/>
  <c r="A291" i="34"/>
  <c r="A277" i="34"/>
  <c r="A259" i="34"/>
  <c r="A255" i="34"/>
  <c r="A230" i="34"/>
  <c r="A194" i="34"/>
  <c r="A148" i="34"/>
  <c r="A144" i="34"/>
  <c r="A126" i="34"/>
  <c r="A122" i="34"/>
  <c r="A91" i="34"/>
  <c r="A87" i="34"/>
  <c r="A55" i="34"/>
  <c r="A51" i="34"/>
  <c r="L12" i="33"/>
  <c r="D12" i="33"/>
  <c r="A296" i="34"/>
  <c r="A258" i="34"/>
  <c r="A197" i="34"/>
  <c r="A149" i="34"/>
  <c r="A145" i="34"/>
  <c r="A127" i="34"/>
  <c r="A123" i="34"/>
  <c r="A92" i="34"/>
  <c r="A88" i="34"/>
  <c r="A62" i="34"/>
  <c r="A54" i="34"/>
  <c r="A50" i="34"/>
  <c r="J12" i="33"/>
  <c r="A402" i="34"/>
  <c r="A366" i="34"/>
  <c r="A193" i="34"/>
  <c r="A404" i="34"/>
  <c r="A364" i="34"/>
  <c r="A341" i="34"/>
  <c r="A301" i="34"/>
  <c r="A290" i="34"/>
  <c r="A256" i="34"/>
  <c r="A233" i="34"/>
  <c r="A191" i="34"/>
  <c r="A7" i="8"/>
  <c r="A190" i="8"/>
  <c r="A191" i="8"/>
  <c r="A228" i="8"/>
  <c r="A231" i="8"/>
  <c r="A213" i="8"/>
  <c r="A210" i="8"/>
  <c r="A266" i="8"/>
  <c r="A247" i="8"/>
  <c r="A302" i="8"/>
  <c r="A336" i="8"/>
  <c r="A322" i="8"/>
  <c r="B157" i="39"/>
  <c r="B165" i="8"/>
  <c r="B165" i="39"/>
  <c r="B185" i="8"/>
  <c r="B185" i="39"/>
  <c r="B184" i="39"/>
  <c r="B174" i="39"/>
  <c r="B175" i="8"/>
  <c r="B175" i="39"/>
  <c r="B195" i="8"/>
  <c r="B195" i="39"/>
  <c r="B194" i="39"/>
  <c r="F70" i="34"/>
  <c r="A683" i="8"/>
  <c r="A703" i="8"/>
  <c r="F65" i="34"/>
  <c r="I69" i="32"/>
  <c r="G38" i="34"/>
  <c r="G37" i="5"/>
  <c r="G37" i="32"/>
  <c r="D40" i="5"/>
  <c r="D40" i="32"/>
  <c r="L36" i="5"/>
  <c r="I35" i="5"/>
  <c r="I35" i="32"/>
  <c r="K38" i="5"/>
  <c r="K38" i="32"/>
  <c r="G40" i="5"/>
  <c r="G40" i="32"/>
  <c r="C42" i="5"/>
  <c r="C42" i="32"/>
  <c r="L41" i="5"/>
  <c r="L41" i="32"/>
  <c r="B48" i="2"/>
  <c r="L39" i="34"/>
  <c r="C4" i="3"/>
  <c r="B46" i="2"/>
  <c r="C39" i="5"/>
  <c r="C39" i="32"/>
  <c r="K35" i="5"/>
  <c r="K35" i="32"/>
  <c r="K42" i="5"/>
  <c r="C41" i="5"/>
  <c r="D103" i="5"/>
  <c r="D103" i="32"/>
  <c r="B74" i="4"/>
  <c r="C98" i="4"/>
  <c r="C127" i="4"/>
  <c r="C131" i="4"/>
  <c r="C132" i="4"/>
  <c r="C95" i="4"/>
  <c r="A273" i="30"/>
  <c r="G23" i="30"/>
  <c r="K29" i="30"/>
  <c r="F28" i="30"/>
  <c r="A18" i="8"/>
  <c r="A37" i="8"/>
  <c r="A150" i="8"/>
  <c r="A132" i="8"/>
  <c r="A153" i="8"/>
  <c r="A170" i="8"/>
  <c r="A169" i="8"/>
  <c r="A145" i="8"/>
  <c r="A163" i="8"/>
  <c r="E56" i="34"/>
  <c r="H51" i="34"/>
  <c r="K34" i="34"/>
  <c r="I105" i="28"/>
  <c r="H50" i="34"/>
  <c r="D50" i="34"/>
  <c r="G53" i="34"/>
  <c r="F56" i="34"/>
  <c r="A333" i="8"/>
  <c r="A326" i="8"/>
  <c r="A351" i="8"/>
  <c r="A344" i="8"/>
  <c r="A346" i="8"/>
  <c r="A353" i="8"/>
  <c r="A355" i="8"/>
  <c r="A390" i="8"/>
  <c r="A393" i="8"/>
  <c r="A408" i="8"/>
  <c r="A411" i="8"/>
  <c r="A477" i="8"/>
  <c r="A472" i="8"/>
  <c r="A475" i="8"/>
  <c r="A495" i="8"/>
  <c r="A490" i="8"/>
  <c r="A494" i="8"/>
  <c r="A491" i="8"/>
  <c r="A512" i="8"/>
  <c r="A509" i="8"/>
  <c r="A513" i="8"/>
  <c r="A506" i="8"/>
  <c r="A510" i="8"/>
  <c r="A530" i="8"/>
  <c r="A527" i="8"/>
  <c r="A531" i="8"/>
  <c r="A524" i="8"/>
  <c r="A528" i="8"/>
  <c r="A549" i="8"/>
  <c r="A542" i="8"/>
  <c r="A546" i="8"/>
  <c r="A543" i="8"/>
  <c r="A547" i="8"/>
  <c r="A567" i="8"/>
  <c r="A560" i="8"/>
  <c r="A564" i="8"/>
  <c r="A561" i="8"/>
  <c r="A565" i="8"/>
  <c r="A78" i="8"/>
  <c r="A104" i="8"/>
  <c r="A324" i="8"/>
  <c r="A317" i="8"/>
  <c r="A321" i="8"/>
  <c r="A417" i="8"/>
  <c r="A421" i="8"/>
  <c r="A486" i="8"/>
  <c r="A479" i="8"/>
  <c r="A483" i="8"/>
  <c r="A481" i="8"/>
  <c r="A480" i="8"/>
  <c r="A484" i="8"/>
  <c r="A504" i="8"/>
  <c r="A497" i="8"/>
  <c r="A503" i="8"/>
  <c r="A500" i="8"/>
  <c r="A521" i="8"/>
  <c r="A518" i="8"/>
  <c r="A522" i="8"/>
  <c r="A517" i="8"/>
  <c r="A540" i="8"/>
  <c r="A537" i="8"/>
  <c r="A539" i="8"/>
  <c r="A536" i="8"/>
  <c r="A558" i="8"/>
  <c r="A551" i="8"/>
  <c r="A555" i="8"/>
  <c r="A554" i="8"/>
  <c r="A576" i="8"/>
  <c r="A569" i="8"/>
  <c r="A573" i="8"/>
  <c r="A572" i="8"/>
  <c r="I70" i="5"/>
  <c r="I70" i="32"/>
  <c r="C66" i="5"/>
  <c r="H68" i="5"/>
  <c r="H68" i="32"/>
  <c r="G69" i="5"/>
  <c r="C67" i="5"/>
  <c r="C67" i="32"/>
  <c r="E70" i="5"/>
  <c r="G73" i="5"/>
  <c r="G73" i="32"/>
  <c r="F69" i="5"/>
  <c r="H72" i="5"/>
  <c r="K66" i="5"/>
  <c r="K66" i="32"/>
  <c r="C70" i="5"/>
  <c r="C70" i="32"/>
  <c r="E73" i="5"/>
  <c r="D69" i="5"/>
  <c r="J73" i="5"/>
  <c r="J73" i="32"/>
  <c r="F67" i="5"/>
  <c r="F67" i="32"/>
  <c r="E68" i="5"/>
  <c r="E68" i="32"/>
  <c r="C72" i="5"/>
  <c r="C72" i="32"/>
  <c r="L67" i="5"/>
  <c r="H56" i="1"/>
  <c r="H73" i="5"/>
  <c r="H73" i="32"/>
  <c r="E72" i="5"/>
  <c r="E72" i="32"/>
  <c r="I4" i="3"/>
  <c r="B7" i="32"/>
  <c r="B6" i="32"/>
  <c r="A39" i="3"/>
  <c r="B71" i="5"/>
  <c r="B71" i="32"/>
  <c r="B69" i="4"/>
  <c r="B71" i="4"/>
  <c r="F9" i="4"/>
  <c r="A17" i="3"/>
  <c r="E9" i="4"/>
  <c r="E9" i="33"/>
  <c r="B99" i="5"/>
  <c r="B99" i="32"/>
  <c r="B37" i="5"/>
  <c r="B37" i="32"/>
  <c r="G4" i="3"/>
  <c r="B65" i="4"/>
  <c r="B66" i="2"/>
  <c r="A6" i="3"/>
  <c r="K56" i="1"/>
  <c r="A7" i="3"/>
  <c r="B65" i="2"/>
  <c r="C57" i="1"/>
  <c r="I12" i="4"/>
  <c r="M12" i="4"/>
  <c r="H97" i="5"/>
  <c r="H97" i="32"/>
  <c r="I100" i="5"/>
  <c r="I100" i="32"/>
  <c r="D102" i="5"/>
  <c r="D102" i="32"/>
  <c r="A12" i="3"/>
  <c r="B73" i="4"/>
  <c r="A57" i="3"/>
  <c r="A58" i="3"/>
  <c r="A99" i="5"/>
  <c r="K12" i="4"/>
  <c r="E41" i="30"/>
  <c r="K42" i="30"/>
  <c r="G44" i="30"/>
  <c r="C46" i="30"/>
  <c r="I47" i="30"/>
  <c r="H41" i="30"/>
  <c r="J44" i="30"/>
  <c r="L47" i="30"/>
  <c r="J43" i="30"/>
  <c r="A589" i="8"/>
  <c r="A603" i="8"/>
  <c r="A594" i="8"/>
  <c r="A590" i="8"/>
  <c r="A583" i="8"/>
  <c r="A579" i="8"/>
  <c r="A584" i="8"/>
  <c r="A582" i="8"/>
  <c r="A156" i="37"/>
  <c r="A144" i="37"/>
  <c r="A125" i="37"/>
  <c r="A42" i="37"/>
  <c r="A26" i="37"/>
  <c r="A22" i="37"/>
  <c r="G15" i="37"/>
  <c r="C15" i="37"/>
  <c r="A45" i="37"/>
  <c r="A27" i="37"/>
  <c r="A23" i="37"/>
  <c r="A48" i="37"/>
  <c r="C46" i="39"/>
  <c r="A128" i="37"/>
  <c r="J15" i="37"/>
  <c r="B15" i="37"/>
  <c r="D15" i="37"/>
  <c r="J46" i="39"/>
  <c r="A145" i="37"/>
  <c r="C123" i="30"/>
  <c r="E9" i="5"/>
  <c r="G5" i="5"/>
  <c r="K6" i="5"/>
  <c r="B100" i="5"/>
  <c r="B104" i="5"/>
  <c r="B104" i="32"/>
  <c r="C114" i="4"/>
  <c r="C117" i="4"/>
  <c r="C116" i="4"/>
  <c r="C111" i="4"/>
  <c r="A55" i="3"/>
  <c r="A60" i="3"/>
  <c r="A61" i="3"/>
  <c r="J64" i="4"/>
  <c r="J64" i="33"/>
  <c r="D71" i="4"/>
  <c r="K69" i="4"/>
  <c r="K69" i="33"/>
  <c r="L64" i="4"/>
  <c r="L64" i="33"/>
  <c r="H66" i="4"/>
  <c r="H66" i="33"/>
  <c r="D68" i="4"/>
  <c r="D68" i="33"/>
  <c r="J69" i="4"/>
  <c r="J69" i="33"/>
  <c r="F71" i="4"/>
  <c r="F71" i="33"/>
  <c r="E65" i="4"/>
  <c r="E65" i="33"/>
  <c r="K66" i="4"/>
  <c r="K66" i="33"/>
  <c r="G68" i="4"/>
  <c r="G68" i="33"/>
  <c r="M69" i="4"/>
  <c r="M69" i="33"/>
  <c r="I71" i="4"/>
  <c r="I71" i="33"/>
  <c r="H68" i="4"/>
  <c r="H68" i="33"/>
  <c r="F65" i="4"/>
  <c r="F65" i="33"/>
  <c r="L66" i="4"/>
  <c r="L66" i="33"/>
  <c r="M67" i="4"/>
  <c r="D66" i="4"/>
  <c r="D66" i="33"/>
  <c r="F69" i="4"/>
  <c r="F69" i="33"/>
  <c r="I65" i="4"/>
  <c r="I65" i="33"/>
  <c r="K68" i="4"/>
  <c r="G70" i="4"/>
  <c r="G70" i="33"/>
  <c r="I70" i="4"/>
  <c r="I70" i="33"/>
  <c r="G67" i="4"/>
  <c r="G67" i="33"/>
  <c r="L71" i="4"/>
  <c r="J68" i="4"/>
  <c r="J68" i="33"/>
  <c r="F64" i="4"/>
  <c r="L65" i="4"/>
  <c r="L65" i="33"/>
  <c r="H67" i="4"/>
  <c r="D69" i="4"/>
  <c r="D69" i="33"/>
  <c r="J70" i="4"/>
  <c r="I64" i="4"/>
  <c r="I64" i="33"/>
  <c r="E66" i="4"/>
  <c r="K67" i="4"/>
  <c r="K67" i="33"/>
  <c r="G69" i="4"/>
  <c r="M70" i="4"/>
  <c r="M70" i="33"/>
  <c r="F17" i="34"/>
  <c r="G17" i="34"/>
  <c r="I17" i="34"/>
  <c r="C17" i="34"/>
  <c r="K35" i="34"/>
  <c r="B70" i="5"/>
  <c r="B70" i="32"/>
  <c r="B67" i="5"/>
  <c r="B67" i="32"/>
  <c r="B69" i="5"/>
  <c r="B69" i="32"/>
  <c r="B72" i="5"/>
  <c r="B72" i="32"/>
  <c r="B73" i="5"/>
  <c r="B73" i="32"/>
  <c r="E37" i="32"/>
  <c r="F41" i="32"/>
  <c r="J41" i="6"/>
  <c r="J41" i="34"/>
  <c r="C120" i="4"/>
  <c r="L47" i="6"/>
  <c r="F48" i="6"/>
  <c r="F48" i="34"/>
  <c r="L46" i="6"/>
  <c r="L46" i="34"/>
  <c r="L43" i="6"/>
  <c r="L43" i="34"/>
  <c r="A35" i="6"/>
  <c r="A75" i="3"/>
  <c r="A76" i="3"/>
  <c r="A81" i="3"/>
  <c r="H45" i="6"/>
  <c r="H45" i="34"/>
  <c r="C47" i="6"/>
  <c r="I43" i="6"/>
  <c r="C65" i="4"/>
  <c r="C71" i="4"/>
  <c r="C68" i="4"/>
  <c r="C68" i="33"/>
  <c r="G46" i="6"/>
  <c r="G46" i="34"/>
  <c r="G44" i="6"/>
  <c r="G44" i="34"/>
  <c r="C125" i="4"/>
  <c r="C124" i="4"/>
  <c r="E41" i="6"/>
  <c r="E41" i="34"/>
  <c r="D27" i="6"/>
  <c r="D27" i="34"/>
  <c r="D29" i="6"/>
  <c r="D29" i="34"/>
  <c r="A123" i="6"/>
  <c r="A124" i="6"/>
  <c r="A145" i="6"/>
  <c r="A143" i="6"/>
  <c r="A148" i="6"/>
  <c r="A146" i="6"/>
  <c r="A232" i="6"/>
  <c r="A229" i="6"/>
  <c r="A233" i="6"/>
  <c r="J54" i="6"/>
  <c r="J54" i="34"/>
  <c r="E53" i="6"/>
  <c r="L50" i="6"/>
  <c r="L50" i="34"/>
  <c r="J51" i="6"/>
  <c r="J51" i="34"/>
  <c r="I39" i="34"/>
  <c r="I70" i="6"/>
  <c r="I74" i="6"/>
  <c r="I74" i="34"/>
  <c r="E70" i="6"/>
  <c r="F60" i="6"/>
  <c r="F60" i="34"/>
  <c r="A364" i="30"/>
  <c r="A302" i="30"/>
  <c r="A341" i="30"/>
  <c r="I43" i="30"/>
  <c r="E59" i="30"/>
  <c r="G62" i="30"/>
  <c r="G62" i="34"/>
  <c r="D43" i="30"/>
  <c r="D48" i="30"/>
  <c r="J59" i="30"/>
  <c r="E4" i="31"/>
  <c r="A69" i="32"/>
  <c r="A66" i="32"/>
  <c r="C119" i="33"/>
  <c r="C118" i="33"/>
  <c r="G12" i="33"/>
  <c r="A293" i="34"/>
  <c r="A157" i="34"/>
  <c r="A135" i="34"/>
  <c r="A71" i="34"/>
  <c r="A35" i="34"/>
  <c r="H15" i="34"/>
  <c r="D15" i="34"/>
  <c r="A143" i="34"/>
  <c r="A86" i="34"/>
  <c r="A52" i="34"/>
  <c r="I15" i="34"/>
  <c r="E15" i="34"/>
  <c r="F12" i="33"/>
  <c r="A305" i="34"/>
  <c r="A178" i="8"/>
  <c r="A181" i="8"/>
  <c r="A202" i="8"/>
  <c r="A218" i="8"/>
  <c r="A203" i="8"/>
  <c r="A246" i="8"/>
  <c r="A294" i="8"/>
  <c r="A290" i="8"/>
  <c r="B110" i="2"/>
  <c r="A318" i="8"/>
  <c r="A382" i="8"/>
  <c r="A407" i="8"/>
  <c r="A430" i="8"/>
  <c r="A698" i="8"/>
  <c r="A161" i="37"/>
  <c r="A162" i="37"/>
  <c r="A142" i="37"/>
  <c r="A34" i="37"/>
  <c r="E15" i="37"/>
  <c r="A35" i="37"/>
  <c r="A49" i="37"/>
  <c r="A147" i="37"/>
  <c r="F15" i="37"/>
  <c r="H15" i="37"/>
  <c r="J12" i="4"/>
  <c r="F12" i="4"/>
  <c r="H65" i="4"/>
  <c r="H65" i="33"/>
  <c r="F66" i="4"/>
  <c r="H69" i="4"/>
  <c r="H69" i="33"/>
  <c r="M64" i="4"/>
  <c r="M64" i="33"/>
  <c r="E68" i="4"/>
  <c r="E68" i="33"/>
  <c r="G71" i="4"/>
  <c r="G71" i="33"/>
  <c r="E46" i="6"/>
  <c r="E46" i="34"/>
  <c r="E44" i="6"/>
  <c r="E44" i="34"/>
  <c r="H26" i="6"/>
  <c r="H26" i="34"/>
  <c r="D23" i="6"/>
  <c r="G26" i="6"/>
  <c r="G26" i="34"/>
  <c r="E25" i="6"/>
  <c r="E25" i="34"/>
  <c r="C23" i="6"/>
  <c r="C23" i="34"/>
  <c r="H54" i="6"/>
  <c r="H54" i="34"/>
  <c r="I56" i="6"/>
  <c r="I56" i="34"/>
  <c r="D54" i="6"/>
  <c r="C53" i="6"/>
  <c r="C53" i="34"/>
  <c r="F55" i="6"/>
  <c r="A313" i="6"/>
  <c r="A310" i="6"/>
  <c r="A309" i="6"/>
  <c r="A70" i="3"/>
  <c r="A64" i="3"/>
  <c r="A65" i="3"/>
  <c r="A66" i="3"/>
  <c r="K38" i="6"/>
  <c r="K38" i="34"/>
  <c r="G32" i="6"/>
  <c r="G32" i="34"/>
  <c r="L35" i="6"/>
  <c r="L35" i="34"/>
  <c r="A115" i="6"/>
  <c r="A116" i="6"/>
  <c r="A114" i="6"/>
  <c r="A112" i="6"/>
  <c r="A113" i="6"/>
  <c r="A203" i="6"/>
  <c r="A202" i="6"/>
  <c r="A62" i="6"/>
  <c r="A60" i="6"/>
  <c r="A59" i="6"/>
  <c r="A61" i="6"/>
  <c r="A71" i="6"/>
  <c r="A69" i="6"/>
  <c r="A68" i="6"/>
  <c r="A256" i="6"/>
  <c r="A259" i="6"/>
  <c r="A288" i="6"/>
  <c r="A281" i="6"/>
  <c r="A299" i="6"/>
  <c r="A301" i="6"/>
  <c r="A303" i="6"/>
  <c r="B103" i="5"/>
  <c r="B103" i="32"/>
  <c r="E7" i="5"/>
  <c r="D8" i="5"/>
  <c r="K5" i="5"/>
  <c r="A8" i="5"/>
  <c r="K8" i="5"/>
  <c r="H7" i="5"/>
  <c r="I15" i="37"/>
  <c r="A8" i="37"/>
  <c r="A25" i="37"/>
  <c r="A126" i="37"/>
  <c r="A365" i="30"/>
  <c r="A368" i="30"/>
  <c r="I26" i="30"/>
  <c r="C42" i="30"/>
  <c r="E45" i="30"/>
  <c r="G48" i="30"/>
  <c r="C60" i="30"/>
  <c r="C60" i="34"/>
  <c r="I61" i="30"/>
  <c r="E63" i="30"/>
  <c r="E63" i="34"/>
  <c r="C66" i="30"/>
  <c r="C66" i="34"/>
  <c r="F46" i="30"/>
  <c r="F47" i="30"/>
  <c r="J60" i="30"/>
  <c r="L60" i="30"/>
  <c r="L60" i="34"/>
  <c r="A54" i="31"/>
  <c r="F4" i="31"/>
  <c r="A142" i="8"/>
  <c r="A160" i="8"/>
  <c r="C65" i="33"/>
  <c r="K68" i="34"/>
  <c r="J68" i="34"/>
  <c r="G71" i="34"/>
  <c r="F66" i="34"/>
  <c r="H65" i="34"/>
  <c r="I66" i="34"/>
  <c r="I59" i="34"/>
  <c r="F61" i="34"/>
  <c r="L71" i="34"/>
  <c r="K73" i="34"/>
  <c r="G65" i="34"/>
  <c r="C63" i="34"/>
  <c r="J32" i="34"/>
  <c r="D37" i="34"/>
  <c r="L33" i="34"/>
  <c r="E33" i="34"/>
  <c r="E50" i="34"/>
  <c r="J36" i="6"/>
  <c r="J39" i="6"/>
  <c r="J39" i="34"/>
  <c r="I35" i="6"/>
  <c r="I35" i="34"/>
  <c r="I18" i="34"/>
  <c r="J18" i="34"/>
  <c r="J17" i="34"/>
  <c r="K36" i="6"/>
  <c r="F18" i="34"/>
  <c r="E38" i="6"/>
  <c r="E38" i="34"/>
  <c r="F36" i="6"/>
  <c r="F36" i="34"/>
  <c r="A44" i="6"/>
  <c r="A42" i="6"/>
  <c r="A46" i="6"/>
  <c r="A41" i="6"/>
  <c r="A88" i="6"/>
  <c r="A90" i="6"/>
  <c r="A87" i="6"/>
  <c r="A182" i="6"/>
  <c r="M65" i="33"/>
  <c r="A182" i="30"/>
  <c r="A416" i="30"/>
  <c r="A420" i="30"/>
  <c r="I70" i="34"/>
  <c r="E69" i="32"/>
  <c r="J57" i="34"/>
  <c r="B123" i="34"/>
  <c r="F27" i="34"/>
  <c r="H39" i="32"/>
  <c r="E67" i="32"/>
  <c r="D38" i="34"/>
  <c r="F34" i="34"/>
  <c r="C56" i="34"/>
  <c r="H36" i="34"/>
  <c r="F33" i="34"/>
  <c r="G57" i="1"/>
  <c r="H57" i="1"/>
  <c r="L57" i="1"/>
  <c r="B4" i="32"/>
  <c r="G68" i="32"/>
  <c r="G66" i="32"/>
  <c r="E5" i="5"/>
  <c r="J10" i="5"/>
  <c r="A28" i="3"/>
  <c r="A29" i="3"/>
  <c r="A10" i="3"/>
  <c r="C67" i="33"/>
  <c r="B134" i="34"/>
  <c r="K74" i="34"/>
  <c r="H60" i="34"/>
  <c r="B117" i="34"/>
  <c r="D5" i="5"/>
  <c r="G7" i="5"/>
  <c r="I10" i="5"/>
  <c r="H4" i="5"/>
  <c r="G9" i="4"/>
  <c r="G9" i="33"/>
  <c r="G6" i="5"/>
  <c r="F4" i="5"/>
  <c r="A67" i="5"/>
  <c r="B42" i="5"/>
  <c r="B35" i="5"/>
  <c r="G10" i="5"/>
  <c r="I11" i="5"/>
  <c r="E71" i="34"/>
  <c r="H72" i="34"/>
  <c r="E73" i="34"/>
  <c r="F69" i="34"/>
  <c r="B133" i="34"/>
  <c r="J29" i="34"/>
  <c r="I55" i="34"/>
  <c r="D56" i="34"/>
  <c r="I6" i="5"/>
  <c r="I12" i="5"/>
  <c r="B102" i="32"/>
  <c r="B40" i="32"/>
  <c r="C69" i="33"/>
  <c r="G74" i="28"/>
  <c r="F72" i="29" a="1"/>
  <c r="F72" i="29"/>
  <c r="L69" i="33"/>
  <c r="I68" i="33"/>
  <c r="A418" i="30"/>
  <c r="A422" i="30"/>
  <c r="K15" i="6"/>
  <c r="G15" i="6"/>
  <c r="L47" i="34"/>
  <c r="C125" i="30"/>
  <c r="I47" i="6"/>
  <c r="D68" i="34"/>
  <c r="I51" i="34"/>
  <c r="F54" i="34"/>
  <c r="E52" i="34"/>
  <c r="E51" i="34"/>
  <c r="B124" i="34"/>
  <c r="E26" i="34"/>
  <c r="K30" i="34"/>
  <c r="C25" i="34"/>
  <c r="G34" i="34"/>
  <c r="H37" i="34"/>
  <c r="K56" i="34"/>
  <c r="K57" i="34"/>
  <c r="G51" i="34"/>
  <c r="L51" i="34"/>
  <c r="C50" i="34"/>
  <c r="J53" i="34"/>
  <c r="J38" i="34"/>
  <c r="H35" i="34"/>
  <c r="F32" i="34"/>
  <c r="E34" i="34"/>
  <c r="L38" i="34"/>
  <c r="H32" i="34"/>
  <c r="E35" i="34"/>
  <c r="E39" i="34"/>
  <c r="E32" i="34"/>
  <c r="I38" i="34"/>
  <c r="F38" i="34"/>
  <c r="D36" i="34"/>
  <c r="I37" i="34"/>
  <c r="D52" i="34"/>
  <c r="J34" i="34"/>
  <c r="F37" i="34"/>
  <c r="J33" i="34"/>
  <c r="F39" i="34"/>
  <c r="K33" i="34"/>
  <c r="K69" i="34"/>
  <c r="G29" i="6"/>
  <c r="G29" i="34"/>
  <c r="J64" i="34"/>
  <c r="E27" i="6"/>
  <c r="I69" i="34"/>
  <c r="I46" i="6"/>
  <c r="I46" i="34"/>
  <c r="G61" i="34"/>
  <c r="E68" i="34"/>
  <c r="L72" i="34"/>
  <c r="H75" i="34"/>
  <c r="C74" i="34"/>
  <c r="K70" i="34"/>
  <c r="D74" i="34"/>
  <c r="H69" i="34"/>
  <c r="H68" i="34"/>
  <c r="L65" i="34"/>
  <c r="L64" i="34"/>
  <c r="I65" i="34"/>
  <c r="B136" i="34"/>
  <c r="C24" i="6"/>
  <c r="C24" i="34"/>
  <c r="F29" i="6"/>
  <c r="F29" i="34"/>
  <c r="I26" i="6"/>
  <c r="C27" i="6"/>
  <c r="C27" i="34"/>
  <c r="J30" i="6"/>
  <c r="J27" i="6"/>
  <c r="J27" i="34"/>
  <c r="K25" i="6"/>
  <c r="F42" i="6"/>
  <c r="F42" i="34"/>
  <c r="H42" i="6"/>
  <c r="D41" i="6"/>
  <c r="D41" i="34"/>
  <c r="B129" i="30"/>
  <c r="A149" i="6"/>
  <c r="A98" i="6"/>
  <c r="G33" i="34"/>
  <c r="G54" i="6"/>
  <c r="A136" i="6"/>
  <c r="A186" i="6"/>
  <c r="A175" i="30"/>
  <c r="A179" i="30"/>
  <c r="A186" i="30"/>
  <c r="A175" i="34"/>
  <c r="A416" i="6"/>
  <c r="A418" i="6"/>
  <c r="A420" i="6"/>
  <c r="A422" i="6"/>
  <c r="A417" i="30"/>
  <c r="A419" i="30"/>
  <c r="A421" i="30"/>
  <c r="A416" i="34"/>
  <c r="A418" i="34"/>
  <c r="A420" i="34"/>
  <c r="A422" i="34"/>
  <c r="A184" i="6"/>
  <c r="A188" i="6"/>
  <c r="A173" i="30"/>
  <c r="A177" i="30"/>
  <c r="A184" i="30"/>
  <c r="A188" i="30"/>
  <c r="A173" i="34"/>
  <c r="A177" i="34"/>
  <c r="A417" i="6"/>
  <c r="A419" i="6"/>
  <c r="A421" i="6"/>
  <c r="A417" i="34"/>
  <c r="A419" i="34"/>
  <c r="A421" i="34"/>
  <c r="A179" i="34"/>
  <c r="A183" i="34"/>
  <c r="A185" i="34"/>
  <c r="A187" i="34"/>
  <c r="A189" i="34"/>
  <c r="A174" i="34"/>
  <c r="A176" i="34"/>
  <c r="A178" i="34"/>
  <c r="A182" i="34"/>
  <c r="A184" i="34"/>
  <c r="A186" i="34"/>
  <c r="E65" i="34"/>
  <c r="J30" i="34"/>
  <c r="B114" i="34"/>
  <c r="C36" i="34"/>
  <c r="C35" i="34"/>
  <c r="D33" i="34"/>
  <c r="H39" i="34"/>
  <c r="K72" i="34"/>
  <c r="J65" i="34"/>
  <c r="B132" i="34"/>
  <c r="E75" i="34"/>
  <c r="J45" i="34"/>
  <c r="D59" i="34"/>
  <c r="F62" i="34"/>
  <c r="G70" i="34"/>
  <c r="D66" i="34"/>
  <c r="K59" i="34"/>
  <c r="K66" i="34"/>
  <c r="G57" i="34"/>
  <c r="E54" i="34"/>
  <c r="C51" i="34"/>
  <c r="F52" i="34"/>
  <c r="B128" i="34"/>
  <c r="A174" i="30"/>
  <c r="A176" i="30"/>
  <c r="A178" i="30"/>
  <c r="A183" i="30"/>
  <c r="A185" i="30"/>
  <c r="A187" i="30"/>
  <c r="A175" i="6"/>
  <c r="A179" i="6"/>
  <c r="J60" i="34"/>
  <c r="K41" i="6"/>
  <c r="K41" i="34"/>
  <c r="D46" i="6"/>
  <c r="D46" i="34"/>
  <c r="I45" i="6"/>
  <c r="I45" i="34"/>
  <c r="J59" i="34"/>
  <c r="J44" i="6"/>
  <c r="J44" i="34"/>
  <c r="J48" i="6"/>
  <c r="J48" i="34"/>
  <c r="E47" i="6"/>
  <c r="E47" i="34"/>
  <c r="H47" i="6"/>
  <c r="H47" i="34"/>
  <c r="F43" i="6"/>
  <c r="F43" i="34"/>
  <c r="C43" i="6"/>
  <c r="C43" i="34"/>
  <c r="F41" i="6"/>
  <c r="F41" i="34"/>
  <c r="K44" i="6"/>
  <c r="K44" i="34"/>
  <c r="G42" i="6"/>
  <c r="G42" i="34"/>
  <c r="D44" i="6"/>
  <c r="J42" i="6"/>
  <c r="J42" i="34"/>
  <c r="J43" i="6"/>
  <c r="J43" i="34"/>
  <c r="I44" i="6"/>
  <c r="I44" i="34"/>
  <c r="I42" i="6"/>
  <c r="I42" i="34"/>
  <c r="L48" i="6"/>
  <c r="L48" i="34"/>
  <c r="L42" i="6"/>
  <c r="L42" i="34"/>
  <c r="H43" i="6"/>
  <c r="H43" i="34"/>
  <c r="K46" i="6"/>
  <c r="L44" i="6"/>
  <c r="L44" i="34"/>
  <c r="D42" i="6"/>
  <c r="D42" i="34"/>
  <c r="E48" i="6"/>
  <c r="E48" i="34"/>
  <c r="F45" i="6"/>
  <c r="F45" i="34"/>
  <c r="I48" i="6"/>
  <c r="I48" i="34"/>
  <c r="C46" i="6"/>
  <c r="C46" i="34"/>
  <c r="A37" i="6"/>
  <c r="F28" i="34"/>
  <c r="E28" i="34"/>
  <c r="A39" i="6"/>
  <c r="G24" i="6"/>
  <c r="G24" i="34"/>
  <c r="K42" i="6"/>
  <c r="K42" i="34"/>
  <c r="D15" i="6"/>
  <c r="E15" i="6"/>
  <c r="C15" i="6"/>
  <c r="H24" i="6"/>
  <c r="H24" i="34"/>
  <c r="L24" i="6"/>
  <c r="F30" i="6"/>
  <c r="E23" i="6"/>
  <c r="E23" i="34"/>
  <c r="F26" i="6"/>
  <c r="F26" i="34"/>
  <c r="L30" i="6"/>
  <c r="L30" i="34"/>
  <c r="G25" i="6"/>
  <c r="G25" i="34"/>
  <c r="I28" i="6"/>
  <c r="I28" i="34"/>
  <c r="L28" i="6"/>
  <c r="L28" i="34"/>
  <c r="C28" i="6"/>
  <c r="C28" i="34"/>
  <c r="I23" i="6"/>
  <c r="I23" i="34"/>
  <c r="D24" i="6"/>
  <c r="D24" i="34"/>
  <c r="C29" i="6"/>
  <c r="C29" i="34"/>
  <c r="D28" i="6"/>
  <c r="D28" i="34"/>
  <c r="G28" i="6"/>
  <c r="G28" i="34"/>
  <c r="K43" i="6"/>
  <c r="K43" i="34"/>
  <c r="G48" i="6"/>
  <c r="G48" i="34"/>
  <c r="H41" i="6"/>
  <c r="L45" i="6"/>
  <c r="L45" i="34"/>
  <c r="K45" i="6"/>
  <c r="I72" i="34"/>
  <c r="A78" i="6"/>
  <c r="A100" i="6"/>
  <c r="A95" i="6"/>
  <c r="A97" i="6"/>
  <c r="A138" i="6"/>
  <c r="A84" i="6"/>
  <c r="B125" i="6"/>
  <c r="B125" i="34"/>
  <c r="B122" i="6"/>
  <c r="B122" i="34"/>
  <c r="A135" i="6"/>
  <c r="A173" i="6"/>
  <c r="A177" i="6"/>
  <c r="A183" i="6"/>
  <c r="A185" i="6"/>
  <c r="A187" i="6"/>
  <c r="I26" i="34"/>
  <c r="E59" i="34"/>
  <c r="H41" i="34"/>
  <c r="G43" i="6"/>
  <c r="G43" i="34"/>
  <c r="A34" i="6"/>
  <c r="G45" i="6"/>
  <c r="G45" i="34"/>
  <c r="F44" i="6"/>
  <c r="F44" i="34"/>
  <c r="H29" i="6"/>
  <c r="H29" i="34"/>
  <c r="D47" i="6"/>
  <c r="D47" i="34"/>
  <c r="H27" i="6"/>
  <c r="H27" i="34"/>
  <c r="J47" i="6"/>
  <c r="J47" i="34"/>
  <c r="F15" i="6"/>
  <c r="F25" i="6"/>
  <c r="F25" i="34"/>
  <c r="H28" i="6"/>
  <c r="H28" i="34"/>
  <c r="G41" i="6"/>
  <c r="G41" i="34"/>
  <c r="L41" i="6"/>
  <c r="L41" i="34"/>
  <c r="E42" i="6"/>
  <c r="E42" i="34"/>
  <c r="J15" i="6"/>
  <c r="A33" i="6"/>
  <c r="L15" i="6"/>
  <c r="H15" i="6"/>
  <c r="I15" i="6"/>
  <c r="E29" i="6"/>
  <c r="E29" i="34"/>
  <c r="H23" i="6"/>
  <c r="H23" i="34"/>
  <c r="G30" i="6"/>
  <c r="G30" i="34"/>
  <c r="I24" i="6"/>
  <c r="I24" i="34"/>
  <c r="L23" i="6"/>
  <c r="L23" i="34"/>
  <c r="J25" i="6"/>
  <c r="J25" i="34"/>
  <c r="I29" i="6"/>
  <c r="I29" i="34"/>
  <c r="K26" i="6"/>
  <c r="K26" i="34"/>
  <c r="L26" i="6"/>
  <c r="L26" i="34"/>
  <c r="K29" i="6"/>
  <c r="K29" i="34"/>
  <c r="G23" i="6"/>
  <c r="K28" i="6"/>
  <c r="K28" i="34"/>
  <c r="K23" i="6"/>
  <c r="K23" i="34"/>
  <c r="E30" i="6"/>
  <c r="E30" i="34"/>
  <c r="J28" i="6"/>
  <c r="J28" i="34"/>
  <c r="D30" i="6"/>
  <c r="D30" i="34"/>
  <c r="F24" i="6"/>
  <c r="F24" i="34"/>
  <c r="K24" i="6"/>
  <c r="K24" i="34"/>
  <c r="C30" i="6"/>
  <c r="C30" i="34"/>
  <c r="C26" i="6"/>
  <c r="C26" i="34"/>
  <c r="H30" i="6"/>
  <c r="H30" i="34"/>
  <c r="L27" i="6"/>
  <c r="L27" i="34"/>
  <c r="I30" i="6"/>
  <c r="I30" i="34"/>
  <c r="G27" i="6"/>
  <c r="G27" i="34"/>
  <c r="E24" i="6"/>
  <c r="E24" i="34"/>
  <c r="L25" i="6"/>
  <c r="L25" i="34"/>
  <c r="F23" i="6"/>
  <c r="F23" i="34"/>
  <c r="D26" i="6"/>
  <c r="D26" i="34"/>
  <c r="G47" i="6"/>
  <c r="F46" i="6"/>
  <c r="F46" i="34"/>
  <c r="E45" i="6"/>
  <c r="J46" i="6"/>
  <c r="J46" i="34"/>
  <c r="C45" i="6"/>
  <c r="C45" i="34"/>
  <c r="E43" i="6"/>
  <c r="E43" i="34"/>
  <c r="I41" i="6"/>
  <c r="I41" i="34"/>
  <c r="H44" i="6"/>
  <c r="H44" i="34"/>
  <c r="C44" i="6"/>
  <c r="C44" i="34"/>
  <c r="K47" i="6"/>
  <c r="K47" i="34"/>
  <c r="H70" i="34"/>
  <c r="G69" i="34"/>
  <c r="I68" i="34"/>
  <c r="I62" i="34"/>
  <c r="B139" i="34"/>
  <c r="B112" i="34"/>
  <c r="D63" i="34"/>
  <c r="H53" i="34"/>
  <c r="G36" i="34"/>
  <c r="F30" i="34"/>
  <c r="L24" i="34"/>
  <c r="C39" i="34"/>
  <c r="G54" i="34"/>
  <c r="A139" i="6"/>
  <c r="A102" i="6"/>
  <c r="A195" i="6"/>
  <c r="G23" i="34"/>
  <c r="A174" i="6"/>
  <c r="A176" i="6"/>
  <c r="A178" i="6"/>
  <c r="I43" i="34"/>
  <c r="D4" i="33"/>
  <c r="B74" i="28"/>
  <c r="J26" i="34"/>
  <c r="E61" i="34"/>
  <c r="H64" i="34"/>
  <c r="J73" i="34"/>
  <c r="L69" i="34"/>
  <c r="L68" i="34"/>
  <c r="F75" i="34"/>
  <c r="B105" i="28"/>
  <c r="H105" i="28"/>
  <c r="I68" i="32"/>
  <c r="C69" i="32"/>
  <c r="I71" i="34"/>
  <c r="G63" i="34"/>
  <c r="H62" i="34"/>
  <c r="K52" i="34"/>
  <c r="G50" i="34"/>
  <c r="C54" i="34"/>
  <c r="F51" i="34"/>
  <c r="G42" i="32"/>
  <c r="F13" i="33"/>
  <c r="E56" i="1"/>
  <c r="B62" i="1"/>
  <c r="I32" i="34"/>
  <c r="H34" i="34"/>
  <c r="L36" i="34"/>
  <c r="L34" i="34"/>
  <c r="F50" i="34"/>
  <c r="C34" i="34"/>
  <c r="H33" i="34"/>
  <c r="F46" i="39"/>
  <c r="K46" i="39"/>
  <c r="K37" i="5"/>
  <c r="K37" i="32"/>
  <c r="H37" i="5"/>
  <c r="G38" i="5"/>
  <c r="G38" i="32"/>
  <c r="I3" i="5"/>
  <c r="F38" i="5"/>
  <c r="H35" i="5"/>
  <c r="H35" i="32"/>
  <c r="B9" i="32"/>
  <c r="E42" i="5"/>
  <c r="E66" i="32"/>
  <c r="G71" i="32"/>
  <c r="H36" i="5"/>
  <c r="H36" i="32"/>
  <c r="I101" i="5"/>
  <c r="I101" i="32"/>
  <c r="J98" i="5"/>
  <c r="J98" i="32"/>
  <c r="E103" i="5"/>
  <c r="E103" i="32"/>
  <c r="I103" i="5"/>
  <c r="I103" i="32"/>
  <c r="J100" i="5"/>
  <c r="J100" i="32"/>
  <c r="E102" i="5"/>
  <c r="E102" i="32"/>
  <c r="D101" i="5"/>
  <c r="D101" i="32"/>
  <c r="I102" i="5"/>
  <c r="I102" i="32"/>
  <c r="C104" i="5"/>
  <c r="C104" i="32"/>
  <c r="L101" i="5"/>
  <c r="L101" i="32"/>
  <c r="H42" i="5"/>
  <c r="E39" i="5"/>
  <c r="E39" i="32"/>
  <c r="D35" i="5"/>
  <c r="I42" i="5"/>
  <c r="H40" i="5"/>
  <c r="L38" i="5"/>
  <c r="L38" i="32"/>
  <c r="J40" i="5"/>
  <c r="H38" i="5"/>
  <c r="H38" i="32"/>
  <c r="F3" i="5"/>
  <c r="K3" i="5"/>
  <c r="L3" i="5"/>
  <c r="A37" i="3"/>
  <c r="A34" i="3"/>
  <c r="J13" i="33"/>
  <c r="G67" i="32"/>
  <c r="I39" i="5"/>
  <c r="I39" i="32"/>
  <c r="E40" i="5"/>
  <c r="H99" i="5"/>
  <c r="H99" i="32"/>
  <c r="F102" i="5"/>
  <c r="F102" i="32"/>
  <c r="G97" i="5"/>
  <c r="G97" i="32"/>
  <c r="A19" i="3"/>
  <c r="G68" i="34"/>
  <c r="L73" i="34"/>
  <c r="J4" i="3"/>
  <c r="A18" i="3"/>
  <c r="A32" i="3"/>
  <c r="B35" i="32"/>
  <c r="B51" i="2"/>
  <c r="A15" i="3"/>
  <c r="B59" i="1"/>
  <c r="B61" i="1"/>
  <c r="G74" i="34"/>
  <c r="F73" i="34"/>
  <c r="J75" i="34"/>
  <c r="E74" i="34"/>
  <c r="J72" i="34"/>
  <c r="I25" i="34"/>
  <c r="F4" i="3"/>
  <c r="G36" i="5"/>
  <c r="G36" i="32"/>
  <c r="G103" i="5"/>
  <c r="G103" i="32"/>
  <c r="K45" i="34"/>
  <c r="D38" i="5"/>
  <c r="K40" i="5"/>
  <c r="K40" i="32"/>
  <c r="I40" i="5"/>
  <c r="D75" i="34"/>
  <c r="C75" i="34"/>
  <c r="J50" i="34"/>
  <c r="G52" i="34"/>
  <c r="C97" i="4"/>
  <c r="C110" i="4"/>
  <c r="F73" i="5"/>
  <c r="D68" i="5"/>
  <c r="D68" i="32"/>
  <c r="K68" i="5"/>
  <c r="D66" i="5"/>
  <c r="I72" i="5"/>
  <c r="I72" i="32"/>
  <c r="I71" i="5"/>
  <c r="I71" i="32"/>
  <c r="D71" i="5"/>
  <c r="D71" i="32"/>
  <c r="I66" i="5"/>
  <c r="I66" i="32"/>
  <c r="C73" i="5"/>
  <c r="J68" i="5"/>
  <c r="J74" i="5"/>
  <c r="D73" i="5"/>
  <c r="L69" i="5"/>
  <c r="L69" i="32"/>
  <c r="I67" i="5"/>
  <c r="I67" i="32"/>
  <c r="L66" i="5"/>
  <c r="L66" i="32"/>
  <c r="I57" i="1"/>
  <c r="J57" i="1"/>
  <c r="E57" i="1"/>
  <c r="B62" i="2"/>
  <c r="B63" i="2"/>
  <c r="B60" i="2"/>
  <c r="B61" i="2"/>
  <c r="A8" i="3"/>
  <c r="A11" i="3"/>
  <c r="A24" i="3"/>
  <c r="A23" i="3"/>
  <c r="A30" i="3"/>
  <c r="A25" i="3"/>
  <c r="A9" i="5"/>
  <c r="A6" i="5"/>
  <c r="A4" i="5"/>
  <c r="A5" i="5"/>
  <c r="A10" i="5"/>
  <c r="K11" i="5"/>
  <c r="H10" i="5"/>
  <c r="D11" i="5"/>
  <c r="F9" i="5"/>
  <c r="D6" i="5"/>
  <c r="G8" i="5"/>
  <c r="J4" i="5"/>
  <c r="J7" i="5"/>
  <c r="E10" i="5"/>
  <c r="K9" i="5"/>
  <c r="J6" i="5"/>
  <c r="G4" i="5"/>
  <c r="H11" i="5"/>
  <c r="D10" i="5"/>
  <c r="G11" i="5"/>
  <c r="J9" i="5"/>
  <c r="F5" i="5"/>
  <c r="J5" i="5"/>
  <c r="B36" i="5"/>
  <c r="B38" i="5"/>
  <c r="B38" i="32"/>
  <c r="B39" i="5"/>
  <c r="B39" i="32"/>
  <c r="B41" i="5"/>
  <c r="B41" i="32"/>
  <c r="A68" i="5"/>
  <c r="A66" i="5"/>
  <c r="A71" i="5"/>
  <c r="D5" i="29" a="1"/>
  <c r="D5" i="29"/>
  <c r="D5" i="33"/>
  <c r="D3" i="33"/>
  <c r="C110" i="30" a="1"/>
  <c r="B67" i="4"/>
  <c r="B66" i="4"/>
  <c r="B88" i="4"/>
  <c r="B84" i="4"/>
  <c r="B83" i="4"/>
  <c r="C107" i="4"/>
  <c r="C103" i="4"/>
  <c r="C105" i="4"/>
  <c r="C101" i="4"/>
  <c r="A35" i="5"/>
  <c r="A36" i="5"/>
  <c r="A38" i="5"/>
  <c r="A39" i="5"/>
  <c r="J41" i="5"/>
  <c r="J41" i="32"/>
  <c r="F42" i="5"/>
  <c r="L40" i="5"/>
  <c r="C36" i="5"/>
  <c r="C36" i="32"/>
  <c r="F40" i="5"/>
  <c r="C37" i="5"/>
  <c r="C37" i="32"/>
  <c r="E38" i="5"/>
  <c r="E38" i="32"/>
  <c r="I36" i="5"/>
  <c r="D41" i="5"/>
  <c r="D41" i="32"/>
  <c r="J35" i="5"/>
  <c r="J42" i="5"/>
  <c r="J42" i="32"/>
  <c r="J38" i="5"/>
  <c r="J38" i="32"/>
  <c r="H41" i="5"/>
  <c r="H43" i="5"/>
  <c r="C38" i="5"/>
  <c r="C38" i="32"/>
  <c r="L35" i="5"/>
  <c r="K41" i="5"/>
  <c r="E36" i="5"/>
  <c r="E36" i="32"/>
  <c r="K39" i="5"/>
  <c r="G41" i="5"/>
  <c r="I38" i="5"/>
  <c r="I38" i="32"/>
  <c r="L39" i="5"/>
  <c r="D39" i="5"/>
  <c r="C40" i="5"/>
  <c r="C40" i="32"/>
  <c r="I37" i="5"/>
  <c r="E35" i="5"/>
  <c r="A104" i="5"/>
  <c r="A100" i="5"/>
  <c r="F103" i="5"/>
  <c r="J101" i="5"/>
  <c r="J101" i="32"/>
  <c r="F100" i="5"/>
  <c r="G101" i="5"/>
  <c r="G101" i="32"/>
  <c r="L99" i="5"/>
  <c r="L99" i="32"/>
  <c r="L98" i="5"/>
  <c r="L98" i="32"/>
  <c r="C97" i="5"/>
  <c r="H102" i="5"/>
  <c r="H102" i="32"/>
  <c r="C102" i="5"/>
  <c r="C102" i="32"/>
  <c r="H103" i="5"/>
  <c r="H103" i="32"/>
  <c r="K100" i="5"/>
  <c r="K100" i="32"/>
  <c r="L104" i="5"/>
  <c r="L104" i="32"/>
  <c r="C99" i="5"/>
  <c r="C99" i="32"/>
  <c r="L97" i="5"/>
  <c r="K97" i="5"/>
  <c r="D100" i="5"/>
  <c r="D100" i="32"/>
  <c r="D97" i="5"/>
  <c r="D97" i="32"/>
  <c r="G99" i="5"/>
  <c r="H100" i="5"/>
  <c r="K104" i="5"/>
  <c r="K104" i="32"/>
  <c r="L103" i="5"/>
  <c r="L103" i="32"/>
  <c r="E104" i="5"/>
  <c r="E104" i="32"/>
  <c r="J103" i="5"/>
  <c r="J103" i="32"/>
  <c r="G102" i="5"/>
  <c r="G102" i="32"/>
  <c r="K98" i="5"/>
  <c r="K98" i="32"/>
  <c r="C100" i="5"/>
  <c r="C100" i="32"/>
  <c r="H101" i="5"/>
  <c r="H101" i="32"/>
  <c r="I97" i="5"/>
  <c r="J97" i="5"/>
  <c r="J97" i="32"/>
  <c r="C103" i="5"/>
  <c r="C103" i="32"/>
  <c r="C98" i="5"/>
  <c r="C98" i="32"/>
  <c r="J102" i="5"/>
  <c r="J102" i="32"/>
  <c r="D98" i="5"/>
  <c r="D98" i="32"/>
  <c r="H98" i="5"/>
  <c r="H74" i="5"/>
  <c r="G74" i="5"/>
  <c r="C121" i="30"/>
  <c r="C128" i="30"/>
  <c r="C126" i="30"/>
  <c r="F64" i="34"/>
  <c r="I27" i="34"/>
  <c r="E60" i="34"/>
  <c r="F9" i="33"/>
  <c r="B118" i="30"/>
  <c r="B10" i="32"/>
  <c r="D71" i="34"/>
  <c r="F71" i="34"/>
  <c r="B97" i="32"/>
  <c r="C119" i="4"/>
  <c r="J69" i="34"/>
  <c r="C71" i="34"/>
  <c r="J62" i="34"/>
  <c r="H59" i="34"/>
  <c r="J63" i="34"/>
  <c r="G47" i="34"/>
  <c r="H42" i="34"/>
  <c r="H48" i="6"/>
  <c r="K48" i="6"/>
  <c r="K48" i="34"/>
  <c r="C48" i="6"/>
  <c r="F47" i="6"/>
  <c r="F47" i="34"/>
  <c r="D45" i="6"/>
  <c r="D45" i="34"/>
  <c r="H55" i="34"/>
  <c r="H18" i="34"/>
  <c r="K17" i="34"/>
  <c r="E70" i="4"/>
  <c r="E70" i="33"/>
  <c r="M66" i="4"/>
  <c r="M66" i="33"/>
  <c r="H71" i="4"/>
  <c r="H71" i="33"/>
  <c r="F68" i="4"/>
  <c r="D65" i="4"/>
  <c r="D65" i="33"/>
  <c r="D67" i="4"/>
  <c r="E64" i="4"/>
  <c r="E64" i="33"/>
  <c r="M68" i="4"/>
  <c r="M71" i="4"/>
  <c r="L70" i="4"/>
  <c r="L70" i="33"/>
  <c r="H64" i="4"/>
  <c r="E71" i="4"/>
  <c r="D70" i="4"/>
  <c r="D70" i="33"/>
  <c r="J71" i="4"/>
  <c r="J71" i="33"/>
  <c r="G66" i="4"/>
  <c r="G66" i="33"/>
  <c r="K70" i="4"/>
  <c r="I67" i="4"/>
  <c r="I72" i="4" a="1"/>
  <c r="I72" i="4"/>
  <c r="G64" i="4"/>
  <c r="G64" i="33"/>
  <c r="L68" i="4"/>
  <c r="J65" i="4"/>
  <c r="J65" i="33"/>
  <c r="L18" i="34"/>
  <c r="E18" i="34"/>
  <c r="K18" i="34"/>
  <c r="D48" i="6"/>
  <c r="D48" i="34"/>
  <c r="A38" i="6"/>
  <c r="C114" i="30"/>
  <c r="C114" i="34"/>
  <c r="I13" i="33"/>
  <c r="K25" i="34"/>
  <c r="A165" i="37"/>
  <c r="A107" i="37"/>
  <c r="A103" i="37"/>
  <c r="A87" i="37"/>
  <c r="A83" i="37"/>
  <c r="A67" i="37"/>
  <c r="A63" i="37"/>
  <c r="A172" i="37"/>
  <c r="A146" i="37"/>
  <c r="A108" i="37"/>
  <c r="A104" i="37"/>
  <c r="A86" i="37"/>
  <c r="A82" i="37"/>
  <c r="A68" i="37"/>
  <c r="A62" i="37"/>
  <c r="A29" i="37"/>
  <c r="C124" i="30"/>
  <c r="C127" i="30"/>
  <c r="C129" i="30"/>
  <c r="C48" i="34"/>
  <c r="E27" i="34"/>
  <c r="B113" i="34"/>
  <c r="H63" i="34"/>
  <c r="E72" i="34"/>
  <c r="G66" i="34"/>
  <c r="L66" i="34"/>
  <c r="I36" i="32"/>
  <c r="E66" i="34"/>
  <c r="C37" i="34"/>
  <c r="D67" i="33"/>
  <c r="M68" i="33"/>
  <c r="H46" i="34"/>
  <c r="A135" i="8"/>
  <c r="A127" i="8"/>
  <c r="C53" i="4"/>
  <c r="D39" i="4"/>
  <c r="D29" i="29"/>
  <c r="C39" i="4"/>
  <c r="C29" i="29"/>
  <c r="C29" i="4"/>
  <c r="C39" i="29"/>
  <c r="F74" i="5"/>
  <c r="B8" i="32"/>
  <c r="F103" i="32"/>
  <c r="D9" i="33"/>
  <c r="B18" i="7" a="1"/>
  <c r="L70" i="5"/>
  <c r="A427" i="30"/>
  <c r="A383" i="30"/>
  <c r="D25" i="30"/>
  <c r="D25" i="34"/>
  <c r="K60" i="30"/>
  <c r="K60" i="34"/>
  <c r="H48" i="30"/>
  <c r="H48" i="34"/>
  <c r="A671" i="8"/>
  <c r="A66" i="37"/>
  <c r="A39" i="37"/>
  <c r="C110" i="30"/>
  <c r="C110" i="34"/>
  <c r="C111" i="30"/>
  <c r="C111" i="34"/>
  <c r="M13" i="33"/>
  <c r="K13" i="33"/>
  <c r="H64" i="33"/>
  <c r="D72" i="4" a="1"/>
  <c r="D72" i="4"/>
  <c r="D18" i="34"/>
  <c r="B18" i="35" a="1"/>
  <c r="E18" i="35"/>
  <c r="B44" i="8" a="1"/>
  <c r="K97" i="32"/>
  <c r="K43" i="5"/>
  <c r="J35" i="32"/>
  <c r="J43" i="5"/>
  <c r="C43" i="5"/>
  <c r="C127" i="34"/>
  <c r="C122" i="34"/>
  <c r="C125" i="34"/>
  <c r="B36" i="32"/>
  <c r="G12" i="5"/>
  <c r="J68" i="32"/>
  <c r="I74" i="5"/>
  <c r="D66" i="32"/>
  <c r="F68" i="33"/>
  <c r="F72" i="4" a="1"/>
  <c r="F72" i="4"/>
  <c r="F72" i="33"/>
  <c r="H98" i="32"/>
  <c r="I97" i="32"/>
  <c r="G99" i="32"/>
  <c r="L97" i="32"/>
  <c r="E35" i="32"/>
  <c r="E43" i="5"/>
  <c r="L43" i="5"/>
  <c r="F40" i="32"/>
  <c r="F43" i="5"/>
  <c r="K12" i="5"/>
  <c r="J12" i="5"/>
  <c r="D12" i="5"/>
  <c r="H12" i="5"/>
  <c r="C73" i="32"/>
  <c r="C74" i="5"/>
  <c r="K74" i="5"/>
  <c r="K68" i="32"/>
  <c r="L68" i="33"/>
  <c r="F18" i="7"/>
  <c r="H18" i="7"/>
  <c r="E18" i="7"/>
  <c r="G18" i="7"/>
  <c r="B18" i="7"/>
  <c r="J18" i="7"/>
  <c r="D18" i="7"/>
  <c r="C18" i="7"/>
  <c r="I18" i="7"/>
  <c r="K18" i="7"/>
  <c r="L74" i="5"/>
  <c r="C29" i="33"/>
  <c r="C39" i="33"/>
  <c r="G18" i="35"/>
  <c r="G18" i="37"/>
  <c r="B18" i="35"/>
  <c r="H18" i="35"/>
  <c r="H18" i="37"/>
  <c r="D18" i="35"/>
  <c r="D18" i="37"/>
  <c r="I18" i="35"/>
  <c r="E44" i="8"/>
  <c r="I44" i="8"/>
  <c r="H44" i="8"/>
  <c r="H44" i="39"/>
  <c r="D44" i="8"/>
  <c r="J44" i="8"/>
  <c r="K44" i="8"/>
  <c r="F44" i="8"/>
  <c r="C44" i="8"/>
  <c r="G44" i="8"/>
  <c r="B44" i="8"/>
  <c r="I44" i="39"/>
  <c r="J44" i="39"/>
  <c r="I18" i="37"/>
  <c r="B18" i="37"/>
  <c r="F44" i="39"/>
  <c r="B44" i="39"/>
  <c r="C44" i="39"/>
  <c r="K44" i="39"/>
  <c r="D44" i="39"/>
  <c r="K18" i="35"/>
  <c r="K18" i="37"/>
  <c r="F18" i="35"/>
  <c r="F18" i="37"/>
  <c r="C18" i="35"/>
  <c r="C18" i="37"/>
  <c r="J18" i="35"/>
  <c r="J18" i="37"/>
  <c r="B43" i="5"/>
  <c r="F12" i="5"/>
  <c r="D74" i="5"/>
  <c r="H61" i="34"/>
  <c r="F72" i="34"/>
  <c r="C41" i="34"/>
  <c r="E44" i="39"/>
  <c r="C61" i="34"/>
  <c r="H46" i="39"/>
  <c r="E46" i="39"/>
  <c r="D72" i="34"/>
  <c r="I73" i="34"/>
  <c r="J105" i="28"/>
  <c r="E99" i="32"/>
  <c r="A22" i="8"/>
  <c r="A193" i="8"/>
  <c r="A177" i="8"/>
  <c r="A209" i="8"/>
  <c r="A208" i="8"/>
  <c r="I47" i="34"/>
  <c r="B42" i="32"/>
  <c r="G18" i="34"/>
  <c r="K36" i="34"/>
  <c r="J36" i="34"/>
  <c r="I61" i="34"/>
  <c r="F55" i="34"/>
  <c r="D54" i="34"/>
  <c r="D23" i="34"/>
  <c r="F66" i="33"/>
  <c r="D43" i="34"/>
  <c r="E70" i="34"/>
  <c r="E53" i="34"/>
  <c r="C47" i="34"/>
  <c r="H17" i="34"/>
  <c r="G69" i="33"/>
  <c r="E66" i="33"/>
  <c r="J70" i="33"/>
  <c r="H67" i="33"/>
  <c r="F64" i="33"/>
  <c r="L71" i="33"/>
  <c r="D71" i="33"/>
  <c r="B100" i="32"/>
  <c r="B105" i="32"/>
  <c r="A103" i="5"/>
  <c r="A97" i="5"/>
  <c r="A101" i="5"/>
  <c r="C101" i="5"/>
  <c r="C101" i="32"/>
  <c r="K99" i="5"/>
  <c r="K99" i="32"/>
  <c r="F98" i="5"/>
  <c r="F98" i="32"/>
  <c r="G104" i="5"/>
  <c r="E98" i="5"/>
  <c r="K102" i="5"/>
  <c r="K102" i="32"/>
  <c r="B47" i="2"/>
  <c r="K101" i="5"/>
  <c r="K101" i="32"/>
  <c r="K103" i="5"/>
  <c r="K103" i="32"/>
  <c r="K105" i="32"/>
  <c r="J56" i="1"/>
  <c r="E73" i="32"/>
  <c r="F69" i="32"/>
  <c r="E70" i="32"/>
  <c r="G69" i="32"/>
  <c r="G72" i="32"/>
  <c r="G74" i="32"/>
  <c r="F104" i="5"/>
  <c r="F104" i="32"/>
  <c r="H104" i="5"/>
  <c r="H104" i="32"/>
  <c r="H100" i="32"/>
  <c r="H105" i="32"/>
  <c r="K42" i="32"/>
  <c r="L36" i="32"/>
  <c r="E71" i="32"/>
  <c r="B49" i="2"/>
  <c r="K69" i="32"/>
  <c r="D72" i="32"/>
  <c r="K54" i="34"/>
  <c r="L55" i="34"/>
  <c r="I53" i="34"/>
  <c r="B126" i="34"/>
  <c r="B65" i="1"/>
  <c r="D56" i="1"/>
  <c r="D99" i="5"/>
  <c r="D99" i="32"/>
  <c r="D104" i="5"/>
  <c r="D104" i="32"/>
  <c r="D105" i="32"/>
  <c r="L56" i="1"/>
  <c r="G56" i="34"/>
  <c r="F57" i="34"/>
  <c r="J35" i="34"/>
  <c r="L32" i="34"/>
  <c r="D32" i="34"/>
  <c r="I73" i="32"/>
  <c r="G60" i="34"/>
  <c r="E100" i="5"/>
  <c r="E100" i="32"/>
  <c r="F97" i="5"/>
  <c r="F97" i="32"/>
  <c r="I99" i="5"/>
  <c r="I99" i="32"/>
  <c r="L100" i="5"/>
  <c r="E41" i="32"/>
  <c r="B5" i="32"/>
  <c r="B12" i="32"/>
  <c r="A11" i="5"/>
  <c r="L102" i="5"/>
  <c r="L102" i="32"/>
  <c r="B64" i="1"/>
  <c r="J67" i="32"/>
  <c r="B89" i="4"/>
  <c r="C104" i="4"/>
  <c r="B60" i="1"/>
  <c r="I75" i="34"/>
  <c r="G72" i="34"/>
  <c r="E69" i="34"/>
  <c r="C42" i="6"/>
  <c r="C42" i="34"/>
  <c r="J99" i="5"/>
  <c r="H73" i="34"/>
  <c r="K71" i="4"/>
  <c r="K71" i="33"/>
  <c r="G65" i="4"/>
  <c r="J66" i="4"/>
  <c r="A54" i="3"/>
  <c r="K65" i="4"/>
  <c r="K65" i="33"/>
  <c r="J67" i="4"/>
  <c r="J67" i="33"/>
  <c r="K74" i="28"/>
  <c r="L72" i="29" a="1"/>
  <c r="L72" i="29"/>
  <c r="F67" i="33"/>
  <c r="E69" i="4"/>
  <c r="H70" i="4"/>
  <c r="H70" i="33"/>
  <c r="A68" i="3"/>
  <c r="L67" i="4"/>
  <c r="B105" i="5"/>
  <c r="D10" i="29" a="1"/>
  <c r="C105" i="28"/>
  <c r="C97" i="32"/>
  <c r="C105" i="32"/>
  <c r="C66" i="32"/>
  <c r="C74" i="32"/>
  <c r="C74" i="28"/>
  <c r="I74" i="32"/>
  <c r="C35" i="32"/>
  <c r="C41" i="28"/>
  <c r="C41" i="32"/>
  <c r="C43" i="32"/>
  <c r="F63" i="34"/>
  <c r="K61" i="34"/>
  <c r="L71" i="32"/>
  <c r="D60" i="34"/>
  <c r="D69" i="34"/>
  <c r="K75" i="34"/>
  <c r="L75" i="34"/>
  <c r="J66" i="34"/>
  <c r="K65" i="34"/>
  <c r="C64" i="34"/>
  <c r="G39" i="28"/>
  <c r="K39" i="28"/>
  <c r="K39" i="32"/>
  <c r="E40" i="28"/>
  <c r="I40" i="28"/>
  <c r="G41" i="28"/>
  <c r="G41" i="32"/>
  <c r="G39" i="32"/>
  <c r="G43" i="32"/>
  <c r="K41" i="28"/>
  <c r="K41" i="32"/>
  <c r="K43" i="32"/>
  <c r="E42" i="28"/>
  <c r="E42" i="32"/>
  <c r="E40" i="32"/>
  <c r="E43" i="32"/>
  <c r="I42" i="28"/>
  <c r="I42" i="32"/>
  <c r="I37" i="32"/>
  <c r="I40" i="32"/>
  <c r="I43" i="32"/>
  <c r="D35" i="28"/>
  <c r="L35" i="28"/>
  <c r="L35" i="32"/>
  <c r="J36" i="28"/>
  <c r="H37" i="28"/>
  <c r="F38" i="28"/>
  <c r="F38" i="32"/>
  <c r="D39" i="28"/>
  <c r="D39" i="32"/>
  <c r="L39" i="28"/>
  <c r="L39" i="32"/>
  <c r="J40" i="28"/>
  <c r="J40" i="32"/>
  <c r="H41" i="28"/>
  <c r="H41" i="32"/>
  <c r="F42" i="28"/>
  <c r="F42" i="32"/>
  <c r="D36" i="28"/>
  <c r="D36" i="32"/>
  <c r="J37" i="28"/>
  <c r="J37" i="32"/>
  <c r="F39" i="28"/>
  <c r="F39" i="32"/>
  <c r="L40" i="28"/>
  <c r="L40" i="32"/>
  <c r="H42" i="28"/>
  <c r="H42" i="32"/>
  <c r="F37" i="28"/>
  <c r="F43" i="28"/>
  <c r="H40" i="28"/>
  <c r="H40" i="32"/>
  <c r="H37" i="32"/>
  <c r="H43" i="32"/>
  <c r="J66" i="28"/>
  <c r="J66" i="32"/>
  <c r="J71" i="28"/>
  <c r="J71" i="32"/>
  <c r="J74" i="32"/>
  <c r="L67" i="28"/>
  <c r="H69" i="28"/>
  <c r="H69" i="32"/>
  <c r="L70" i="28"/>
  <c r="L70" i="32"/>
  <c r="H72" i="28"/>
  <c r="H72" i="32"/>
  <c r="F73" i="28"/>
  <c r="J39" i="28"/>
  <c r="J39" i="32"/>
  <c r="J36" i="32"/>
  <c r="J43" i="32"/>
  <c r="H66" i="28"/>
  <c r="D69" i="28"/>
  <c r="H71" i="28"/>
  <c r="H71" i="32"/>
  <c r="H66" i="32"/>
  <c r="H74" i="32"/>
  <c r="D73" i="28"/>
  <c r="D73" i="32"/>
  <c r="D38" i="28"/>
  <c r="D38" i="32"/>
  <c r="M71" i="33"/>
  <c r="M72" i="4" a="1"/>
  <c r="M72" i="4"/>
  <c r="C113" i="30"/>
  <c r="C113" i="34"/>
  <c r="C112" i="30"/>
  <c r="C117" i="30"/>
  <c r="C117" i="34"/>
  <c r="C115" i="30"/>
  <c r="C115" i="34"/>
  <c r="C116" i="30"/>
  <c r="C116" i="34"/>
  <c r="G44" i="39"/>
  <c r="H105" i="5"/>
  <c r="F100" i="32"/>
  <c r="F105" i="32"/>
  <c r="F105" i="5"/>
  <c r="I43" i="5"/>
  <c r="C128" i="34"/>
  <c r="C123" i="34"/>
  <c r="C126" i="34"/>
  <c r="C124" i="34"/>
  <c r="D39" i="29"/>
  <c r="D39" i="33"/>
  <c r="D53" i="4"/>
  <c r="D29" i="4"/>
  <c r="D29" i="33"/>
  <c r="D53" i="29"/>
  <c r="D6" i="33"/>
  <c r="C134" i="4"/>
  <c r="C53" i="29"/>
  <c r="C53" i="33"/>
  <c r="C134" i="29"/>
  <c r="B68" i="32"/>
  <c r="B74" i="32"/>
  <c r="B74" i="5"/>
  <c r="D32" i="29" a="1"/>
  <c r="D56" i="29" a="1"/>
  <c r="D56" i="4" a="1"/>
  <c r="D42" i="29" a="1"/>
  <c r="B116" i="34"/>
  <c r="G43" i="5"/>
  <c r="K105" i="5"/>
  <c r="C105" i="5"/>
  <c r="D43" i="5"/>
  <c r="B43" i="32"/>
  <c r="B12" i="28"/>
  <c r="B43" i="28"/>
  <c r="I66" i="33"/>
  <c r="E12" i="5"/>
  <c r="E45" i="34"/>
  <c r="I104" i="32"/>
  <c r="K67" i="32"/>
  <c r="K74" i="32"/>
  <c r="C65" i="34"/>
  <c r="G73" i="34"/>
  <c r="D73" i="34"/>
  <c r="E64" i="34"/>
  <c r="J71" i="34"/>
  <c r="C43" i="28"/>
  <c r="J74" i="28"/>
  <c r="I98" i="5"/>
  <c r="K37" i="34"/>
  <c r="D70" i="34"/>
  <c r="A259" i="8"/>
  <c r="A272" i="8"/>
  <c r="A292" i="8"/>
  <c r="A293" i="8"/>
  <c r="A340" i="8"/>
  <c r="A679" i="8"/>
  <c r="A166" i="37"/>
  <c r="A47" i="37"/>
  <c r="C59" i="34"/>
  <c r="C64" i="33"/>
  <c r="C72" i="4" a="1"/>
  <c r="C72" i="4"/>
  <c r="C72" i="29" a="1"/>
  <c r="C72" i="29"/>
  <c r="C72" i="33"/>
  <c r="C71" i="33"/>
  <c r="D105" i="5"/>
  <c r="B129" i="6"/>
  <c r="C16" i="6" a="1"/>
  <c r="B42" i="8" a="1"/>
  <c r="B16" i="35" a="1"/>
  <c r="B16" i="7" a="1"/>
  <c r="C16" i="30" a="1"/>
  <c r="A301" i="30"/>
  <c r="G64" i="30"/>
  <c r="G64" i="34"/>
  <c r="C54" i="29"/>
  <c r="C54" i="4"/>
  <c r="C54" i="33"/>
  <c r="E72" i="4" a="1"/>
  <c r="E72" i="4"/>
  <c r="G65" i="33"/>
  <c r="G72" i="4" a="1"/>
  <c r="G72" i="4"/>
  <c r="G72" i="33"/>
  <c r="L100" i="32"/>
  <c r="L105" i="32"/>
  <c r="L105" i="5"/>
  <c r="G104" i="32"/>
  <c r="G105" i="32"/>
  <c r="G105" i="5"/>
  <c r="E74" i="32"/>
  <c r="H72" i="4" a="1"/>
  <c r="H72" i="4"/>
  <c r="H72" i="33"/>
  <c r="E10" i="29"/>
  <c r="G10" i="29"/>
  <c r="D10" i="29"/>
  <c r="F10" i="29"/>
  <c r="L67" i="33"/>
  <c r="L72" i="4" a="1"/>
  <c r="L72" i="4"/>
  <c r="L72" i="33"/>
  <c r="J66" i="33"/>
  <c r="J72" i="4" a="1"/>
  <c r="J72" i="4"/>
  <c r="J72" i="33"/>
  <c r="J99" i="32"/>
  <c r="J105" i="32"/>
  <c r="J105" i="5"/>
  <c r="D42" i="4" a="1"/>
  <c r="H13" i="33"/>
  <c r="D32" i="4" a="1"/>
  <c r="E98" i="32"/>
  <c r="E105" i="32"/>
  <c r="E105" i="5"/>
  <c r="C30" i="29"/>
  <c r="C30" i="4"/>
  <c r="C30" i="33"/>
  <c r="K72" i="4" a="1"/>
  <c r="K72" i="4"/>
  <c r="L43" i="32"/>
  <c r="F73" i="32"/>
  <c r="F74" i="32"/>
  <c r="F74" i="28"/>
  <c r="D35" i="32"/>
  <c r="D43" i="32"/>
  <c r="D43" i="28"/>
  <c r="E43" i="28"/>
  <c r="G43" i="28"/>
  <c r="H74" i="28"/>
  <c r="J43" i="28"/>
  <c r="L67" i="32"/>
  <c r="L74" i="32"/>
  <c r="L74" i="28"/>
  <c r="H43" i="28"/>
  <c r="I43" i="28"/>
  <c r="D74" i="28"/>
  <c r="L43" i="28"/>
  <c r="K43" i="28"/>
  <c r="F37" i="32"/>
  <c r="F43" i="32"/>
  <c r="D69" i="32"/>
  <c r="D74" i="32"/>
  <c r="I98" i="32"/>
  <c r="I105" i="32"/>
  <c r="I105" i="5"/>
  <c r="B118" i="34"/>
  <c r="C119" i="30"/>
  <c r="I56" i="4"/>
  <c r="J56" i="4"/>
  <c r="D56" i="4"/>
  <c r="H56" i="4"/>
  <c r="G56" i="4"/>
  <c r="F56" i="4"/>
  <c r="E56" i="4"/>
  <c r="M56" i="4"/>
  <c r="L56" i="4"/>
  <c r="K56" i="4"/>
  <c r="D32" i="29"/>
  <c r="L32" i="29"/>
  <c r="K32" i="29"/>
  <c r="I32" i="29"/>
  <c r="E32" i="29"/>
  <c r="H32" i="29"/>
  <c r="G32" i="29"/>
  <c r="F32" i="29"/>
  <c r="J32" i="29"/>
  <c r="M32" i="29"/>
  <c r="C129" i="6"/>
  <c r="C129" i="34"/>
  <c r="C121" i="34"/>
  <c r="C112" i="34"/>
  <c r="C118" i="30"/>
  <c r="C118" i="34"/>
  <c r="L42" i="29"/>
  <c r="M42" i="29"/>
  <c r="G42" i="29"/>
  <c r="K42" i="29"/>
  <c r="H42" i="29"/>
  <c r="E42" i="29"/>
  <c r="F42" i="29"/>
  <c r="J42" i="29"/>
  <c r="I42" i="29"/>
  <c r="D42" i="29"/>
  <c r="J56" i="29"/>
  <c r="E56" i="29"/>
  <c r="F56" i="29"/>
  <c r="D56" i="29"/>
  <c r="K56" i="29"/>
  <c r="H56" i="29"/>
  <c r="M56" i="29"/>
  <c r="L56" i="29"/>
  <c r="I56" i="29"/>
  <c r="G56" i="29"/>
  <c r="C40" i="29"/>
  <c r="C40" i="4"/>
  <c r="C119" i="34"/>
  <c r="C134" i="33"/>
  <c r="D53" i="33"/>
  <c r="G16" i="30"/>
  <c r="C16" i="30"/>
  <c r="D16" i="30"/>
  <c r="H16" i="30"/>
  <c r="K16" i="30"/>
  <c r="E16" i="30"/>
  <c r="I16" i="30"/>
  <c r="J16" i="30"/>
  <c r="F16" i="30"/>
  <c r="L16" i="30"/>
  <c r="F16" i="35"/>
  <c r="C16" i="35"/>
  <c r="G16" i="35"/>
  <c r="D16" i="35"/>
  <c r="B16" i="35"/>
  <c r="J16" i="35"/>
  <c r="I16" i="35"/>
  <c r="E16" i="35"/>
  <c r="K16" i="35"/>
  <c r="H16" i="35"/>
  <c r="B129" i="34"/>
  <c r="B140" i="6"/>
  <c r="C130" i="6"/>
  <c r="B140" i="30"/>
  <c r="C130" i="30"/>
  <c r="F16" i="7"/>
  <c r="J16" i="7"/>
  <c r="D16" i="7"/>
  <c r="D16" i="37"/>
  <c r="G16" i="7"/>
  <c r="G16" i="37"/>
  <c r="K16" i="7"/>
  <c r="E16" i="7"/>
  <c r="C16" i="7"/>
  <c r="C16" i="37"/>
  <c r="I16" i="7"/>
  <c r="I16" i="37"/>
  <c r="B16" i="7"/>
  <c r="H16" i="7"/>
  <c r="J42" i="8"/>
  <c r="E42" i="8"/>
  <c r="D42" i="8"/>
  <c r="B42" i="8"/>
  <c r="F42" i="8"/>
  <c r="C42" i="8"/>
  <c r="K42" i="8"/>
  <c r="H42" i="8"/>
  <c r="I42" i="8"/>
  <c r="G42" i="8"/>
  <c r="G16" i="6"/>
  <c r="C16" i="6"/>
  <c r="D16" i="6"/>
  <c r="E16" i="6"/>
  <c r="F16" i="6"/>
  <c r="J16" i="6"/>
  <c r="L16" i="6"/>
  <c r="L16" i="34"/>
  <c r="I16" i="6"/>
  <c r="I16" i="34"/>
  <c r="K16" i="6"/>
  <c r="H16" i="6"/>
  <c r="M32" i="4"/>
  <c r="J32" i="4"/>
  <c r="J32" i="33"/>
  <c r="D32" i="4"/>
  <c r="D32" i="33"/>
  <c r="L32" i="4"/>
  <c r="L32" i="33"/>
  <c r="G32" i="4"/>
  <c r="G32" i="33"/>
  <c r="F32" i="4"/>
  <c r="K32" i="4"/>
  <c r="K32" i="33"/>
  <c r="I32" i="4"/>
  <c r="I32" i="33"/>
  <c r="E32" i="4"/>
  <c r="E32" i="33"/>
  <c r="H32" i="4"/>
  <c r="H32" i="33"/>
  <c r="E42" i="4"/>
  <c r="E42" i="33"/>
  <c r="K42" i="4"/>
  <c r="K42" i="33"/>
  <c r="F42" i="4"/>
  <c r="L42" i="4"/>
  <c r="H42" i="4"/>
  <c r="H42" i="33"/>
  <c r="J42" i="4"/>
  <c r="J42" i="33"/>
  <c r="G42" i="4"/>
  <c r="G42" i="33"/>
  <c r="M42" i="4"/>
  <c r="M42" i="33"/>
  <c r="D42" i="4"/>
  <c r="I42" i="4"/>
  <c r="I42" i="33"/>
  <c r="F42" i="33"/>
  <c r="L42" i="33"/>
  <c r="M32" i="33"/>
  <c r="F32" i="33"/>
  <c r="D56" i="33"/>
  <c r="L56" i="33"/>
  <c r="E56" i="33"/>
  <c r="G56" i="33"/>
  <c r="I56" i="33"/>
  <c r="K16" i="34"/>
  <c r="F16" i="34"/>
  <c r="D16" i="34"/>
  <c r="G16" i="34"/>
  <c r="B16" i="37"/>
  <c r="K16" i="37"/>
  <c r="F16" i="37"/>
  <c r="C40" i="33"/>
  <c r="K56" i="33"/>
  <c r="M56" i="33"/>
  <c r="F56" i="33"/>
  <c r="H56" i="33"/>
  <c r="J56" i="33"/>
  <c r="C130" i="34"/>
  <c r="H16" i="34"/>
  <c r="J16" i="34"/>
  <c r="E16" i="34"/>
  <c r="C16" i="34"/>
  <c r="H16" i="37"/>
  <c r="E16" i="37"/>
  <c r="J16" i="37"/>
  <c r="B140" i="34"/>
  <c r="D42" i="33"/>
  <c r="E18" i="37"/>
  <c r="A71" i="3"/>
  <c r="A69" i="3"/>
  <c r="A67" i="3"/>
  <c r="A222" i="6"/>
  <c r="A225" i="6"/>
  <c r="A378" i="6"/>
  <c r="A375" i="6"/>
  <c r="A377" i="6"/>
  <c r="A372" i="6"/>
  <c r="A376" i="6"/>
  <c r="A403" i="6"/>
  <c r="A398" i="6"/>
  <c r="A11" i="6"/>
  <c r="A10" i="6"/>
  <c r="A29" i="27"/>
  <c r="A23" i="27"/>
  <c r="A11" i="30"/>
  <c r="A8" i="30"/>
  <c r="A12" i="30"/>
  <c r="A5" i="30"/>
  <c r="A9" i="30"/>
  <c r="A11" i="32"/>
  <c r="A4" i="32"/>
  <c r="A8" i="32"/>
  <c r="A5" i="32"/>
  <c r="A9" i="32"/>
  <c r="L15" i="34"/>
  <c r="C15" i="34"/>
  <c r="K15" i="34"/>
  <c r="J15" i="34"/>
  <c r="A158" i="34"/>
  <c r="A160" i="34"/>
  <c r="A351" i="34"/>
  <c r="A346" i="34"/>
  <c r="N45" i="33"/>
  <c r="N40" i="33"/>
  <c r="N33" i="33"/>
  <c r="N55" i="29"/>
  <c r="N54" i="29"/>
  <c r="N53" i="29"/>
  <c r="N44" i="29"/>
  <c r="N41" i="29"/>
  <c r="N39" i="29"/>
  <c r="N34" i="29"/>
  <c r="N31" i="29"/>
  <c r="N29" i="29"/>
  <c r="N44" i="4"/>
  <c r="N41" i="4"/>
  <c r="N39" i="4"/>
  <c r="N59" i="4"/>
  <c r="N58" i="4"/>
  <c r="N57" i="4"/>
  <c r="N34" i="4"/>
  <c r="N31" i="4"/>
  <c r="N29" i="4"/>
  <c r="G12" i="4"/>
  <c r="E12" i="4"/>
  <c r="E17" i="34"/>
  <c r="A215" i="6"/>
  <c r="A214" i="6"/>
  <c r="A355" i="6"/>
  <c r="A360" i="6"/>
  <c r="D64" i="29"/>
  <c r="E67" i="29"/>
  <c r="K68" i="29"/>
  <c r="K68" i="33"/>
  <c r="E71" i="29"/>
  <c r="E71" i="33"/>
  <c r="M67" i="29"/>
  <c r="K64" i="29"/>
  <c r="K70" i="29"/>
  <c r="K72" i="29" a="1"/>
  <c r="K72" i="29"/>
  <c r="K72" i="33"/>
  <c r="K70" i="33"/>
  <c r="E69" i="29"/>
  <c r="E69" i="33"/>
  <c r="I67" i="29"/>
  <c r="D44" i="30"/>
  <c r="D44" i="34"/>
  <c r="K46" i="30"/>
  <c r="K46" i="34"/>
  <c r="D3" i="32"/>
  <c r="E3" i="32"/>
  <c r="M12" i="33"/>
  <c r="H12" i="33"/>
  <c r="B88" i="33"/>
  <c r="B83" i="33"/>
  <c r="B87" i="33"/>
  <c r="B82" i="33"/>
  <c r="B86" i="33"/>
  <c r="C107" i="33"/>
  <c r="C102" i="33"/>
  <c r="A57" i="34"/>
  <c r="A56" i="34"/>
  <c r="A138" i="34"/>
  <c r="A134" i="34"/>
  <c r="A382" i="34"/>
  <c r="A384" i="34"/>
  <c r="A385" i="34"/>
  <c r="E74" i="5"/>
  <c r="A183" i="8"/>
  <c r="A217" i="8"/>
  <c r="A227" i="8"/>
  <c r="A199" i="8"/>
  <c r="A255" i="8"/>
  <c r="A301" i="8"/>
  <c r="B111" i="2"/>
  <c r="A383" i="8"/>
  <c r="A426" i="8"/>
  <c r="A427" i="8"/>
  <c r="A489" i="8"/>
  <c r="A508" i="8"/>
  <c r="A563" i="8"/>
  <c r="A85" i="37"/>
  <c r="A65" i="37"/>
  <c r="A88" i="37"/>
  <c r="A79" i="37"/>
  <c r="A59" i="37"/>
  <c r="A94" i="37"/>
  <c r="I72" i="29" a="1"/>
  <c r="I72" i="29"/>
  <c r="I72" i="33"/>
  <c r="I67" i="33"/>
  <c r="M72" i="29" a="1"/>
  <c r="M72" i="29"/>
  <c r="M72" i="33"/>
  <c r="M67" i="33"/>
  <c r="D64" i="33"/>
  <c r="D72" i="29" a="1"/>
  <c r="D72" i="29"/>
  <c r="D72" i="33"/>
  <c r="D17" i="34"/>
  <c r="B17" i="35" a="1"/>
  <c r="B17" i="7" a="1"/>
  <c r="C19" i="30" a="1"/>
  <c r="C19" i="6" a="1"/>
  <c r="L19" i="6"/>
  <c r="K19" i="6"/>
  <c r="J19" i="6"/>
  <c r="I19" i="6"/>
  <c r="H19" i="6"/>
  <c r="G19" i="6"/>
  <c r="F19" i="6"/>
  <c r="E19" i="6"/>
  <c r="D19" i="6"/>
  <c r="C19" i="6"/>
  <c r="B43" i="8" a="1"/>
  <c r="E72" i="29" a="1"/>
  <c r="E72" i="29"/>
  <c r="E72" i="33"/>
  <c r="E67" i="33"/>
  <c r="K64" i="33"/>
  <c r="B43" i="8"/>
  <c r="C43" i="8"/>
  <c r="K43" i="8"/>
  <c r="J43" i="8"/>
  <c r="E43" i="8"/>
  <c r="F43" i="8"/>
  <c r="H43" i="8"/>
  <c r="I43" i="8"/>
  <c r="D43" i="8"/>
  <c r="G43" i="8"/>
  <c r="J19" i="30"/>
  <c r="H19" i="30"/>
  <c r="K19" i="30"/>
  <c r="D19" i="30"/>
  <c r="I19" i="30"/>
  <c r="G19" i="30"/>
  <c r="E19" i="30"/>
  <c r="L19" i="30"/>
  <c r="C19" i="30"/>
  <c r="F19" i="30"/>
  <c r="I17" i="7"/>
  <c r="H17" i="7"/>
  <c r="K17" i="7"/>
  <c r="E17" i="7"/>
  <c r="C17" i="7"/>
  <c r="F17" i="7"/>
  <c r="G17" i="7"/>
  <c r="B17" i="7"/>
  <c r="D17" i="7"/>
  <c r="J17" i="7"/>
  <c r="K19" i="34"/>
  <c r="L19" i="34"/>
  <c r="E19" i="34"/>
  <c r="H19" i="34"/>
  <c r="F19" i="34"/>
  <c r="J19" i="34"/>
  <c r="I19" i="34"/>
  <c r="G19" i="34"/>
  <c r="D19" i="34"/>
  <c r="B43" i="39"/>
  <c r="J17" i="35"/>
  <c r="D17" i="35"/>
  <c r="G17" i="35"/>
  <c r="E17" i="35"/>
  <c r="I17" i="35"/>
  <c r="K17" i="35"/>
  <c r="B17" i="35"/>
  <c r="H17" i="35"/>
  <c r="C17" i="35"/>
  <c r="F17" i="35"/>
  <c r="F17" i="37"/>
  <c r="D17" i="37"/>
  <c r="G17" i="37"/>
  <c r="C17" i="37"/>
  <c r="K17" i="37"/>
  <c r="I17" i="37"/>
  <c r="D43" i="39"/>
  <c r="H43" i="39"/>
  <c r="E43" i="39"/>
  <c r="K43" i="39"/>
  <c r="C19" i="34"/>
  <c r="B19" i="35" a="1"/>
  <c r="B45" i="8" a="1"/>
  <c r="B19" i="7" a="1"/>
  <c r="J17" i="37"/>
  <c r="B17" i="37"/>
  <c r="E17" i="37"/>
  <c r="H17" i="37"/>
  <c r="G43" i="39"/>
  <c r="I43" i="39"/>
  <c r="F43" i="39"/>
  <c r="J43" i="39"/>
  <c r="C43" i="39"/>
  <c r="E19" i="7"/>
  <c r="H19" i="7"/>
  <c r="C19" i="7"/>
  <c r="K19" i="7"/>
  <c r="G19" i="7"/>
  <c r="G19" i="35"/>
  <c r="G19" i="37"/>
  <c r="I19" i="7"/>
  <c r="F19" i="7"/>
  <c r="J19" i="7"/>
  <c r="B19" i="7"/>
  <c r="B19" i="35"/>
  <c r="B19" i="37"/>
  <c r="D19" i="7"/>
  <c r="C19" i="35"/>
  <c r="D19" i="35"/>
  <c r="J19" i="35"/>
  <c r="E19" i="35"/>
  <c r="I19" i="35"/>
  <c r="F19" i="35"/>
  <c r="K19" i="35"/>
  <c r="H19" i="35"/>
  <c r="B45" i="8"/>
  <c r="C45" i="8"/>
  <c r="E45" i="8"/>
  <c r="F45" i="8"/>
  <c r="I45" i="8"/>
  <c r="D45" i="8"/>
  <c r="G45" i="8"/>
  <c r="J45" i="8"/>
  <c r="K45" i="8"/>
  <c r="H45" i="8"/>
  <c r="F19" i="37"/>
  <c r="C19" i="37"/>
  <c r="E19" i="37"/>
  <c r="D19" i="37"/>
  <c r="J19" i="37"/>
  <c r="I19" i="37"/>
  <c r="K19" i="37"/>
  <c r="H19" i="37"/>
  <c r="B215" i="8" a="1"/>
  <c r="B197" i="8" a="1"/>
  <c r="B206" i="8" a="1"/>
  <c r="B224" i="8" a="1"/>
  <c r="C132" i="6" a="1"/>
  <c r="C132" i="6"/>
  <c r="C133" i="6"/>
  <c r="C134" i="6"/>
  <c r="C135" i="6"/>
  <c r="C136" i="6"/>
  <c r="C137" i="6"/>
  <c r="C138" i="6"/>
  <c r="C139" i="6"/>
  <c r="D121" i="6" a="1"/>
  <c r="D110" i="6" a="1"/>
  <c r="C140" i="6" a="1"/>
  <c r="D110" i="30" a="1"/>
  <c r="D121" i="30" a="1"/>
  <c r="D125" i="6"/>
  <c r="D125" i="30"/>
  <c r="D125" i="34"/>
  <c r="D114" i="6"/>
  <c r="D114" i="30"/>
  <c r="D114" i="34"/>
  <c r="D121" i="30"/>
  <c r="D122" i="30"/>
  <c r="D123" i="30"/>
  <c r="D124" i="30"/>
  <c r="D126" i="30"/>
  <c r="D127" i="30"/>
  <c r="D128" i="30"/>
  <c r="D129" i="30"/>
  <c r="D116" i="6"/>
  <c r="D116" i="30"/>
  <c r="D116" i="34"/>
  <c r="D126" i="6"/>
  <c r="D126" i="34"/>
  <c r="C132" i="30" a="1"/>
  <c r="C137" i="30"/>
  <c r="C137" i="34"/>
  <c r="C140" i="6"/>
  <c r="D113" i="6"/>
  <c r="D113" i="30"/>
  <c r="D113" i="34"/>
  <c r="D112" i="6"/>
  <c r="D112" i="30"/>
  <c r="D112" i="34"/>
  <c r="D123" i="6"/>
  <c r="D123" i="34"/>
  <c r="C141" i="30" a="1"/>
  <c r="C141" i="30"/>
  <c r="C135" i="30"/>
  <c r="C135" i="34"/>
  <c r="D110" i="30"/>
  <c r="D111" i="30"/>
  <c r="D115" i="30"/>
  <c r="D117" i="30"/>
  <c r="D118" i="30"/>
  <c r="D128" i="6"/>
  <c r="D128" i="34"/>
  <c r="C136" i="30"/>
  <c r="C136" i="34"/>
  <c r="D115" i="6"/>
  <c r="D115" i="34"/>
  <c r="D117" i="6"/>
  <c r="D117" i="34"/>
  <c r="D124" i="6"/>
  <c r="D124" i="34"/>
  <c r="D122" i="6"/>
  <c r="D122" i="34"/>
  <c r="D127" i="6"/>
  <c r="D127" i="34"/>
  <c r="C132" i="30"/>
  <c r="C132" i="34"/>
  <c r="C143" i="30" a="1"/>
  <c r="C133" i="30"/>
  <c r="C133" i="34"/>
  <c r="D121" i="6"/>
  <c r="D129" i="6"/>
  <c r="D129" i="34"/>
  <c r="C139" i="30"/>
  <c r="C139" i="34"/>
  <c r="D111" i="6"/>
  <c r="D111" i="34"/>
  <c r="D110" i="6"/>
  <c r="C134" i="30"/>
  <c r="C134" i="34"/>
  <c r="C151" i="30" a="1"/>
  <c r="C140" i="30" a="1"/>
  <c r="C140" i="30"/>
  <c r="C140" i="34"/>
  <c r="C138" i="30"/>
  <c r="C138" i="34"/>
  <c r="D136" i="30"/>
  <c r="D118" i="6"/>
  <c r="D118" i="34"/>
  <c r="D119" i="30" a="1"/>
  <c r="D119" i="30"/>
  <c r="D121" i="34"/>
  <c r="D110" i="34"/>
  <c r="D40" i="4" a="1"/>
  <c r="D54" i="4" a="1"/>
  <c r="D30" i="4" a="1"/>
  <c r="D30" i="29" a="1"/>
  <c r="D30" i="29"/>
  <c r="D31" i="29"/>
  <c r="D30" i="4"/>
  <c r="D30" i="33"/>
  <c r="D31" i="4"/>
  <c r="D54" i="29" a="1"/>
  <c r="D54" i="4"/>
  <c r="D40" i="29" a="1"/>
  <c r="D40" i="4"/>
  <c r="D40" i="29"/>
  <c r="D41" i="29"/>
  <c r="D54" i="29"/>
  <c r="D55" i="29"/>
  <c r="D34" i="29" a="1"/>
  <c r="D34" i="29"/>
  <c r="D44" i="29" a="1"/>
  <c r="D44" i="29"/>
  <c r="D31" i="33"/>
  <c r="D55" i="4"/>
  <c r="D55" i="33"/>
  <c r="D54" i="33"/>
  <c r="D41" i="4"/>
  <c r="D41" i="33"/>
  <c r="D40" i="33"/>
  <c r="D58" i="4" a="1"/>
  <c r="D58" i="4"/>
  <c r="D58" i="29" a="1"/>
  <c r="D58" i="29"/>
  <c r="D58" i="33"/>
  <c r="D44" i="4" a="1"/>
  <c r="D44" i="4"/>
  <c r="D34" i="4" a="1"/>
  <c r="D34" i="4"/>
  <c r="D34" i="33"/>
  <c r="D44" i="33"/>
  <c r="D130" i="6" a="1"/>
  <c r="D130" i="6"/>
  <c r="D130" i="30" a="1"/>
  <c r="D130" i="30"/>
  <c r="D130" i="34"/>
  <c r="C58" i="1" a="1"/>
  <c r="C154" i="30" a="1"/>
  <c r="C151" i="6" a="1"/>
  <c r="C353" i="30" a="1"/>
  <c r="K155" i="30"/>
  <c r="K155" i="34"/>
  <c r="C158" i="30"/>
  <c r="C158" i="34"/>
  <c r="G161" i="30"/>
  <c r="F158" i="30"/>
  <c r="F158" i="34"/>
  <c r="I160" i="30"/>
  <c r="G156" i="30"/>
  <c r="G156" i="34"/>
  <c r="H159" i="30"/>
  <c r="J156" i="30"/>
  <c r="J156" i="34"/>
  <c r="J161" i="30"/>
  <c r="J161" i="34"/>
  <c r="C154" i="30"/>
  <c r="C154" i="34"/>
  <c r="L156" i="30"/>
  <c r="D157" i="30"/>
  <c r="D157" i="34"/>
  <c r="J154" i="30"/>
  <c r="J154" i="34"/>
  <c r="F159" i="30"/>
  <c r="G155" i="30"/>
  <c r="K161" i="30"/>
  <c r="H160" i="30"/>
  <c r="H160" i="34"/>
  <c r="L161" i="30"/>
  <c r="L161" i="34"/>
  <c r="L160" i="30"/>
  <c r="L160" i="34"/>
  <c r="G159" i="30"/>
  <c r="J160" i="30"/>
  <c r="J160" i="34"/>
  <c r="F157" i="30"/>
  <c r="E158" i="30"/>
  <c r="E158" i="34"/>
  <c r="L155" i="30"/>
  <c r="L155" i="34"/>
  <c r="G157" i="30"/>
  <c r="G157" i="34"/>
  <c r="C156" i="30"/>
  <c r="C156" i="34"/>
  <c r="F156" i="30"/>
  <c r="F156" i="34"/>
  <c r="I161" i="30"/>
  <c r="I161" i="34"/>
  <c r="H158" i="30"/>
  <c r="H158" i="34"/>
  <c r="J159" i="30"/>
  <c r="J159" i="34"/>
  <c r="I159" i="30"/>
  <c r="I159" i="34"/>
  <c r="C155" i="30"/>
  <c r="C155" i="34"/>
  <c r="E157" i="30"/>
  <c r="E157" i="34"/>
  <c r="C161" i="30"/>
  <c r="F160" i="30"/>
  <c r="H155" i="30"/>
  <c r="H155" i="34"/>
  <c r="J157" i="30"/>
  <c r="J157" i="34"/>
  <c r="E155" i="30"/>
  <c r="K159" i="30"/>
  <c r="K159" i="34"/>
  <c r="H154" i="30"/>
  <c r="F155" i="30"/>
  <c r="D154" i="30"/>
  <c r="D154" i="34"/>
  <c r="I158" i="30"/>
  <c r="I158" i="34"/>
  <c r="K160" i="30"/>
  <c r="K160" i="34"/>
  <c r="F154" i="30"/>
  <c r="F154" i="34"/>
  <c r="L158" i="30"/>
  <c r="L158" i="34"/>
  <c r="I154" i="30"/>
  <c r="I154" i="34"/>
  <c r="E159" i="30"/>
  <c r="E159" i="34"/>
  <c r="D156" i="30"/>
  <c r="D156" i="34"/>
  <c r="H156" i="30"/>
  <c r="H156" i="34"/>
  <c r="D158" i="30"/>
  <c r="D158" i="34"/>
  <c r="L159" i="30"/>
  <c r="L159" i="34"/>
  <c r="I157" i="30"/>
  <c r="K157" i="30"/>
  <c r="K157" i="34"/>
  <c r="D155" i="30"/>
  <c r="D155" i="34"/>
  <c r="I156" i="30"/>
  <c r="I156" i="34"/>
  <c r="E156" i="30"/>
  <c r="E156" i="34"/>
  <c r="L154" i="30"/>
  <c r="L154" i="34"/>
  <c r="G158" i="30"/>
  <c r="G158" i="34"/>
  <c r="C157" i="30"/>
  <c r="C157" i="34"/>
  <c r="G160" i="30"/>
  <c r="G160" i="34"/>
  <c r="L157" i="30"/>
  <c r="L157" i="34"/>
  <c r="H161" i="30"/>
  <c r="H161" i="34"/>
  <c r="D160" i="30"/>
  <c r="D160" i="34"/>
  <c r="K158" i="30"/>
  <c r="K158" i="34"/>
  <c r="J155" i="30"/>
  <c r="J155" i="34"/>
  <c r="E160" i="30"/>
  <c r="E160" i="34"/>
  <c r="K156" i="30"/>
  <c r="K156" i="34"/>
  <c r="E161" i="30"/>
  <c r="E161" i="34"/>
  <c r="D161" i="30"/>
  <c r="D161" i="34"/>
  <c r="J158" i="30"/>
  <c r="J158" i="34"/>
  <c r="H157" i="30"/>
  <c r="H157" i="34"/>
  <c r="G154" i="30"/>
  <c r="F161" i="30"/>
  <c r="F161" i="34"/>
  <c r="C160" i="30"/>
  <c r="C160" i="34"/>
  <c r="D159" i="30"/>
  <c r="D159" i="34"/>
  <c r="K154" i="30"/>
  <c r="K154" i="34"/>
  <c r="E154" i="30"/>
  <c r="E154" i="34"/>
  <c r="C159" i="30"/>
  <c r="C159" i="34"/>
  <c r="I155" i="30"/>
  <c r="I155" i="34"/>
  <c r="I160" i="34"/>
  <c r="F157" i="34"/>
  <c r="K161" i="34"/>
  <c r="G161" i="34"/>
  <c r="L156" i="34"/>
  <c r="F155" i="34"/>
  <c r="D58" i="1"/>
  <c r="L61" i="1"/>
  <c r="G59" i="1"/>
  <c r="I60" i="1"/>
  <c r="E65" i="1"/>
  <c r="K64" i="1"/>
  <c r="L60" i="1"/>
  <c r="E63" i="1"/>
  <c r="D60" i="1"/>
  <c r="L59" i="1"/>
  <c r="C64" i="1"/>
  <c r="B687" i="8" a="1"/>
  <c r="B693" i="8"/>
  <c r="B687" i="38" a="1"/>
  <c r="B693" i="38"/>
  <c r="B693" i="39"/>
  <c r="F58" i="1"/>
  <c r="J64" i="1"/>
  <c r="F63" i="1"/>
  <c r="I64" i="1"/>
  <c r="I59" i="1"/>
  <c r="D64" i="1"/>
  <c r="F60" i="1"/>
  <c r="G61" i="1"/>
  <c r="I58" i="1"/>
  <c r="J60" i="1"/>
  <c r="H64" i="1"/>
  <c r="I63" i="1"/>
  <c r="I62" i="1"/>
  <c r="L58" i="1"/>
  <c r="D59" i="1"/>
  <c r="H62" i="1"/>
  <c r="G63" i="1"/>
  <c r="J62" i="1"/>
  <c r="F59" i="1"/>
  <c r="K59" i="1"/>
  <c r="H59" i="1"/>
  <c r="D63" i="1"/>
  <c r="D61" i="1"/>
  <c r="H63" i="1"/>
  <c r="E64" i="1"/>
  <c r="H60" i="1"/>
  <c r="C58" i="1"/>
  <c r="L62" i="1"/>
  <c r="D62" i="1"/>
  <c r="L64" i="1"/>
  <c r="C63" i="1"/>
  <c r="E61" i="1"/>
  <c r="D65" i="1"/>
  <c r="J59" i="1"/>
  <c r="K60" i="1"/>
  <c r="C62" i="1"/>
  <c r="C61" i="1"/>
  <c r="G64" i="1"/>
  <c r="I61" i="1"/>
  <c r="E58" i="1"/>
  <c r="K58" i="1"/>
  <c r="E62" i="1"/>
  <c r="K63" i="1"/>
  <c r="F61" i="1"/>
  <c r="G60" i="1"/>
  <c r="J61" i="1"/>
  <c r="H61" i="1"/>
  <c r="E60" i="1"/>
  <c r="C59" i="1"/>
  <c r="I65" i="1"/>
  <c r="E59" i="1"/>
  <c r="C60" i="1"/>
  <c r="F62" i="1"/>
  <c r="H65" i="1"/>
  <c r="H58" i="1"/>
  <c r="J65" i="1"/>
  <c r="L63" i="1"/>
  <c r="G58" i="1"/>
  <c r="L65" i="1"/>
  <c r="K62" i="1"/>
  <c r="F65" i="1"/>
  <c r="G62" i="1"/>
  <c r="J63" i="1"/>
  <c r="J58" i="1"/>
  <c r="G65" i="1"/>
  <c r="F64" i="1"/>
  <c r="C65" i="1"/>
  <c r="K61" i="1"/>
  <c r="K65" i="1"/>
  <c r="C353" i="6" a="1"/>
  <c r="C161" i="34"/>
  <c r="I157" i="34"/>
  <c r="F160" i="34"/>
  <c r="G154" i="34"/>
  <c r="G155" i="34"/>
  <c r="H159" i="34"/>
  <c r="H154" i="34"/>
  <c r="G159" i="34"/>
  <c r="F159" i="34"/>
  <c r="E155" i="34"/>
  <c r="C6" i="6" a="1"/>
  <c r="C6" i="30" a="1"/>
  <c r="C687" i="8" a="1"/>
  <c r="C143" i="6" a="1"/>
  <c r="C143" i="6"/>
  <c r="D132" i="6"/>
  <c r="D143" i="6"/>
  <c r="E110" i="6"/>
  <c r="E121" i="6"/>
  <c r="E132" i="6"/>
  <c r="E143" i="6"/>
  <c r="F110" i="6"/>
  <c r="F121" i="6"/>
  <c r="F132" i="6"/>
  <c r="F143" i="6"/>
  <c r="G110" i="6"/>
  <c r="G121" i="6"/>
  <c r="G132" i="6"/>
  <c r="G143" i="6"/>
  <c r="H110" i="6"/>
  <c r="H121" i="6"/>
  <c r="H132" i="6"/>
  <c r="H143" i="6"/>
  <c r="I110" i="6"/>
  <c r="I121" i="6"/>
  <c r="I132" i="6"/>
  <c r="I143" i="6"/>
  <c r="J110" i="6"/>
  <c r="J121" i="6"/>
  <c r="J132" i="6"/>
  <c r="J143" i="6"/>
  <c r="K110" i="6"/>
  <c r="K121" i="6"/>
  <c r="K132" i="6"/>
  <c r="K143" i="6"/>
  <c r="L110" i="6"/>
  <c r="L121" i="6"/>
  <c r="L132" i="6"/>
  <c r="L143" i="6"/>
  <c r="C144" i="6"/>
  <c r="C145" i="6"/>
  <c r="C146" i="6"/>
  <c r="C147" i="6"/>
  <c r="C148" i="6"/>
  <c r="C149" i="6"/>
  <c r="C150" i="6"/>
  <c r="C687" i="38" a="1"/>
  <c r="B45" i="38" a="1"/>
  <c r="B45" i="38"/>
  <c r="B45" i="39"/>
  <c r="E45" i="38"/>
  <c r="E45" i="39"/>
  <c r="I45" i="38"/>
  <c r="I45" i="39"/>
  <c r="G45" i="38"/>
  <c r="G45" i="39"/>
  <c r="K45" i="38"/>
  <c r="K45" i="39"/>
  <c r="D45" i="38"/>
  <c r="D45" i="39"/>
  <c r="H45" i="38"/>
  <c r="H45" i="39"/>
  <c r="J45" i="38"/>
  <c r="J45" i="39"/>
  <c r="F45" i="38"/>
  <c r="F45" i="39"/>
  <c r="C45" i="38"/>
  <c r="C45" i="39"/>
  <c r="B42" i="38" a="1"/>
  <c r="H42" i="38"/>
  <c r="H42" i="39"/>
  <c r="K42" i="38"/>
  <c r="K42" i="39"/>
  <c r="G42" i="38"/>
  <c r="G42" i="39"/>
  <c r="I42" i="38"/>
  <c r="I42" i="39"/>
  <c r="C42" i="38"/>
  <c r="C42" i="39"/>
  <c r="F42" i="38"/>
  <c r="F42" i="39"/>
  <c r="B42" i="38"/>
  <c r="B42" i="39"/>
  <c r="D42" i="38"/>
  <c r="D42" i="39"/>
  <c r="E42" i="38"/>
  <c r="E42" i="39"/>
  <c r="J42" i="38"/>
  <c r="J42" i="39"/>
  <c r="K5" i="31"/>
  <c r="K6" i="31"/>
  <c r="K7" i="31"/>
  <c r="K8" i="31"/>
  <c r="K9" i="31"/>
  <c r="K10" i="31"/>
  <c r="K11" i="31"/>
  <c r="K12" i="31"/>
  <c r="B5" i="31"/>
  <c r="B6" i="31"/>
  <c r="B7" i="31"/>
  <c r="B8" i="31"/>
  <c r="B9" i="31"/>
  <c r="B10" i="31"/>
  <c r="B11" i="31"/>
  <c r="B12" i="31"/>
  <c r="C5" i="31"/>
  <c r="D5" i="31"/>
  <c r="E5" i="31"/>
  <c r="F5" i="31"/>
  <c r="G5" i="31"/>
  <c r="H5" i="31"/>
  <c r="I5" i="31"/>
  <c r="J5" i="31"/>
  <c r="C6" i="31"/>
  <c r="D6" i="31"/>
  <c r="E6" i="31"/>
  <c r="F6" i="31"/>
  <c r="G6" i="31"/>
  <c r="H6" i="31"/>
  <c r="I6" i="31"/>
  <c r="J6" i="31"/>
  <c r="C7" i="31"/>
  <c r="D7" i="31"/>
  <c r="E7" i="31"/>
  <c r="F7" i="31"/>
  <c r="G7" i="31"/>
  <c r="H7" i="31"/>
  <c r="I7" i="31"/>
  <c r="J7" i="31"/>
  <c r="C8" i="31"/>
  <c r="D8" i="31"/>
  <c r="E8" i="31"/>
  <c r="F8" i="31"/>
  <c r="G8" i="31"/>
  <c r="H8" i="31"/>
  <c r="I8" i="31"/>
  <c r="J8" i="31"/>
  <c r="C9" i="31"/>
  <c r="D9" i="31"/>
  <c r="E9" i="31"/>
  <c r="F9" i="31"/>
  <c r="G9" i="31"/>
  <c r="H9" i="31"/>
  <c r="I9" i="31"/>
  <c r="J9" i="31"/>
  <c r="C10" i="31"/>
  <c r="D10" i="31"/>
  <c r="E10" i="31"/>
  <c r="F10" i="31"/>
  <c r="G10" i="31"/>
  <c r="H10" i="31"/>
  <c r="I10" i="31"/>
  <c r="J10" i="31"/>
  <c r="C11" i="31"/>
  <c r="D11" i="31"/>
  <c r="E11" i="31"/>
  <c r="F11" i="31"/>
  <c r="G11" i="31"/>
  <c r="H11" i="31"/>
  <c r="I11" i="31"/>
  <c r="J11" i="31"/>
  <c r="C12" i="31"/>
  <c r="D12" i="31"/>
  <c r="E12" i="31"/>
  <c r="F12" i="31"/>
  <c r="G12" i="31"/>
  <c r="H12" i="31"/>
  <c r="I12" i="31"/>
  <c r="J12" i="31"/>
  <c r="C4" i="28" a="1"/>
  <c r="F4" i="28"/>
  <c r="F4" i="32"/>
  <c r="F5" i="28"/>
  <c r="F5" i="32"/>
  <c r="F6" i="28"/>
  <c r="F6" i="32"/>
  <c r="F7" i="28"/>
  <c r="F7" i="32"/>
  <c r="F8" i="28"/>
  <c r="F8" i="32"/>
  <c r="F9" i="28"/>
  <c r="F9" i="32"/>
  <c r="F10" i="28"/>
  <c r="F10" i="32"/>
  <c r="F11" i="28"/>
  <c r="F11" i="32"/>
  <c r="F12" i="32"/>
  <c r="J4" i="28"/>
  <c r="J4" i="32"/>
  <c r="J5" i="28"/>
  <c r="J5" i="32"/>
  <c r="J6" i="28"/>
  <c r="J6" i="32"/>
  <c r="J7" i="28"/>
  <c r="J7" i="32"/>
  <c r="J8" i="28"/>
  <c r="J8" i="32"/>
  <c r="J9" i="28"/>
  <c r="J9" i="32"/>
  <c r="J10" i="28"/>
  <c r="J10" i="32"/>
  <c r="J11" i="28"/>
  <c r="J11" i="32"/>
  <c r="J12" i="32"/>
  <c r="H4" i="28"/>
  <c r="H4" i="32"/>
  <c r="H5" i="28"/>
  <c r="H5" i="32"/>
  <c r="H6" i="28"/>
  <c r="H6" i="32"/>
  <c r="H7" i="28"/>
  <c r="H7" i="32"/>
  <c r="H8" i="28"/>
  <c r="H8" i="32"/>
  <c r="H9" i="28"/>
  <c r="H9" i="32"/>
  <c r="H10" i="28"/>
  <c r="H10" i="32"/>
  <c r="H11" i="28"/>
  <c r="H11" i="32"/>
  <c r="H12" i="32"/>
  <c r="I4" i="28"/>
  <c r="I4" i="32"/>
  <c r="I5" i="28"/>
  <c r="I5" i="32"/>
  <c r="I6" i="28"/>
  <c r="I6" i="32"/>
  <c r="I7" i="28"/>
  <c r="I7" i="32"/>
  <c r="I8" i="28"/>
  <c r="I8" i="32"/>
  <c r="I9" i="28"/>
  <c r="I9" i="32"/>
  <c r="I10" i="28"/>
  <c r="I10" i="32"/>
  <c r="I11" i="28"/>
  <c r="I11" i="32"/>
  <c r="I12" i="32"/>
  <c r="D4" i="28"/>
  <c r="D4" i="32"/>
  <c r="D5" i="28"/>
  <c r="D5" i="32"/>
  <c r="D6" i="28"/>
  <c r="D6" i="32"/>
  <c r="D7" i="28"/>
  <c r="D7" i="32"/>
  <c r="D8" i="28"/>
  <c r="D8" i="32"/>
  <c r="D9" i="28"/>
  <c r="D9" i="32"/>
  <c r="D10" i="28"/>
  <c r="D10" i="32"/>
  <c r="D11" i="28"/>
  <c r="D11" i="32"/>
  <c r="D12" i="32"/>
  <c r="K4" i="28"/>
  <c r="K4" i="32"/>
  <c r="K5" i="28"/>
  <c r="K5" i="32"/>
  <c r="K6" i="28"/>
  <c r="K6" i="32"/>
  <c r="K7" i="28"/>
  <c r="K7" i="32"/>
  <c r="K8" i="28"/>
  <c r="K8" i="32"/>
  <c r="K9" i="28"/>
  <c r="K9" i="32"/>
  <c r="K10" i="28"/>
  <c r="K10" i="32"/>
  <c r="K11" i="28"/>
  <c r="K11" i="32"/>
  <c r="K12" i="32"/>
  <c r="G4" i="28"/>
  <c r="G4" i="32"/>
  <c r="G5" i="28"/>
  <c r="G5" i="32"/>
  <c r="G6" i="28"/>
  <c r="G6" i="32"/>
  <c r="G7" i="28"/>
  <c r="G7" i="32"/>
  <c r="G8" i="28"/>
  <c r="G8" i="32"/>
  <c r="G9" i="28"/>
  <c r="G9" i="32"/>
  <c r="G10" i="28"/>
  <c r="G10" i="32"/>
  <c r="G11" i="28"/>
  <c r="G11" i="32"/>
  <c r="G12" i="32"/>
  <c r="E4" i="28"/>
  <c r="E4" i="32"/>
  <c r="E5" i="28"/>
  <c r="E5" i="32"/>
  <c r="E6" i="28"/>
  <c r="E6" i="32"/>
  <c r="E7" i="28"/>
  <c r="E7" i="32"/>
  <c r="E8" i="28"/>
  <c r="E8" i="32"/>
  <c r="E9" i="28"/>
  <c r="E9" i="32"/>
  <c r="E10" i="28"/>
  <c r="E10" i="32"/>
  <c r="E11" i="28"/>
  <c r="E11" i="32"/>
  <c r="E12" i="32"/>
  <c r="C4" i="28"/>
  <c r="C4" i="32"/>
  <c r="C5" i="28"/>
  <c r="C5" i="32"/>
  <c r="C6" i="28"/>
  <c r="C6" i="32"/>
  <c r="C7" i="28"/>
  <c r="C7" i="32"/>
  <c r="C8" i="28"/>
  <c r="C8" i="32"/>
  <c r="C9" i="28"/>
  <c r="C9" i="32"/>
  <c r="C10" i="28"/>
  <c r="C10" i="32"/>
  <c r="C11" i="28"/>
  <c r="C11" i="32"/>
  <c r="C12" i="32"/>
  <c r="L4" i="28"/>
  <c r="L4" i="32"/>
  <c r="L5" i="28"/>
  <c r="L5" i="32"/>
  <c r="L6" i="28"/>
  <c r="L6" i="32"/>
  <c r="L7" i="28"/>
  <c r="L7" i="32"/>
  <c r="L8" i="28"/>
  <c r="L8" i="32"/>
  <c r="L9" i="28"/>
  <c r="L9" i="32"/>
  <c r="L10" i="28"/>
  <c r="L10" i="32"/>
  <c r="L11" i="28"/>
  <c r="L11" i="32"/>
  <c r="L12" i="32"/>
  <c r="L12" i="28"/>
  <c r="K12" i="28"/>
  <c r="J12" i="28"/>
  <c r="I12" i="28"/>
  <c r="H12" i="28"/>
  <c r="G12" i="28"/>
  <c r="F12" i="28"/>
  <c r="E12" i="28"/>
  <c r="D12" i="28"/>
  <c r="C12" i="28"/>
  <c r="C693" i="38"/>
  <c r="C693" i="8"/>
  <c r="C135" i="29"/>
  <c r="D109" i="4" a="1"/>
  <c r="D109" i="29" a="1"/>
  <c r="C6" i="6"/>
  <c r="C6" i="30"/>
  <c r="C5" i="35"/>
  <c r="C6" i="35" a="1"/>
  <c r="C5" i="7"/>
  <c r="C6" i="7" a="1"/>
  <c r="B32" i="8" a="1"/>
  <c r="B31" i="38"/>
  <c r="B31" i="8"/>
  <c r="B32" i="38" a="1"/>
  <c r="D5" i="8"/>
  <c r="D6" i="8" a="1"/>
  <c r="D5" i="38"/>
  <c r="D6" i="38" a="1"/>
  <c r="C134" i="2"/>
  <c r="D138" i="4" a="1"/>
  <c r="D138" i="29" a="1"/>
  <c r="B6" i="7" a="1"/>
  <c r="B5" i="35"/>
  <c r="B6" i="35" a="1"/>
  <c r="B5" i="7"/>
  <c r="E19" i="8" a="1"/>
  <c r="E19" i="38" a="1"/>
  <c r="E18" i="8"/>
  <c r="E18" i="38"/>
  <c r="C13" i="30"/>
  <c r="C13" i="6"/>
  <c r="C12" i="30"/>
  <c r="C12" i="6"/>
  <c r="C32" i="8" a="1"/>
  <c r="C31" i="38"/>
  <c r="C32" i="38" a="1"/>
  <c r="C31" i="8"/>
  <c r="E5" i="38"/>
  <c r="E6" i="38" a="1"/>
  <c r="E6" i="8" a="1"/>
  <c r="E5" i="8"/>
  <c r="C106" i="30" a="1"/>
  <c r="C106" i="6" a="1"/>
  <c r="C11" i="6"/>
  <c r="C11" i="30"/>
  <c r="B19" i="38" a="1"/>
  <c r="B19" i="8" a="1"/>
  <c r="B18" i="8"/>
  <c r="B18" i="38"/>
  <c r="D18" i="29" a="1"/>
  <c r="D17" i="29" a="1"/>
  <c r="C139" i="29"/>
  <c r="C139" i="4"/>
  <c r="B151" i="30"/>
  <c r="B143" i="30" a="1"/>
  <c r="B151" i="6"/>
  <c r="C10" i="30"/>
  <c r="C10" i="6"/>
  <c r="G5" i="7"/>
  <c r="G5" i="35"/>
  <c r="G6" i="35" a="1"/>
  <c r="G6" i="7" a="1"/>
  <c r="B6" i="38" a="1"/>
  <c r="B5" i="8"/>
  <c r="B5" i="38"/>
  <c r="B6" i="8" a="1"/>
  <c r="D31" i="8"/>
  <c r="D32" i="38" a="1"/>
  <c r="D31" i="38"/>
  <c r="D32" i="8" a="1"/>
  <c r="C16" i="29"/>
  <c r="C14" i="29"/>
  <c r="D82" i="29" a="1"/>
  <c r="D82" i="4" a="1"/>
  <c r="C9" i="30"/>
  <c r="C9" i="6"/>
  <c r="F5" i="35"/>
  <c r="F6" i="7" a="1"/>
  <c r="F5" i="7"/>
  <c r="F6" i="35" a="1"/>
  <c r="C19" i="8" a="1"/>
  <c r="C18" i="8"/>
  <c r="C19" i="38" a="1"/>
  <c r="C18" i="38"/>
  <c r="C125" i="2"/>
  <c r="B242" i="38" a="1"/>
  <c r="C127" i="2"/>
  <c r="B236" i="38" a="1"/>
  <c r="C73" i="29" a="1"/>
  <c r="C73" i="4" a="1"/>
  <c r="C81" i="29"/>
  <c r="C81" i="4"/>
  <c r="C8" i="30"/>
  <c r="C8" i="6"/>
  <c r="E6" i="7" a="1"/>
  <c r="E6" i="35" a="1"/>
  <c r="E5" i="7"/>
  <c r="E5" i="35"/>
  <c r="C5" i="38"/>
  <c r="C6" i="38" a="1"/>
  <c r="C5" i="8"/>
  <c r="C6" i="8" a="1"/>
  <c r="E31" i="38"/>
  <c r="E32" i="8" a="1"/>
  <c r="E32" i="38" a="1"/>
  <c r="E31" i="8"/>
  <c r="B242" i="8" a="1"/>
  <c r="B107" i="30"/>
  <c r="B107" i="34"/>
  <c r="D110" i="4" a="1"/>
  <c r="D110" i="29" a="1"/>
  <c r="C7" i="6"/>
  <c r="C7" i="30"/>
  <c r="D6" i="7" a="1"/>
  <c r="D6" i="35" a="1"/>
  <c r="D5" i="7"/>
  <c r="D5" i="35"/>
  <c r="D19" i="38" a="1"/>
  <c r="D18" i="38"/>
  <c r="D19" i="8" a="1"/>
  <c r="D18" i="8"/>
  <c r="C123" i="2"/>
  <c r="C693" i="39"/>
  <c r="B243" i="38" a="1"/>
  <c r="G243" i="38"/>
  <c r="C81" i="33"/>
  <c r="B243" i="8" a="1"/>
  <c r="B241" i="8" a="1"/>
  <c r="C241" i="8"/>
  <c r="C13" i="34"/>
  <c r="D242" i="8"/>
  <c r="C242" i="8"/>
  <c r="K242" i="8"/>
  <c r="B242" i="8"/>
  <c r="E242" i="8"/>
  <c r="J242" i="8"/>
  <c r="G242" i="8"/>
  <c r="H242" i="8"/>
  <c r="F242" i="8"/>
  <c r="I242" i="8"/>
  <c r="F236" i="38"/>
  <c r="H236" i="38"/>
  <c r="E236" i="38"/>
  <c r="K236" i="38"/>
  <c r="I236" i="38"/>
  <c r="J236" i="38"/>
  <c r="G236" i="38"/>
  <c r="D236" i="38"/>
  <c r="B236" i="38"/>
  <c r="C236" i="38"/>
  <c r="E8" i="8"/>
  <c r="E6" i="8"/>
  <c r="E12" i="8"/>
  <c r="E11" i="8"/>
  <c r="E7" i="8"/>
  <c r="E10" i="8"/>
  <c r="E9" i="8"/>
  <c r="C5" i="37"/>
  <c r="D10" i="35"/>
  <c r="D6" i="35"/>
  <c r="D7" i="35"/>
  <c r="D11" i="35"/>
  <c r="D8" i="35"/>
  <c r="D9" i="35"/>
  <c r="D12" i="35"/>
  <c r="C5" i="39"/>
  <c r="F10" i="35"/>
  <c r="F6" i="35"/>
  <c r="F11" i="35"/>
  <c r="F8" i="35"/>
  <c r="F12" i="35"/>
  <c r="F7" i="35"/>
  <c r="F9" i="35"/>
  <c r="B6" i="8"/>
  <c r="B7" i="8"/>
  <c r="B9" i="8"/>
  <c r="B12" i="8"/>
  <c r="B8" i="8"/>
  <c r="B10" i="8"/>
  <c r="B11" i="8"/>
  <c r="C10" i="34"/>
  <c r="E5" i="39"/>
  <c r="B12" i="35"/>
  <c r="B6" i="35"/>
  <c r="B11" i="35"/>
  <c r="B10" i="35"/>
  <c r="B7" i="35"/>
  <c r="B9" i="35"/>
  <c r="B8" i="35"/>
  <c r="D9" i="38"/>
  <c r="D7" i="38"/>
  <c r="D6" i="38"/>
  <c r="D11" i="38"/>
  <c r="D12" i="38"/>
  <c r="D8" i="38"/>
  <c r="D10" i="38"/>
  <c r="C6" i="7"/>
  <c r="C8" i="7"/>
  <c r="C9" i="7"/>
  <c r="C7" i="7"/>
  <c r="C11" i="7"/>
  <c r="C10" i="7"/>
  <c r="C12" i="7"/>
  <c r="C135" i="33"/>
  <c r="C136" i="29"/>
  <c r="B235" i="38" a="1"/>
  <c r="C139" i="33"/>
  <c r="B235" i="8" a="1"/>
  <c r="D7" i="7"/>
  <c r="D6" i="7"/>
  <c r="D10" i="7"/>
  <c r="D11" i="7"/>
  <c r="D9" i="7"/>
  <c r="D12" i="7"/>
  <c r="D8" i="7"/>
  <c r="H241" i="8"/>
  <c r="B5" i="37"/>
  <c r="B32" i="8"/>
  <c r="B33" i="8"/>
  <c r="B34" i="8"/>
  <c r="B37" i="8"/>
  <c r="B38" i="8"/>
  <c r="B36" i="8"/>
  <c r="B35" i="8"/>
  <c r="M109" i="4"/>
  <c r="F109" i="4"/>
  <c r="J109" i="4"/>
  <c r="K109" i="4"/>
  <c r="D109" i="4"/>
  <c r="E109" i="4"/>
  <c r="I109" i="4"/>
  <c r="G109" i="4"/>
  <c r="L109" i="4"/>
  <c r="H109" i="4"/>
  <c r="E11" i="7"/>
  <c r="E12" i="7"/>
  <c r="E9" i="7"/>
  <c r="E6" i="7"/>
  <c r="E7" i="7"/>
  <c r="E8" i="7"/>
  <c r="E10" i="7"/>
  <c r="C18" i="39"/>
  <c r="C16" i="33"/>
  <c r="H106" i="6"/>
  <c r="G106" i="6"/>
  <c r="L106" i="6"/>
  <c r="C106" i="6"/>
  <c r="F106" i="6"/>
  <c r="K106" i="6"/>
  <c r="I106" i="6"/>
  <c r="D106" i="6"/>
  <c r="J106" i="6"/>
  <c r="E106" i="6"/>
  <c r="J109" i="29"/>
  <c r="E109" i="29"/>
  <c r="H109" i="29"/>
  <c r="I109" i="29"/>
  <c r="K109" i="29"/>
  <c r="F109" i="29"/>
  <c r="M109" i="29"/>
  <c r="G109" i="29"/>
  <c r="L109" i="29"/>
  <c r="D109" i="29"/>
  <c r="B238" i="8" a="1"/>
  <c r="B237" i="8" a="1"/>
  <c r="B236" i="8" a="1"/>
  <c r="B241" i="38" a="1"/>
  <c r="B240" i="8" a="1"/>
  <c r="B238" i="38" a="1"/>
  <c r="C9" i="38"/>
  <c r="C6" i="38"/>
  <c r="C8" i="38"/>
  <c r="C7" i="38"/>
  <c r="C10" i="38"/>
  <c r="C12" i="38"/>
  <c r="C11" i="38"/>
  <c r="C11" i="8"/>
  <c r="C8" i="8"/>
  <c r="C10" i="8"/>
  <c r="C7" i="8"/>
  <c r="C12" i="8"/>
  <c r="C9" i="8"/>
  <c r="C6" i="8"/>
  <c r="B143" i="30"/>
  <c r="B145" i="30"/>
  <c r="B146" i="30"/>
  <c r="B147" i="30"/>
  <c r="B149" i="30"/>
  <c r="B144" i="30"/>
  <c r="B150" i="30"/>
  <c r="B148" i="30"/>
  <c r="D22" i="38"/>
  <c r="D24" i="38"/>
  <c r="D19" i="38"/>
  <c r="D20" i="38"/>
  <c r="D21" i="38"/>
  <c r="D25" i="38"/>
  <c r="D23" i="38"/>
  <c r="M113" i="4"/>
  <c r="F117" i="4"/>
  <c r="G117" i="4"/>
  <c r="G116" i="4"/>
  <c r="J112" i="4"/>
  <c r="M110" i="4"/>
  <c r="D115" i="4"/>
  <c r="E116" i="4"/>
  <c r="F116" i="4"/>
  <c r="L110" i="4"/>
  <c r="K117" i="4"/>
  <c r="H114" i="4"/>
  <c r="M112" i="4"/>
  <c r="J117" i="4"/>
  <c r="E112" i="4"/>
  <c r="D117" i="4"/>
  <c r="D110" i="4"/>
  <c r="E117" i="4"/>
  <c r="F112" i="4"/>
  <c r="D111" i="4"/>
  <c r="K110" i="4"/>
  <c r="D114" i="4"/>
  <c r="H116" i="4"/>
  <c r="G112" i="4"/>
  <c r="I112" i="4"/>
  <c r="L113" i="4"/>
  <c r="I111" i="4"/>
  <c r="H113" i="4"/>
  <c r="J115" i="4"/>
  <c r="I114" i="4"/>
  <c r="D113" i="4"/>
  <c r="G114" i="4"/>
  <c r="L116" i="4"/>
  <c r="D112" i="4"/>
  <c r="J113" i="4"/>
  <c r="E111" i="4"/>
  <c r="H115" i="4"/>
  <c r="F114" i="4"/>
  <c r="I113" i="4"/>
  <c r="I110" i="4"/>
  <c r="K112" i="4"/>
  <c r="F110" i="4"/>
  <c r="G115" i="4"/>
  <c r="H112" i="4"/>
  <c r="M116" i="4"/>
  <c r="L114" i="4"/>
  <c r="H110" i="4"/>
  <c r="K111" i="4"/>
  <c r="H117" i="4"/>
  <c r="K115" i="4"/>
  <c r="L112" i="4"/>
  <c r="F115" i="4"/>
  <c r="J110" i="4"/>
  <c r="F111" i="4"/>
  <c r="F113" i="4"/>
  <c r="H111" i="4"/>
  <c r="G110" i="4"/>
  <c r="J116" i="4"/>
  <c r="K114" i="4"/>
  <c r="G111" i="4"/>
  <c r="L117" i="4"/>
  <c r="K116" i="4"/>
  <c r="E114" i="4"/>
  <c r="E113" i="4"/>
  <c r="J111" i="4"/>
  <c r="M114" i="4"/>
  <c r="J114" i="4"/>
  <c r="L111" i="4"/>
  <c r="L115" i="4"/>
  <c r="E115" i="4"/>
  <c r="M111" i="4"/>
  <c r="I115" i="4"/>
  <c r="I117" i="4"/>
  <c r="I116" i="4"/>
  <c r="D116" i="4"/>
  <c r="G113" i="4"/>
  <c r="E110" i="4"/>
  <c r="M117" i="4"/>
  <c r="K113" i="4"/>
  <c r="M115" i="4"/>
  <c r="E10" i="35"/>
  <c r="E8" i="35"/>
  <c r="E9" i="35"/>
  <c r="E12" i="35"/>
  <c r="E7" i="35"/>
  <c r="E6" i="35"/>
  <c r="E11" i="35"/>
  <c r="C25" i="38"/>
  <c r="C20" i="38"/>
  <c r="C23" i="38"/>
  <c r="C19" i="38"/>
  <c r="C21" i="38"/>
  <c r="C24" i="38"/>
  <c r="C22" i="38"/>
  <c r="D31" i="39"/>
  <c r="G11" i="35"/>
  <c r="G6" i="35"/>
  <c r="G7" i="35"/>
  <c r="G8" i="35"/>
  <c r="G10" i="35"/>
  <c r="G9" i="35"/>
  <c r="G12" i="35"/>
  <c r="C11" i="34"/>
  <c r="C38" i="38"/>
  <c r="C35" i="38"/>
  <c r="C32" i="38"/>
  <c r="C34" i="38"/>
  <c r="C36" i="38"/>
  <c r="C33" i="38"/>
  <c r="C37" i="38"/>
  <c r="B233" i="38" a="1"/>
  <c r="B233" i="8" a="1"/>
  <c r="B31" i="39"/>
  <c r="C6" i="34"/>
  <c r="B237" i="38" a="1"/>
  <c r="B151" i="34"/>
  <c r="B240" i="38" a="1"/>
  <c r="C8" i="34"/>
  <c r="C14" i="33"/>
  <c r="G5" i="37"/>
  <c r="C106" i="30"/>
  <c r="J106" i="30"/>
  <c r="F106" i="30"/>
  <c r="L106" i="30"/>
  <c r="D106" i="30"/>
  <c r="K106" i="30"/>
  <c r="G106" i="30"/>
  <c r="I106" i="30"/>
  <c r="H106" i="30"/>
  <c r="E106" i="30"/>
  <c r="L117" i="29"/>
  <c r="M114" i="29"/>
  <c r="F112" i="29"/>
  <c r="G117" i="29"/>
  <c r="E114" i="29"/>
  <c r="I116" i="29"/>
  <c r="K117" i="29"/>
  <c r="I114" i="29"/>
  <c r="D110" i="29"/>
  <c r="D111" i="29"/>
  <c r="E111" i="29"/>
  <c r="H112" i="29"/>
  <c r="G113" i="29"/>
  <c r="E116" i="29"/>
  <c r="D116" i="29"/>
  <c r="L116" i="29"/>
  <c r="G115" i="29"/>
  <c r="D117" i="29"/>
  <c r="F110" i="29"/>
  <c r="G112" i="29"/>
  <c r="G114" i="29"/>
  <c r="M111" i="29"/>
  <c r="E113" i="29"/>
  <c r="J117" i="29"/>
  <c r="F117" i="29"/>
  <c r="J113" i="29"/>
  <c r="I110" i="29"/>
  <c r="H113" i="29"/>
  <c r="M110" i="29"/>
  <c r="K115" i="29"/>
  <c r="F111" i="29"/>
  <c r="K111" i="29"/>
  <c r="K116" i="29"/>
  <c r="H115" i="29"/>
  <c r="E110" i="29"/>
  <c r="L112" i="29"/>
  <c r="D115" i="29"/>
  <c r="J116" i="29"/>
  <c r="I113" i="29"/>
  <c r="I117" i="29"/>
  <c r="L110" i="29"/>
  <c r="D112" i="29"/>
  <c r="I115" i="29"/>
  <c r="G110" i="29"/>
  <c r="G111" i="29"/>
  <c r="D114" i="29"/>
  <c r="L111" i="29"/>
  <c r="L115" i="29"/>
  <c r="H116" i="29"/>
  <c r="K114" i="29"/>
  <c r="F115" i="29"/>
  <c r="M113" i="29"/>
  <c r="E117" i="29"/>
  <c r="M115" i="29"/>
  <c r="M116" i="29"/>
  <c r="L113" i="29"/>
  <c r="G116" i="29"/>
  <c r="D113" i="29"/>
  <c r="L114" i="29"/>
  <c r="M112" i="29"/>
  <c r="J115" i="29"/>
  <c r="H114" i="29"/>
  <c r="I112" i="29"/>
  <c r="K110" i="29"/>
  <c r="H117" i="29"/>
  <c r="H111" i="29"/>
  <c r="F114" i="29"/>
  <c r="E115" i="29"/>
  <c r="M117" i="29"/>
  <c r="I111" i="29"/>
  <c r="F113" i="29"/>
  <c r="J112" i="29"/>
  <c r="J114" i="29"/>
  <c r="K112" i="29"/>
  <c r="F116" i="29"/>
  <c r="K113" i="29"/>
  <c r="J111" i="29"/>
  <c r="H110" i="29"/>
  <c r="E112" i="29"/>
  <c r="J110" i="29"/>
  <c r="E5" i="37"/>
  <c r="C78" i="29"/>
  <c r="C76" i="29"/>
  <c r="C77" i="29"/>
  <c r="C79" i="29"/>
  <c r="C80" i="29"/>
  <c r="C75" i="29"/>
  <c r="C74" i="29"/>
  <c r="C73" i="29"/>
  <c r="C9" i="34"/>
  <c r="D33" i="38"/>
  <c r="D34" i="38"/>
  <c r="D37" i="38"/>
  <c r="D38" i="38"/>
  <c r="D36" i="38"/>
  <c r="D35" i="38"/>
  <c r="D32" i="38"/>
  <c r="G10" i="7"/>
  <c r="G12" i="7"/>
  <c r="G8" i="7"/>
  <c r="G11" i="7"/>
  <c r="G9" i="7"/>
  <c r="G6" i="7"/>
  <c r="G7" i="7"/>
  <c r="J18" i="29"/>
  <c r="K18" i="29"/>
  <c r="I18" i="29"/>
  <c r="G18" i="29"/>
  <c r="E18" i="29"/>
  <c r="H18" i="29"/>
  <c r="D18" i="29"/>
  <c r="M18" i="29"/>
  <c r="F18" i="29"/>
  <c r="L18" i="29"/>
  <c r="C31" i="39"/>
  <c r="E25" i="8"/>
  <c r="E24" i="8"/>
  <c r="E22" i="8"/>
  <c r="E19" i="8"/>
  <c r="E23" i="8"/>
  <c r="E21" i="8"/>
  <c r="E20" i="8"/>
  <c r="F138" i="4"/>
  <c r="K138" i="4"/>
  <c r="M138" i="4"/>
  <c r="H138" i="4"/>
  <c r="I138" i="4"/>
  <c r="G138" i="4"/>
  <c r="L138" i="4"/>
  <c r="J138" i="4"/>
  <c r="D138" i="4"/>
  <c r="E138" i="4"/>
  <c r="B37" i="38"/>
  <c r="B35" i="38"/>
  <c r="B32" i="38"/>
  <c r="B38" i="38"/>
  <c r="B33" i="38"/>
  <c r="B34" i="38"/>
  <c r="B36" i="38"/>
  <c r="J243" i="8"/>
  <c r="G243" i="8"/>
  <c r="E243" i="8"/>
  <c r="B243" i="8"/>
  <c r="F243" i="8"/>
  <c r="K243" i="8"/>
  <c r="H243" i="8"/>
  <c r="D243" i="8"/>
  <c r="I243" i="8"/>
  <c r="C243" i="8"/>
  <c r="F5" i="37"/>
  <c r="B18" i="39"/>
  <c r="D5" i="37"/>
  <c r="D22" i="8"/>
  <c r="D23" i="8"/>
  <c r="D19" i="8"/>
  <c r="D19" i="39"/>
  <c r="D21" i="8"/>
  <c r="D21" i="39"/>
  <c r="D25" i="8"/>
  <c r="D20" i="8"/>
  <c r="D24" i="8"/>
  <c r="D24" i="39"/>
  <c r="C7" i="34"/>
  <c r="E32" i="8"/>
  <c r="E33" i="8"/>
  <c r="E35" i="8"/>
  <c r="E36" i="8"/>
  <c r="E34" i="8"/>
  <c r="E38" i="8"/>
  <c r="E37" i="8"/>
  <c r="C73" i="4"/>
  <c r="C78" i="4"/>
  <c r="C74" i="4"/>
  <c r="C80" i="4"/>
  <c r="C76" i="4"/>
  <c r="C79" i="4"/>
  <c r="C77" i="4"/>
  <c r="C75" i="4"/>
  <c r="J89" i="29"/>
  <c r="J82" i="29"/>
  <c r="I82" i="29"/>
  <c r="M84" i="29"/>
  <c r="F88" i="29"/>
  <c r="M86" i="29"/>
  <c r="H87" i="29"/>
  <c r="E86" i="29"/>
  <c r="I85" i="29"/>
  <c r="I84" i="29"/>
  <c r="H89" i="29"/>
  <c r="I87" i="29"/>
  <c r="J88" i="29"/>
  <c r="G85" i="29"/>
  <c r="M83" i="29"/>
  <c r="L89" i="29"/>
  <c r="K84" i="29"/>
  <c r="F85" i="29"/>
  <c r="K83" i="29"/>
  <c r="I89" i="29"/>
  <c r="G82" i="29"/>
  <c r="K85" i="29"/>
  <c r="H83" i="29"/>
  <c r="E83" i="29"/>
  <c r="D88" i="29"/>
  <c r="G87" i="29"/>
  <c r="H84" i="29"/>
  <c r="J85" i="29"/>
  <c r="D89" i="29"/>
  <c r="L85" i="29"/>
  <c r="L84" i="29"/>
  <c r="H86" i="29"/>
  <c r="L87" i="29"/>
  <c r="L82" i="29"/>
  <c r="F87" i="29"/>
  <c r="L83" i="29"/>
  <c r="I88" i="29"/>
  <c r="G89" i="29"/>
  <c r="D83" i="29"/>
  <c r="H88" i="29"/>
  <c r="G83" i="29"/>
  <c r="L88" i="29"/>
  <c r="J87" i="29"/>
  <c r="E82" i="29"/>
  <c r="K82" i="29"/>
  <c r="F83" i="29"/>
  <c r="F86" i="29"/>
  <c r="M87" i="29"/>
  <c r="J84" i="29"/>
  <c r="M82" i="29"/>
  <c r="D82" i="29"/>
  <c r="H85" i="29"/>
  <c r="E88" i="29"/>
  <c r="F89" i="29"/>
  <c r="J86" i="29"/>
  <c r="G86" i="29"/>
  <c r="E84" i="29"/>
  <c r="K87" i="29"/>
  <c r="D86" i="29"/>
  <c r="G84" i="29"/>
  <c r="E89" i="29"/>
  <c r="D84" i="29"/>
  <c r="M85" i="29"/>
  <c r="F82" i="29"/>
  <c r="E85" i="29"/>
  <c r="K89" i="29"/>
  <c r="D87" i="29"/>
  <c r="J83" i="29"/>
  <c r="M88" i="29"/>
  <c r="I83" i="29"/>
  <c r="M89" i="29"/>
  <c r="H82" i="29"/>
  <c r="E87" i="29"/>
  <c r="L86" i="29"/>
  <c r="D85" i="29"/>
  <c r="F84" i="29"/>
  <c r="K88" i="29"/>
  <c r="G88" i="29"/>
  <c r="K86" i="29"/>
  <c r="I86" i="29"/>
  <c r="B7" i="38"/>
  <c r="B10" i="38"/>
  <c r="B8" i="38"/>
  <c r="B11" i="38"/>
  <c r="B12" i="38"/>
  <c r="B6" i="38"/>
  <c r="B9" i="38"/>
  <c r="B19" i="38"/>
  <c r="B24" i="38"/>
  <c r="B25" i="38"/>
  <c r="B21" i="38"/>
  <c r="B23" i="38"/>
  <c r="B22" i="38"/>
  <c r="B20" i="38"/>
  <c r="E24" i="38"/>
  <c r="E23" i="38"/>
  <c r="E25" i="38"/>
  <c r="E21" i="38"/>
  <c r="E19" i="38"/>
  <c r="E20" i="38"/>
  <c r="E22" i="38"/>
  <c r="E138" i="29"/>
  <c r="J138" i="29"/>
  <c r="L138" i="29"/>
  <c r="K138" i="29"/>
  <c r="H138" i="29"/>
  <c r="I138" i="29"/>
  <c r="G138" i="29"/>
  <c r="M138" i="29"/>
  <c r="D138" i="29"/>
  <c r="F138" i="29"/>
  <c r="D5" i="39"/>
  <c r="E31" i="39"/>
  <c r="C22" i="8"/>
  <c r="C22" i="39"/>
  <c r="C24" i="8"/>
  <c r="C24" i="39"/>
  <c r="C21" i="8"/>
  <c r="C21" i="39"/>
  <c r="C23" i="8"/>
  <c r="C19" i="8"/>
  <c r="C19" i="39"/>
  <c r="C20" i="8"/>
  <c r="C20" i="39"/>
  <c r="C25" i="8"/>
  <c r="C25" i="39"/>
  <c r="C34" i="8"/>
  <c r="C32" i="8"/>
  <c r="C33" i="8"/>
  <c r="C38" i="8"/>
  <c r="C35" i="8"/>
  <c r="C37" i="8"/>
  <c r="C36" i="8"/>
  <c r="D18" i="39"/>
  <c r="E34" i="38"/>
  <c r="E32" i="38"/>
  <c r="E35" i="38"/>
  <c r="E37" i="38"/>
  <c r="E36" i="38"/>
  <c r="E38" i="38"/>
  <c r="E33" i="38"/>
  <c r="G242" i="38"/>
  <c r="F242" i="38"/>
  <c r="B242" i="38"/>
  <c r="H242" i="38"/>
  <c r="K242" i="38"/>
  <c r="D242" i="38"/>
  <c r="I242" i="38"/>
  <c r="J242" i="38"/>
  <c r="E242" i="38"/>
  <c r="C242" i="38"/>
  <c r="F12" i="7"/>
  <c r="F11" i="7"/>
  <c r="F6" i="7"/>
  <c r="F10" i="7"/>
  <c r="F7" i="7"/>
  <c r="F9" i="7"/>
  <c r="F8" i="7"/>
  <c r="J82" i="4"/>
  <c r="E84" i="4"/>
  <c r="J83" i="4"/>
  <c r="F82" i="4"/>
  <c r="H84" i="4"/>
  <c r="H82" i="4"/>
  <c r="J85" i="4"/>
  <c r="F86" i="4"/>
  <c r="L85" i="4"/>
  <c r="M86" i="4"/>
  <c r="J84" i="4"/>
  <c r="G86" i="4"/>
  <c r="I84" i="4"/>
  <c r="L86" i="4"/>
  <c r="M84" i="4"/>
  <c r="L84" i="4"/>
  <c r="L89" i="4"/>
  <c r="G89" i="4"/>
  <c r="D82" i="4"/>
  <c r="G82" i="4"/>
  <c r="E83" i="4"/>
  <c r="F85" i="4"/>
  <c r="F85" i="33"/>
  <c r="G87" i="4"/>
  <c r="M83" i="4"/>
  <c r="D83" i="4"/>
  <c r="L88" i="4"/>
  <c r="L88" i="33"/>
  <c r="H85" i="4"/>
  <c r="K83" i="4"/>
  <c r="K83" i="33"/>
  <c r="I88" i="4"/>
  <c r="I88" i="33"/>
  <c r="K85" i="4"/>
  <c r="L82" i="4"/>
  <c r="I82" i="4"/>
  <c r="M89" i="4"/>
  <c r="E89" i="4"/>
  <c r="I89" i="4"/>
  <c r="J88" i="4"/>
  <c r="J88" i="33"/>
  <c r="D84" i="4"/>
  <c r="D89" i="4"/>
  <c r="E86" i="4"/>
  <c r="H88" i="4"/>
  <c r="H83" i="4"/>
  <c r="J86" i="4"/>
  <c r="K89" i="4"/>
  <c r="M88" i="4"/>
  <c r="M88" i="33"/>
  <c r="K82" i="4"/>
  <c r="G85" i="4"/>
  <c r="F84" i="4"/>
  <c r="H89" i="4"/>
  <c r="H89" i="33"/>
  <c r="J89" i="4"/>
  <c r="D87" i="4"/>
  <c r="F89" i="4"/>
  <c r="H86" i="4"/>
  <c r="D88" i="4"/>
  <c r="D88" i="33"/>
  <c r="D85" i="4"/>
  <c r="M87" i="4"/>
  <c r="E85" i="4"/>
  <c r="L87" i="4"/>
  <c r="K84" i="4"/>
  <c r="I87" i="4"/>
  <c r="I87" i="33"/>
  <c r="E87" i="4"/>
  <c r="E87" i="33"/>
  <c r="H87" i="4"/>
  <c r="G84" i="4"/>
  <c r="K87" i="4"/>
  <c r="I83" i="4"/>
  <c r="K88" i="4"/>
  <c r="F87" i="4"/>
  <c r="F87" i="33"/>
  <c r="K86" i="4"/>
  <c r="G88" i="4"/>
  <c r="G88" i="33"/>
  <c r="E82" i="4"/>
  <c r="L83" i="4"/>
  <c r="J87" i="4"/>
  <c r="J87" i="33"/>
  <c r="E88" i="4"/>
  <c r="F83" i="4"/>
  <c r="M82" i="4"/>
  <c r="I86" i="4"/>
  <c r="F88" i="4"/>
  <c r="F88" i="33"/>
  <c r="G83" i="4"/>
  <c r="G83" i="33"/>
  <c r="M85" i="4"/>
  <c r="I85" i="4"/>
  <c r="I85" i="33"/>
  <c r="D86" i="4"/>
  <c r="D32" i="8"/>
  <c r="D36" i="8"/>
  <c r="D35" i="8"/>
  <c r="D34" i="8"/>
  <c r="D38" i="8"/>
  <c r="D33" i="8"/>
  <c r="D37" i="8"/>
  <c r="B5" i="39"/>
  <c r="K17" i="29"/>
  <c r="G17" i="29"/>
  <c r="H17" i="29"/>
  <c r="J17" i="29"/>
  <c r="L17" i="29"/>
  <c r="M17" i="29"/>
  <c r="F17" i="29"/>
  <c r="D17" i="29"/>
  <c r="I17" i="29"/>
  <c r="E17" i="29"/>
  <c r="B25" i="8"/>
  <c r="B24" i="8"/>
  <c r="B22" i="8"/>
  <c r="B19" i="8"/>
  <c r="B19" i="39"/>
  <c r="B23" i="8"/>
  <c r="B20" i="8"/>
  <c r="B21" i="8"/>
  <c r="E10" i="38"/>
  <c r="E6" i="38"/>
  <c r="E12" i="38"/>
  <c r="E11" i="38"/>
  <c r="E8" i="38"/>
  <c r="E9" i="38"/>
  <c r="E7" i="38"/>
  <c r="C12" i="34"/>
  <c r="E18" i="39"/>
  <c r="B8" i="7"/>
  <c r="B11" i="7"/>
  <c r="B7" i="7"/>
  <c r="B6" i="7"/>
  <c r="B10" i="7"/>
  <c r="B9" i="7"/>
  <c r="B12" i="7"/>
  <c r="D9" i="8"/>
  <c r="D6" i="8"/>
  <c r="D8" i="8"/>
  <c r="D10" i="8"/>
  <c r="D7" i="8"/>
  <c r="D12" i="8"/>
  <c r="D11" i="8"/>
  <c r="C12" i="35"/>
  <c r="C10" i="35"/>
  <c r="C7" i="35"/>
  <c r="C6" i="35"/>
  <c r="C8" i="35"/>
  <c r="C9" i="35"/>
  <c r="C11" i="35"/>
  <c r="D85" i="33"/>
  <c r="L86" i="33"/>
  <c r="H86" i="33"/>
  <c r="G86" i="33"/>
  <c r="D86" i="33"/>
  <c r="H88" i="33"/>
  <c r="K84" i="33"/>
  <c r="D22" i="39"/>
  <c r="C23" i="39"/>
  <c r="H243" i="38"/>
  <c r="B243" i="38"/>
  <c r="K243" i="38"/>
  <c r="I243" i="38"/>
  <c r="D243" i="38"/>
  <c r="C243" i="38"/>
  <c r="J243" i="38"/>
  <c r="E243" i="38"/>
  <c r="F243" i="38"/>
  <c r="E85" i="33"/>
  <c r="E109" i="33"/>
  <c r="D87" i="33"/>
  <c r="E84" i="33"/>
  <c r="E89" i="33"/>
  <c r="G89" i="33"/>
  <c r="M86" i="33"/>
  <c r="K241" i="8"/>
  <c r="E241" i="8"/>
  <c r="F241" i="8"/>
  <c r="J241" i="8"/>
  <c r="G85" i="33"/>
  <c r="D89" i="33"/>
  <c r="K85" i="33"/>
  <c r="D25" i="39"/>
  <c r="I241" i="8"/>
  <c r="B241" i="8"/>
  <c r="I83" i="33"/>
  <c r="M83" i="33"/>
  <c r="D241" i="8"/>
  <c r="E88" i="33"/>
  <c r="L84" i="33"/>
  <c r="G241" i="8"/>
  <c r="B21" i="39"/>
  <c r="K88" i="33"/>
  <c r="L87" i="33"/>
  <c r="J89" i="33"/>
  <c r="B22" i="39"/>
  <c r="I86" i="33"/>
  <c r="K86" i="33"/>
  <c r="F89" i="33"/>
  <c r="K89" i="33"/>
  <c r="I89" i="33"/>
  <c r="H85" i="33"/>
  <c r="J84" i="33"/>
  <c r="J83" i="33"/>
  <c r="F109" i="33"/>
  <c r="G138" i="33"/>
  <c r="E23" i="39"/>
  <c r="E110" i="33"/>
  <c r="L115" i="33"/>
  <c r="L117" i="33"/>
  <c r="J110" i="33"/>
  <c r="J115" i="33"/>
  <c r="K110" i="33"/>
  <c r="M112" i="33"/>
  <c r="J112" i="33"/>
  <c r="E90" i="29" a="1"/>
  <c r="E90" i="29"/>
  <c r="F138" i="33"/>
  <c r="M138" i="33"/>
  <c r="E24" i="39"/>
  <c r="M115" i="33"/>
  <c r="I115" i="33"/>
  <c r="K111" i="33"/>
  <c r="I110" i="33"/>
  <c r="G114" i="33"/>
  <c r="G112" i="33"/>
  <c r="E116" i="33"/>
  <c r="K106" i="34"/>
  <c r="I138" i="33"/>
  <c r="E19" i="39"/>
  <c r="D8" i="39"/>
  <c r="G12" i="37"/>
  <c r="C9" i="39"/>
  <c r="E11" i="37"/>
  <c r="B33" i="39"/>
  <c r="D7" i="37"/>
  <c r="C136" i="33"/>
  <c r="C137" i="4"/>
  <c r="C137" i="29"/>
  <c r="B6" i="39"/>
  <c r="E6" i="39"/>
  <c r="F242" i="39"/>
  <c r="D242" i="39"/>
  <c r="D10" i="39"/>
  <c r="B7" i="37"/>
  <c r="D32" i="39"/>
  <c r="J90" i="4" a="1"/>
  <c r="J90" i="4"/>
  <c r="J82" i="33"/>
  <c r="F9" i="37"/>
  <c r="C34" i="39"/>
  <c r="C74" i="33"/>
  <c r="E33" i="39"/>
  <c r="I243" i="39"/>
  <c r="J243" i="39"/>
  <c r="G8" i="37"/>
  <c r="C6" i="39"/>
  <c r="E240" i="8"/>
  <c r="C240" i="8"/>
  <c r="J240" i="8"/>
  <c r="F240" i="8"/>
  <c r="G240" i="8"/>
  <c r="K240" i="8"/>
  <c r="I240" i="8"/>
  <c r="D240" i="8"/>
  <c r="H240" i="8"/>
  <c r="B240" i="8"/>
  <c r="E12" i="37"/>
  <c r="B34" i="39"/>
  <c r="D6" i="37"/>
  <c r="C6" i="37"/>
  <c r="B7" i="39"/>
  <c r="E12" i="39"/>
  <c r="I242" i="39"/>
  <c r="C242" i="39"/>
  <c r="B245" i="8" a="1"/>
  <c r="M116" i="33"/>
  <c r="H115" i="33"/>
  <c r="L106" i="34"/>
  <c r="B254" i="8" a="1"/>
  <c r="J109" i="33"/>
  <c r="B23" i="39"/>
  <c r="F83" i="33"/>
  <c r="H83" i="33"/>
  <c r="M89" i="33"/>
  <c r="D83" i="33"/>
  <c r="L89" i="33"/>
  <c r="L85" i="33"/>
  <c r="B263" i="38" a="1"/>
  <c r="K90" i="29" a="1"/>
  <c r="K90" i="29"/>
  <c r="G90" i="29" a="1"/>
  <c r="G90" i="29"/>
  <c r="D23" i="39"/>
  <c r="H138" i="33"/>
  <c r="E22" i="39"/>
  <c r="M117" i="33"/>
  <c r="E115" i="33"/>
  <c r="K116" i="33"/>
  <c r="F111" i="33"/>
  <c r="L114" i="33"/>
  <c r="F114" i="33"/>
  <c r="I114" i="33"/>
  <c r="D114" i="33"/>
  <c r="J117" i="33"/>
  <c r="M110" i="33"/>
  <c r="C106" i="34"/>
  <c r="B254" i="38" a="1"/>
  <c r="K109" i="33"/>
  <c r="D12" i="39"/>
  <c r="B11" i="37"/>
  <c r="I82" i="33"/>
  <c r="I90" i="4" a="1"/>
  <c r="I90" i="4"/>
  <c r="F7" i="37"/>
  <c r="C78" i="33"/>
  <c r="E32" i="39"/>
  <c r="D243" i="39"/>
  <c r="D7" i="39"/>
  <c r="B6" i="37"/>
  <c r="D36" i="39"/>
  <c r="M82" i="33"/>
  <c r="M90" i="4" a="1"/>
  <c r="M90" i="4"/>
  <c r="F8" i="37"/>
  <c r="C32" i="39"/>
  <c r="C80" i="33"/>
  <c r="E35" i="39"/>
  <c r="C243" i="39"/>
  <c r="G243" i="39"/>
  <c r="G11" i="37"/>
  <c r="K237" i="38"/>
  <c r="B237" i="38"/>
  <c r="D237" i="38"/>
  <c r="J237" i="38"/>
  <c r="G237" i="38"/>
  <c r="I237" i="38"/>
  <c r="F237" i="38"/>
  <c r="E237" i="38"/>
  <c r="C237" i="38"/>
  <c r="H237" i="38"/>
  <c r="J233" i="38"/>
  <c r="I233" i="38"/>
  <c r="C233" i="38"/>
  <c r="K233" i="38"/>
  <c r="E233" i="38"/>
  <c r="G233" i="38"/>
  <c r="D233" i="38"/>
  <c r="H233" i="38"/>
  <c r="F233" i="38"/>
  <c r="B233" i="38"/>
  <c r="B238" i="38"/>
  <c r="F238" i="38"/>
  <c r="C238" i="38"/>
  <c r="G238" i="38"/>
  <c r="I238" i="38"/>
  <c r="E238" i="38"/>
  <c r="H238" i="38"/>
  <c r="K238" i="38"/>
  <c r="D238" i="38"/>
  <c r="J238" i="38"/>
  <c r="F238" i="8"/>
  <c r="K238" i="8"/>
  <c r="E238" i="8"/>
  <c r="C238" i="8"/>
  <c r="I238" i="8"/>
  <c r="H238" i="8"/>
  <c r="D238" i="8"/>
  <c r="D238" i="39"/>
  <c r="G238" i="8"/>
  <c r="J238" i="8"/>
  <c r="B238" i="8"/>
  <c r="E9" i="37"/>
  <c r="B37" i="39"/>
  <c r="D10" i="37"/>
  <c r="C8" i="37"/>
  <c r="B9" i="39"/>
  <c r="E11" i="39"/>
  <c r="K242" i="39"/>
  <c r="F86" i="33"/>
  <c r="B20" i="39"/>
  <c r="J86" i="33"/>
  <c r="B263" i="8" a="1"/>
  <c r="B245" i="38" a="1"/>
  <c r="K113" i="33"/>
  <c r="M111" i="33"/>
  <c r="E114" i="33"/>
  <c r="F113" i="33"/>
  <c r="H110" i="33"/>
  <c r="I113" i="33"/>
  <c r="D113" i="33"/>
  <c r="H116" i="33"/>
  <c r="E112" i="33"/>
  <c r="D115" i="33"/>
  <c r="F106" i="34"/>
  <c r="D109" i="33"/>
  <c r="B237" i="8"/>
  <c r="F237" i="8"/>
  <c r="F237" i="39"/>
  <c r="D237" i="8"/>
  <c r="D237" i="39"/>
  <c r="G237" i="8"/>
  <c r="G237" i="39"/>
  <c r="J237" i="8"/>
  <c r="H237" i="8"/>
  <c r="E237" i="8"/>
  <c r="E237" i="39"/>
  <c r="I237" i="8"/>
  <c r="K237" i="8"/>
  <c r="K237" i="39"/>
  <c r="C237" i="8"/>
  <c r="C237" i="39"/>
  <c r="B38" i="39"/>
  <c r="J235" i="38"/>
  <c r="E235" i="38"/>
  <c r="H235" i="38"/>
  <c r="F235" i="38"/>
  <c r="I235" i="38"/>
  <c r="K235" i="38"/>
  <c r="C235" i="38"/>
  <c r="G235" i="38"/>
  <c r="D235" i="38"/>
  <c r="B235" i="38"/>
  <c r="C9" i="37"/>
  <c r="E7" i="39"/>
  <c r="G90" i="4" a="1"/>
  <c r="G90" i="4"/>
  <c r="G90" i="33"/>
  <c r="G82" i="33"/>
  <c r="B243" i="39"/>
  <c r="G6" i="37"/>
  <c r="D110" i="33"/>
  <c r="C8" i="39"/>
  <c r="H236" i="8"/>
  <c r="H236" i="39"/>
  <c r="J236" i="8"/>
  <c r="J236" i="39"/>
  <c r="B236" i="8"/>
  <c r="B236" i="39"/>
  <c r="C236" i="8"/>
  <c r="C236" i="39"/>
  <c r="F236" i="8"/>
  <c r="F236" i="39"/>
  <c r="I236" i="8"/>
  <c r="I236" i="39"/>
  <c r="K236" i="8"/>
  <c r="K236" i="39"/>
  <c r="E236" i="8"/>
  <c r="E236" i="39"/>
  <c r="D236" i="8"/>
  <c r="D236" i="39"/>
  <c r="G236" i="8"/>
  <c r="G236" i="39"/>
  <c r="E7" i="37"/>
  <c r="B36" i="39"/>
  <c r="D9" i="37"/>
  <c r="C7" i="37"/>
  <c r="B8" i="39"/>
  <c r="E10" i="39"/>
  <c r="E242" i="39"/>
  <c r="H90" i="29" a="1"/>
  <c r="H90" i="29"/>
  <c r="L138" i="33"/>
  <c r="E21" i="39"/>
  <c r="I117" i="33"/>
  <c r="J111" i="33"/>
  <c r="G110" i="33"/>
  <c r="H117" i="33"/>
  <c r="K112" i="33"/>
  <c r="L116" i="33"/>
  <c r="I112" i="33"/>
  <c r="F116" i="33"/>
  <c r="M113" i="33"/>
  <c r="I106" i="34"/>
  <c r="I109" i="33"/>
  <c r="B10" i="37"/>
  <c r="D35" i="39"/>
  <c r="C33" i="39"/>
  <c r="C76" i="33"/>
  <c r="E36" i="39"/>
  <c r="C233" i="8"/>
  <c r="F233" i="8"/>
  <c r="B233" i="8"/>
  <c r="J233" i="8"/>
  <c r="I233" i="8"/>
  <c r="E233" i="8"/>
  <c r="G233" i="8"/>
  <c r="H233" i="8"/>
  <c r="D233" i="8"/>
  <c r="K233" i="8"/>
  <c r="C11" i="39"/>
  <c r="E6" i="37"/>
  <c r="D11" i="37"/>
  <c r="B12" i="39"/>
  <c r="F82" i="33"/>
  <c r="F90" i="4" a="1"/>
  <c r="F90" i="4"/>
  <c r="F12" i="37"/>
  <c r="C38" i="39"/>
  <c r="C79" i="33"/>
  <c r="E34" i="39"/>
  <c r="B12" i="37"/>
  <c r="D38" i="39"/>
  <c r="E82" i="33"/>
  <c r="E90" i="4" a="1"/>
  <c r="E90" i="4"/>
  <c r="E90" i="33"/>
  <c r="K82" i="33"/>
  <c r="K90" i="4" a="1"/>
  <c r="K90" i="4"/>
  <c r="F11" i="37"/>
  <c r="C35" i="39"/>
  <c r="C77" i="33"/>
  <c r="E38" i="39"/>
  <c r="F243" i="39"/>
  <c r="G7" i="37"/>
  <c r="C10" i="39"/>
  <c r="E241" i="38"/>
  <c r="E241" i="39"/>
  <c r="G241" i="38"/>
  <c r="G241" i="39"/>
  <c r="F241" i="38"/>
  <c r="F241" i="39"/>
  <c r="K241" i="38"/>
  <c r="K241" i="39"/>
  <c r="C241" i="38"/>
  <c r="C241" i="39"/>
  <c r="J241" i="38"/>
  <c r="J241" i="39"/>
  <c r="I241" i="38"/>
  <c r="I241" i="39"/>
  <c r="B241" i="38"/>
  <c r="B241" i="39"/>
  <c r="H241" i="38"/>
  <c r="H241" i="39"/>
  <c r="D241" i="38"/>
  <c r="E8" i="37"/>
  <c r="B35" i="39"/>
  <c r="D12" i="37"/>
  <c r="C11" i="37"/>
  <c r="B10" i="39"/>
  <c r="E9" i="39"/>
  <c r="J242" i="39"/>
  <c r="F90" i="29" a="1"/>
  <c r="F90" i="29"/>
  <c r="B272" i="8" a="1"/>
  <c r="B25" i="39"/>
  <c r="H87" i="33"/>
  <c r="D84" i="33"/>
  <c r="E83" i="33"/>
  <c r="I84" i="33"/>
  <c r="H84" i="33"/>
  <c r="D20" i="39"/>
  <c r="J138" i="33"/>
  <c r="E20" i="39"/>
  <c r="I116" i="33"/>
  <c r="M114" i="33"/>
  <c r="J116" i="33"/>
  <c r="K115" i="33"/>
  <c r="F110" i="33"/>
  <c r="D112" i="33"/>
  <c r="L113" i="33"/>
  <c r="E117" i="33"/>
  <c r="L110" i="33"/>
  <c r="F117" i="33"/>
  <c r="D106" i="34"/>
  <c r="G109" i="33"/>
  <c r="E243" i="39"/>
  <c r="C75" i="33"/>
  <c r="E37" i="39"/>
  <c r="K243" i="39"/>
  <c r="K240" i="38"/>
  <c r="J240" i="38"/>
  <c r="E240" i="38"/>
  <c r="H240" i="38"/>
  <c r="F240" i="38"/>
  <c r="G240" i="38"/>
  <c r="B240" i="38"/>
  <c r="I240" i="38"/>
  <c r="D240" i="38"/>
  <c r="C240" i="38"/>
  <c r="C7" i="39"/>
  <c r="E10" i="37"/>
  <c r="D8" i="37"/>
  <c r="C10" i="37"/>
  <c r="B11" i="39"/>
  <c r="G242" i="39"/>
  <c r="E113" i="33"/>
  <c r="H111" i="33"/>
  <c r="D117" i="33"/>
  <c r="B272" i="38" a="1"/>
  <c r="M90" i="29" a="1"/>
  <c r="M90" i="29"/>
  <c r="L90" i="29" a="1"/>
  <c r="L90" i="29"/>
  <c r="J90" i="29" a="1"/>
  <c r="J90" i="29"/>
  <c r="D138" i="33"/>
  <c r="D116" i="33"/>
  <c r="J114" i="33"/>
  <c r="K114" i="33"/>
  <c r="L112" i="33"/>
  <c r="G115" i="33"/>
  <c r="J113" i="33"/>
  <c r="I111" i="33"/>
  <c r="F112" i="33"/>
  <c r="K117" i="33"/>
  <c r="G117" i="33"/>
  <c r="J106" i="34"/>
  <c r="H106" i="34"/>
  <c r="L109" i="33"/>
  <c r="M109" i="33"/>
  <c r="D90" i="4" a="1"/>
  <c r="D90" i="4"/>
  <c r="D82" i="33"/>
  <c r="G9" i="37"/>
  <c r="B242" i="39"/>
  <c r="D11" i="39"/>
  <c r="B9" i="37"/>
  <c r="D34" i="39"/>
  <c r="D9" i="39"/>
  <c r="D33" i="39"/>
  <c r="H82" i="33"/>
  <c r="H90" i="4" a="1"/>
  <c r="H90" i="4"/>
  <c r="H90" i="33"/>
  <c r="F6" i="37"/>
  <c r="C37" i="39"/>
  <c r="D6" i="39"/>
  <c r="B8" i="37"/>
  <c r="D37" i="39"/>
  <c r="L90" i="4" a="1"/>
  <c r="L90" i="4"/>
  <c r="L82" i="33"/>
  <c r="F10" i="37"/>
  <c r="C36" i="39"/>
  <c r="C73" i="33"/>
  <c r="H243" i="39"/>
  <c r="G10" i="37"/>
  <c r="C12" i="39"/>
  <c r="B32" i="39"/>
  <c r="D241" i="39"/>
  <c r="F235" i="8"/>
  <c r="F235" i="39"/>
  <c r="G235" i="8"/>
  <c r="G235" i="39"/>
  <c r="I235" i="8"/>
  <c r="K235" i="8"/>
  <c r="K235" i="39"/>
  <c r="H235" i="8"/>
  <c r="H235" i="39"/>
  <c r="C235" i="8"/>
  <c r="C235" i="39"/>
  <c r="B235" i="8"/>
  <c r="B235" i="39"/>
  <c r="E235" i="8"/>
  <c r="E235" i="39"/>
  <c r="J235" i="8"/>
  <c r="J235" i="39"/>
  <c r="D235" i="8"/>
  <c r="D235" i="39"/>
  <c r="C12" i="37"/>
  <c r="E8" i="39"/>
  <c r="H242" i="39"/>
  <c r="B24" i="39"/>
  <c r="M85" i="33"/>
  <c r="L83" i="33"/>
  <c r="G84" i="33"/>
  <c r="K87" i="33"/>
  <c r="M87" i="33"/>
  <c r="F84" i="33"/>
  <c r="E86" i="33"/>
  <c r="G87" i="33"/>
  <c r="M84" i="33"/>
  <c r="J85" i="33"/>
  <c r="D90" i="29" a="1"/>
  <c r="D90" i="29"/>
  <c r="I90" i="29" a="1"/>
  <c r="I90" i="29"/>
  <c r="E138" i="33"/>
  <c r="K138" i="33"/>
  <c r="E25" i="39"/>
  <c r="G113" i="33"/>
  <c r="L111" i="33"/>
  <c r="G111" i="33"/>
  <c r="F115" i="33"/>
  <c r="H112" i="33"/>
  <c r="E111" i="33"/>
  <c r="H113" i="33"/>
  <c r="D111" i="33"/>
  <c r="H114" i="33"/>
  <c r="G116" i="33"/>
  <c r="E106" i="34"/>
  <c r="G106" i="34"/>
  <c r="H109" i="33"/>
  <c r="H237" i="39"/>
  <c r="J238" i="39"/>
  <c r="F238" i="39"/>
  <c r="B238" i="39"/>
  <c r="K238" i="39"/>
  <c r="B237" i="39"/>
  <c r="I237" i="39"/>
  <c r="L90" i="33"/>
  <c r="D90" i="33"/>
  <c r="C137" i="33"/>
  <c r="E238" i="39"/>
  <c r="D24" i="33"/>
  <c r="D233" i="39"/>
  <c r="C233" i="39"/>
  <c r="B266" i="8"/>
  <c r="J266" i="8"/>
  <c r="D264" i="8"/>
  <c r="I267" i="8"/>
  <c r="G265" i="8"/>
  <c r="B270" i="8"/>
  <c r="C269" i="8"/>
  <c r="C266" i="8"/>
  <c r="G269" i="8"/>
  <c r="G270" i="8"/>
  <c r="D267" i="8"/>
  <c r="F265" i="8"/>
  <c r="C267" i="8"/>
  <c r="D265" i="8"/>
  <c r="B263" i="8"/>
  <c r="H270" i="8"/>
  <c r="J269" i="8"/>
  <c r="C264" i="8"/>
  <c r="K268" i="8"/>
  <c r="G263" i="8"/>
  <c r="I270" i="8"/>
  <c r="F263" i="8"/>
  <c r="B264" i="8"/>
  <c r="E269" i="8"/>
  <c r="K263" i="8"/>
  <c r="K270" i="8"/>
  <c r="F270" i="8"/>
  <c r="E265" i="8"/>
  <c r="H263" i="8"/>
  <c r="J268" i="8"/>
  <c r="I269" i="8"/>
  <c r="K269" i="8"/>
  <c r="I265" i="8"/>
  <c r="F264" i="8"/>
  <c r="B267" i="8"/>
  <c r="K265" i="8"/>
  <c r="I264" i="8"/>
  <c r="H264" i="8"/>
  <c r="J263" i="8"/>
  <c r="H267" i="8"/>
  <c r="E268" i="8"/>
  <c r="F269" i="8"/>
  <c r="D266" i="8"/>
  <c r="B265" i="8"/>
  <c r="K264" i="8"/>
  <c r="G266" i="8"/>
  <c r="D269" i="8"/>
  <c r="D263" i="8"/>
  <c r="C270" i="8"/>
  <c r="E267" i="8"/>
  <c r="D270" i="8"/>
  <c r="H269" i="8"/>
  <c r="B269" i="8"/>
  <c r="G267" i="8"/>
  <c r="E270" i="8"/>
  <c r="H266" i="8"/>
  <c r="K266" i="8"/>
  <c r="F266" i="8"/>
  <c r="F267" i="8"/>
  <c r="I263" i="8"/>
  <c r="E264" i="8"/>
  <c r="J267" i="8"/>
  <c r="D268" i="8"/>
  <c r="I268" i="8"/>
  <c r="H268" i="8"/>
  <c r="F268" i="8"/>
  <c r="C265" i="8"/>
  <c r="H265" i="8"/>
  <c r="J265" i="8"/>
  <c r="J270" i="8"/>
  <c r="B268" i="8"/>
  <c r="E266" i="8"/>
  <c r="G264" i="8"/>
  <c r="I266" i="8"/>
  <c r="C263" i="8"/>
  <c r="K267" i="8"/>
  <c r="C268" i="8"/>
  <c r="E263" i="8"/>
  <c r="J264" i="8"/>
  <c r="G268" i="8"/>
  <c r="I258" i="8"/>
  <c r="I257" i="8"/>
  <c r="B261" i="8"/>
  <c r="B259" i="8"/>
  <c r="K260" i="8"/>
  <c r="H255" i="8"/>
  <c r="C260" i="8"/>
  <c r="J257" i="8"/>
  <c r="E256" i="8"/>
  <c r="B257" i="8"/>
  <c r="G258" i="8"/>
  <c r="I256" i="8"/>
  <c r="D256" i="8"/>
  <c r="E257" i="8"/>
  <c r="D255" i="8"/>
  <c r="C261" i="8"/>
  <c r="E255" i="8"/>
  <c r="H254" i="8"/>
  <c r="E254" i="8"/>
  <c r="E261" i="8"/>
  <c r="K254" i="8"/>
  <c r="G261" i="8"/>
  <c r="D254" i="8"/>
  <c r="J258" i="8"/>
  <c r="J255" i="8"/>
  <c r="C258" i="8"/>
  <c r="B260" i="8"/>
  <c r="B256" i="8"/>
  <c r="C255" i="8"/>
  <c r="E259" i="8"/>
  <c r="F256" i="8"/>
  <c r="G256" i="8"/>
  <c r="C256" i="8"/>
  <c r="F261" i="8"/>
  <c r="F254" i="8"/>
  <c r="D258" i="8"/>
  <c r="I261" i="8"/>
  <c r="D261" i="8"/>
  <c r="I259" i="8"/>
  <c r="G255" i="8"/>
  <c r="G257" i="8"/>
  <c r="H257" i="8"/>
  <c r="J254" i="8"/>
  <c r="C257" i="8"/>
  <c r="K261" i="8"/>
  <c r="H256" i="8"/>
  <c r="D257" i="8"/>
  <c r="J259" i="8"/>
  <c r="F257" i="8"/>
  <c r="J261" i="8"/>
  <c r="H260" i="8"/>
  <c r="I254" i="8"/>
  <c r="E260" i="8"/>
  <c r="I260" i="8"/>
  <c r="I255" i="8"/>
  <c r="G254" i="8"/>
  <c r="G260" i="8"/>
  <c r="H259" i="8"/>
  <c r="F258" i="8"/>
  <c r="D259" i="8"/>
  <c r="K255" i="8"/>
  <c r="E258" i="8"/>
  <c r="K257" i="8"/>
  <c r="B258" i="8"/>
  <c r="H258" i="8"/>
  <c r="F259" i="8"/>
  <c r="H261" i="8"/>
  <c r="B254" i="8"/>
  <c r="F255" i="8"/>
  <c r="D260" i="8"/>
  <c r="K256" i="8"/>
  <c r="K259" i="8"/>
  <c r="B255" i="8"/>
  <c r="J256" i="8"/>
  <c r="C259" i="8"/>
  <c r="F260" i="8"/>
  <c r="J260" i="8"/>
  <c r="G259" i="8"/>
  <c r="K258" i="8"/>
  <c r="C254" i="8"/>
  <c r="G240" i="39"/>
  <c r="M90" i="33"/>
  <c r="B233" i="39"/>
  <c r="I240" i="39"/>
  <c r="J237" i="39"/>
  <c r="J90" i="33"/>
  <c r="F233" i="39"/>
  <c r="J233" i="39"/>
  <c r="D240" i="39"/>
  <c r="C238" i="39"/>
  <c r="K240" i="39"/>
  <c r="I233" i="39"/>
  <c r="E247" i="38"/>
  <c r="I249" i="38"/>
  <c r="G252" i="38"/>
  <c r="F245" i="38"/>
  <c r="C251" i="38"/>
  <c r="F247" i="38"/>
  <c r="H251" i="38"/>
  <c r="J251" i="38"/>
  <c r="I251" i="38"/>
  <c r="F251" i="38"/>
  <c r="E251" i="38"/>
  <c r="D252" i="38"/>
  <c r="J250" i="38"/>
  <c r="C245" i="38"/>
  <c r="H249" i="38"/>
  <c r="D245" i="38"/>
  <c r="F252" i="38"/>
  <c r="G245" i="38"/>
  <c r="J248" i="38"/>
  <c r="F250" i="38"/>
  <c r="E252" i="38"/>
  <c r="B248" i="38"/>
  <c r="K250" i="38"/>
  <c r="H245" i="38"/>
  <c r="E246" i="38"/>
  <c r="C250" i="38"/>
  <c r="H250" i="38"/>
  <c r="H246" i="38"/>
  <c r="D248" i="38"/>
  <c r="I248" i="38"/>
  <c r="C247" i="38"/>
  <c r="B245" i="38"/>
  <c r="B249" i="38"/>
  <c r="J252" i="38"/>
  <c r="J245" i="38"/>
  <c r="K249" i="38"/>
  <c r="H248" i="38"/>
  <c r="G249" i="38"/>
  <c r="C249" i="38"/>
  <c r="I247" i="38"/>
  <c r="C246" i="38"/>
  <c r="G246" i="38"/>
  <c r="J246" i="38"/>
  <c r="B250" i="38"/>
  <c r="D249" i="38"/>
  <c r="E249" i="38"/>
  <c r="C248" i="38"/>
  <c r="D251" i="38"/>
  <c r="B247" i="38"/>
  <c r="K251" i="38"/>
  <c r="F246" i="38"/>
  <c r="H247" i="38"/>
  <c r="G247" i="38"/>
  <c r="E245" i="38"/>
  <c r="I250" i="38"/>
  <c r="H252" i="38"/>
  <c r="I246" i="38"/>
  <c r="K248" i="38"/>
  <c r="F249" i="38"/>
  <c r="I245" i="38"/>
  <c r="E250" i="38"/>
  <c r="D246" i="38"/>
  <c r="J247" i="38"/>
  <c r="K246" i="38"/>
  <c r="J249" i="38"/>
  <c r="B246" i="38"/>
  <c r="I252" i="38"/>
  <c r="K252" i="38"/>
  <c r="B251" i="38"/>
  <c r="C252" i="38"/>
  <c r="B252" i="38"/>
  <c r="K245" i="38"/>
  <c r="G251" i="38"/>
  <c r="G250" i="38"/>
  <c r="G248" i="38"/>
  <c r="D250" i="38"/>
  <c r="F248" i="38"/>
  <c r="E248" i="38"/>
  <c r="K247" i="38"/>
  <c r="D247" i="38"/>
  <c r="E260" i="38"/>
  <c r="I255" i="38"/>
  <c r="J254" i="38"/>
  <c r="G255" i="38"/>
  <c r="D260" i="38"/>
  <c r="C257" i="38"/>
  <c r="D255" i="38"/>
  <c r="K254" i="38"/>
  <c r="F258" i="38"/>
  <c r="B254" i="38"/>
  <c r="B260" i="38"/>
  <c r="K261" i="38"/>
  <c r="I260" i="38"/>
  <c r="G258" i="38"/>
  <c r="E259" i="38"/>
  <c r="G254" i="38"/>
  <c r="K256" i="38"/>
  <c r="C259" i="38"/>
  <c r="K255" i="38"/>
  <c r="E255" i="38"/>
  <c r="F254" i="38"/>
  <c r="H257" i="38"/>
  <c r="C254" i="38"/>
  <c r="H256" i="38"/>
  <c r="E258" i="38"/>
  <c r="G257" i="38"/>
  <c r="E256" i="38"/>
  <c r="F260" i="38"/>
  <c r="B258" i="38"/>
  <c r="F257" i="38"/>
  <c r="H254" i="38"/>
  <c r="I258" i="38"/>
  <c r="I261" i="38"/>
  <c r="C255" i="38"/>
  <c r="H255" i="38"/>
  <c r="C258" i="38"/>
  <c r="J255" i="38"/>
  <c r="D254" i="38"/>
  <c r="G261" i="38"/>
  <c r="D256" i="38"/>
  <c r="I257" i="38"/>
  <c r="D257" i="38"/>
  <c r="C256" i="38"/>
  <c r="K259" i="38"/>
  <c r="B259" i="38"/>
  <c r="G256" i="38"/>
  <c r="C260" i="38"/>
  <c r="B261" i="38"/>
  <c r="I256" i="38"/>
  <c r="D258" i="38"/>
  <c r="H258" i="38"/>
  <c r="K257" i="38"/>
  <c r="H261" i="38"/>
  <c r="I254" i="38"/>
  <c r="J261" i="38"/>
  <c r="C261" i="38"/>
  <c r="J257" i="38"/>
  <c r="E261" i="38"/>
  <c r="K258" i="38"/>
  <c r="F261" i="38"/>
  <c r="D261" i="38"/>
  <c r="E254" i="38"/>
  <c r="J259" i="38"/>
  <c r="B255" i="38"/>
  <c r="E257" i="38"/>
  <c r="B257" i="38"/>
  <c r="F255" i="38"/>
  <c r="H259" i="38"/>
  <c r="J258" i="38"/>
  <c r="F256" i="38"/>
  <c r="J260" i="38"/>
  <c r="K260" i="38"/>
  <c r="G259" i="38"/>
  <c r="F259" i="38"/>
  <c r="J256" i="38"/>
  <c r="H260" i="38"/>
  <c r="I259" i="38"/>
  <c r="D259" i="38"/>
  <c r="G260" i="38"/>
  <c r="B256" i="38"/>
  <c r="E267" i="38"/>
  <c r="E269" i="38"/>
  <c r="J268" i="38"/>
  <c r="G267" i="38"/>
  <c r="J266" i="38"/>
  <c r="D266" i="38"/>
  <c r="F265" i="38"/>
  <c r="I268" i="38"/>
  <c r="F270" i="38"/>
  <c r="F268" i="38"/>
  <c r="F264" i="38"/>
  <c r="G268" i="38"/>
  <c r="E268" i="38"/>
  <c r="C269" i="38"/>
  <c r="H270" i="38"/>
  <c r="G265" i="38"/>
  <c r="J263" i="38"/>
  <c r="K263" i="38"/>
  <c r="G269" i="38"/>
  <c r="E270" i="38"/>
  <c r="D270" i="38"/>
  <c r="F267" i="38"/>
  <c r="B269" i="38"/>
  <c r="E265" i="38"/>
  <c r="I264" i="38"/>
  <c r="B267" i="38"/>
  <c r="J265" i="38"/>
  <c r="D264" i="38"/>
  <c r="D265" i="38"/>
  <c r="B270" i="38"/>
  <c r="I269" i="38"/>
  <c r="G263" i="38"/>
  <c r="F263" i="38"/>
  <c r="C268" i="38"/>
  <c r="D267" i="38"/>
  <c r="B264" i="38"/>
  <c r="K266" i="38"/>
  <c r="H266" i="38"/>
  <c r="J264" i="38"/>
  <c r="B268" i="38"/>
  <c r="I265" i="38"/>
  <c r="F269" i="38"/>
  <c r="F266" i="38"/>
  <c r="G264" i="38"/>
  <c r="C263" i="38"/>
  <c r="K268" i="38"/>
  <c r="D268" i="38"/>
  <c r="K267" i="38"/>
  <c r="C266" i="38"/>
  <c r="D269" i="38"/>
  <c r="I270" i="38"/>
  <c r="E266" i="38"/>
  <c r="E263" i="38"/>
  <c r="B263" i="38"/>
  <c r="I266" i="38"/>
  <c r="H269" i="38"/>
  <c r="J269" i="38"/>
  <c r="I267" i="38"/>
  <c r="C267" i="38"/>
  <c r="H268" i="38"/>
  <c r="K265" i="38"/>
  <c r="C270" i="38"/>
  <c r="H263" i="38"/>
  <c r="B265" i="38"/>
  <c r="C265" i="38"/>
  <c r="C264" i="38"/>
  <c r="K264" i="38"/>
  <c r="H264" i="38"/>
  <c r="D263" i="38"/>
  <c r="E264" i="38"/>
  <c r="K270" i="38"/>
  <c r="G270" i="38"/>
  <c r="J270" i="38"/>
  <c r="H265" i="38"/>
  <c r="J267" i="38"/>
  <c r="K269" i="38"/>
  <c r="G266" i="38"/>
  <c r="B266" i="38"/>
  <c r="I263" i="38"/>
  <c r="H267" i="38"/>
  <c r="B247" i="8"/>
  <c r="K250" i="8"/>
  <c r="C245" i="8"/>
  <c r="K248" i="8"/>
  <c r="J252" i="8"/>
  <c r="G247" i="8"/>
  <c r="K249" i="8"/>
  <c r="I249" i="8"/>
  <c r="J251" i="8"/>
  <c r="I246" i="8"/>
  <c r="B248" i="8"/>
  <c r="D251" i="8"/>
  <c r="J245" i="8"/>
  <c r="H250" i="8"/>
  <c r="J246" i="8"/>
  <c r="I248" i="8"/>
  <c r="F249" i="8"/>
  <c r="F245" i="8"/>
  <c r="I251" i="8"/>
  <c r="I247" i="8"/>
  <c r="E246" i="8"/>
  <c r="G252" i="8"/>
  <c r="H245" i="8"/>
  <c r="E247" i="8"/>
  <c r="D248" i="8"/>
  <c r="F248" i="8"/>
  <c r="H251" i="8"/>
  <c r="D246" i="8"/>
  <c r="H252" i="8"/>
  <c r="G249" i="8"/>
  <c r="C247" i="8"/>
  <c r="E251" i="8"/>
  <c r="E249" i="8"/>
  <c r="E248" i="8"/>
  <c r="F250" i="8"/>
  <c r="J250" i="8"/>
  <c r="G250" i="8"/>
  <c r="E252" i="8"/>
  <c r="B252" i="8"/>
  <c r="H249" i="8"/>
  <c r="C252" i="8"/>
  <c r="F251" i="8"/>
  <c r="J247" i="8"/>
  <c r="K251" i="8"/>
  <c r="K252" i="8"/>
  <c r="I252" i="8"/>
  <c r="G246" i="8"/>
  <c r="K245" i="8"/>
  <c r="B250" i="8"/>
  <c r="C249" i="8"/>
  <c r="G245" i="8"/>
  <c r="H248" i="8"/>
  <c r="E250" i="8"/>
  <c r="K246" i="8"/>
  <c r="D249" i="8"/>
  <c r="B245" i="8"/>
  <c r="E245" i="8"/>
  <c r="D250" i="8"/>
  <c r="F252" i="8"/>
  <c r="D247" i="8"/>
  <c r="D245" i="8"/>
  <c r="B251" i="8"/>
  <c r="I250" i="8"/>
  <c r="B246" i="8"/>
  <c r="C246" i="8"/>
  <c r="G251" i="8"/>
  <c r="C248" i="8"/>
  <c r="F246" i="8"/>
  <c r="J248" i="8"/>
  <c r="C250" i="8"/>
  <c r="I245" i="8"/>
  <c r="G248" i="8"/>
  <c r="J249" i="8"/>
  <c r="B249" i="8"/>
  <c r="H246" i="8"/>
  <c r="K247" i="8"/>
  <c r="H247" i="8"/>
  <c r="F247" i="8"/>
  <c r="D252" i="8"/>
  <c r="C251" i="8"/>
  <c r="H240" i="39"/>
  <c r="E240" i="39"/>
  <c r="I238" i="39"/>
  <c r="I90" i="33"/>
  <c r="K233" i="39"/>
  <c r="H279" i="38"/>
  <c r="C273" i="38"/>
  <c r="E276" i="38"/>
  <c r="H275" i="38"/>
  <c r="B276" i="38"/>
  <c r="K278" i="38"/>
  <c r="I279" i="38"/>
  <c r="I275" i="38"/>
  <c r="D272" i="38"/>
  <c r="J274" i="38"/>
  <c r="F272" i="38"/>
  <c r="C279" i="38"/>
  <c r="K273" i="38"/>
  <c r="J278" i="38"/>
  <c r="E279" i="38"/>
  <c r="F277" i="38"/>
  <c r="C278" i="38"/>
  <c r="B278" i="38"/>
  <c r="F276" i="38"/>
  <c r="J272" i="38"/>
  <c r="H273" i="38"/>
  <c r="F279" i="38"/>
  <c r="H274" i="38"/>
  <c r="D279" i="38"/>
  <c r="E274" i="38"/>
  <c r="D275" i="38"/>
  <c r="J273" i="38"/>
  <c r="J279" i="38"/>
  <c r="B279" i="38"/>
  <c r="D278" i="38"/>
  <c r="J275" i="38"/>
  <c r="J276" i="38"/>
  <c r="I273" i="38"/>
  <c r="I272" i="38"/>
  <c r="G278" i="38"/>
  <c r="F274" i="38"/>
  <c r="J277" i="38"/>
  <c r="I274" i="38"/>
  <c r="G273" i="38"/>
  <c r="I277" i="38"/>
  <c r="F278" i="38"/>
  <c r="H277" i="38"/>
  <c r="C275" i="38"/>
  <c r="G274" i="38"/>
  <c r="D276" i="38"/>
  <c r="G275" i="38"/>
  <c r="E277" i="38"/>
  <c r="H272" i="38"/>
  <c r="D274" i="38"/>
  <c r="H276" i="38"/>
  <c r="K276" i="38"/>
  <c r="F275" i="38"/>
  <c r="E275" i="38"/>
  <c r="C272" i="38"/>
  <c r="G279" i="38"/>
  <c r="F273" i="38"/>
  <c r="K277" i="38"/>
  <c r="C276" i="38"/>
  <c r="C277" i="38"/>
  <c r="K279" i="38"/>
  <c r="D273" i="38"/>
  <c r="C274" i="38"/>
  <c r="D277" i="38"/>
  <c r="I278" i="38"/>
  <c r="I276" i="38"/>
  <c r="K275" i="38"/>
  <c r="B273" i="38"/>
  <c r="G277" i="38"/>
  <c r="E272" i="38"/>
  <c r="K274" i="38"/>
  <c r="B275" i="38"/>
  <c r="B272" i="38"/>
  <c r="E273" i="38"/>
  <c r="G272" i="38"/>
  <c r="H278" i="38"/>
  <c r="B274" i="38"/>
  <c r="G276" i="38"/>
  <c r="B277" i="38"/>
  <c r="E278" i="38"/>
  <c r="K272" i="38"/>
  <c r="C274" i="8"/>
  <c r="C277" i="8"/>
  <c r="C278" i="8"/>
  <c r="K278" i="8"/>
  <c r="F275" i="8"/>
  <c r="G272" i="8"/>
  <c r="E279" i="8"/>
  <c r="I277" i="8"/>
  <c r="B275" i="8"/>
  <c r="H274" i="8"/>
  <c r="I272" i="8"/>
  <c r="C272" i="8"/>
  <c r="D274" i="8"/>
  <c r="G276" i="8"/>
  <c r="I274" i="8"/>
  <c r="D279" i="8"/>
  <c r="J277" i="8"/>
  <c r="K272" i="8"/>
  <c r="H273" i="8"/>
  <c r="G275" i="8"/>
  <c r="B279" i="8"/>
  <c r="F272" i="8"/>
  <c r="E272" i="8"/>
  <c r="C279" i="8"/>
  <c r="J279" i="8"/>
  <c r="K275" i="8"/>
  <c r="E274" i="8"/>
  <c r="I276" i="8"/>
  <c r="H276" i="8"/>
  <c r="F278" i="8"/>
  <c r="F274" i="8"/>
  <c r="G279" i="8"/>
  <c r="J274" i="8"/>
  <c r="D273" i="8"/>
  <c r="K273" i="8"/>
  <c r="E276" i="8"/>
  <c r="D272" i="8"/>
  <c r="D277" i="8"/>
  <c r="K279" i="8"/>
  <c r="F277" i="8"/>
  <c r="E277" i="8"/>
  <c r="C275" i="8"/>
  <c r="J276" i="8"/>
  <c r="G273" i="8"/>
  <c r="F279" i="8"/>
  <c r="B274" i="8"/>
  <c r="J278" i="8"/>
  <c r="B276" i="8"/>
  <c r="C273" i="8"/>
  <c r="G278" i="8"/>
  <c r="K276" i="8"/>
  <c r="B273" i="8"/>
  <c r="G274" i="8"/>
  <c r="E273" i="8"/>
  <c r="G277" i="8"/>
  <c r="F276" i="8"/>
  <c r="D278" i="8"/>
  <c r="F273" i="8"/>
  <c r="I273" i="8"/>
  <c r="D275" i="8"/>
  <c r="I278" i="8"/>
  <c r="H275" i="8"/>
  <c r="C276" i="8"/>
  <c r="H279" i="8"/>
  <c r="B277" i="8"/>
  <c r="K274" i="8"/>
  <c r="K277" i="8"/>
  <c r="E275" i="8"/>
  <c r="H272" i="8"/>
  <c r="D276" i="8"/>
  <c r="H278" i="8"/>
  <c r="I275" i="8"/>
  <c r="J272" i="8"/>
  <c r="E278" i="8"/>
  <c r="B272" i="8"/>
  <c r="J273" i="8"/>
  <c r="J275" i="8"/>
  <c r="B278" i="8"/>
  <c r="H277" i="8"/>
  <c r="I279" i="8"/>
  <c r="E233" i="39"/>
  <c r="B240" i="39"/>
  <c r="C240" i="39"/>
  <c r="K90" i="33"/>
  <c r="H238" i="39"/>
  <c r="G233" i="39"/>
  <c r="J240" i="39"/>
  <c r="I235" i="39"/>
  <c r="F90" i="33"/>
  <c r="H233" i="39"/>
  <c r="F240" i="39"/>
  <c r="G238" i="39"/>
  <c r="H277" i="39"/>
  <c r="H278" i="39"/>
  <c r="C276" i="39"/>
  <c r="G277" i="39"/>
  <c r="J278" i="39"/>
  <c r="K279" i="39"/>
  <c r="F274" i="39"/>
  <c r="E272" i="39"/>
  <c r="I274" i="39"/>
  <c r="E279" i="39"/>
  <c r="H246" i="39"/>
  <c r="C248" i="39"/>
  <c r="F252" i="39"/>
  <c r="G245" i="39"/>
  <c r="J247" i="39"/>
  <c r="F250" i="39"/>
  <c r="H251" i="39"/>
  <c r="I251" i="39"/>
  <c r="B248" i="39"/>
  <c r="C245" i="39"/>
  <c r="K258" i="39"/>
  <c r="K256" i="39"/>
  <c r="K257" i="39"/>
  <c r="I255" i="39"/>
  <c r="D257" i="39"/>
  <c r="I259" i="39"/>
  <c r="F256" i="39"/>
  <c r="D254" i="39"/>
  <c r="D255" i="39"/>
  <c r="C260" i="39"/>
  <c r="G264" i="39"/>
  <c r="H268" i="39"/>
  <c r="K266" i="39"/>
  <c r="C270" i="39"/>
  <c r="E268" i="39"/>
  <c r="I265" i="39"/>
  <c r="K263" i="39"/>
  <c r="J269" i="39"/>
  <c r="G269" i="39"/>
  <c r="B266" i="39"/>
  <c r="B246" i="39"/>
  <c r="H249" i="39"/>
  <c r="I248" i="39"/>
  <c r="I279" i="39"/>
  <c r="I275" i="39"/>
  <c r="H279" i="39"/>
  <c r="F276" i="39"/>
  <c r="B276" i="39"/>
  <c r="F277" i="39"/>
  <c r="G279" i="39"/>
  <c r="C279" i="39"/>
  <c r="D279" i="39"/>
  <c r="I277" i="39"/>
  <c r="K247" i="39"/>
  <c r="F246" i="39"/>
  <c r="D247" i="39"/>
  <c r="H248" i="39"/>
  <c r="K251" i="39"/>
  <c r="J250" i="39"/>
  <c r="D246" i="39"/>
  <c r="I247" i="39"/>
  <c r="D251" i="39"/>
  <c r="K248" i="39"/>
  <c r="C254" i="39"/>
  <c r="K259" i="39"/>
  <c r="B258" i="39"/>
  <c r="G254" i="39"/>
  <c r="J259" i="39"/>
  <c r="G255" i="39"/>
  <c r="G256" i="39"/>
  <c r="J258" i="39"/>
  <c r="C261" i="39"/>
  <c r="J257" i="39"/>
  <c r="I266" i="39"/>
  <c r="F268" i="39"/>
  <c r="F266" i="39"/>
  <c r="E267" i="39"/>
  <c r="F269" i="39"/>
  <c r="F264" i="39"/>
  <c r="K270" i="39"/>
  <c r="C264" i="39"/>
  <c r="G270" i="39"/>
  <c r="J266" i="39"/>
  <c r="C251" i="39"/>
  <c r="B245" i="39"/>
  <c r="K245" i="39"/>
  <c r="E251" i="39"/>
  <c r="E247" i="39"/>
  <c r="I249" i="39"/>
  <c r="J272" i="39"/>
  <c r="B277" i="39"/>
  <c r="D278" i="39"/>
  <c r="C273" i="39"/>
  <c r="E277" i="39"/>
  <c r="J274" i="39"/>
  <c r="J279" i="39"/>
  <c r="J277" i="39"/>
  <c r="B275" i="39"/>
  <c r="C274" i="39"/>
  <c r="H247" i="39"/>
  <c r="J248" i="39"/>
  <c r="D245" i="39"/>
  <c r="E250" i="39"/>
  <c r="K252" i="39"/>
  <c r="G250" i="39"/>
  <c r="H252" i="39"/>
  <c r="E246" i="39"/>
  <c r="J245" i="39"/>
  <c r="J252" i="39"/>
  <c r="B255" i="39"/>
  <c r="H258" i="39"/>
  <c r="G260" i="39"/>
  <c r="F257" i="39"/>
  <c r="G257" i="39"/>
  <c r="C256" i="39"/>
  <c r="J255" i="39"/>
  <c r="E255" i="39"/>
  <c r="E256" i="39"/>
  <c r="I258" i="39"/>
  <c r="C263" i="39"/>
  <c r="C265" i="39"/>
  <c r="F267" i="39"/>
  <c r="D270" i="39"/>
  <c r="D266" i="39"/>
  <c r="B267" i="39"/>
  <c r="F270" i="39"/>
  <c r="K268" i="39"/>
  <c r="D267" i="39"/>
  <c r="D264" i="39"/>
  <c r="J273" i="39"/>
  <c r="D275" i="39"/>
  <c r="B273" i="39"/>
  <c r="E276" i="39"/>
  <c r="I276" i="39"/>
  <c r="C272" i="39"/>
  <c r="K278" i="39"/>
  <c r="E278" i="39"/>
  <c r="K274" i="39"/>
  <c r="F273" i="39"/>
  <c r="G278" i="39"/>
  <c r="C275" i="39"/>
  <c r="D273" i="39"/>
  <c r="K275" i="39"/>
  <c r="K272" i="39"/>
  <c r="H274" i="39"/>
  <c r="C277" i="39"/>
  <c r="F247" i="39"/>
  <c r="C250" i="39"/>
  <c r="B251" i="39"/>
  <c r="K246" i="39"/>
  <c r="I252" i="39"/>
  <c r="E252" i="39"/>
  <c r="G249" i="39"/>
  <c r="G252" i="39"/>
  <c r="H250" i="39"/>
  <c r="G247" i="39"/>
  <c r="J256" i="39"/>
  <c r="F259" i="39"/>
  <c r="H259" i="39"/>
  <c r="J261" i="39"/>
  <c r="H257" i="39"/>
  <c r="F261" i="39"/>
  <c r="C258" i="39"/>
  <c r="H254" i="39"/>
  <c r="B257" i="39"/>
  <c r="I257" i="39"/>
  <c r="K267" i="39"/>
  <c r="H265" i="39"/>
  <c r="I263" i="39"/>
  <c r="H269" i="39"/>
  <c r="B265" i="39"/>
  <c r="K265" i="39"/>
  <c r="E265" i="39"/>
  <c r="G263" i="39"/>
  <c r="F265" i="39"/>
  <c r="I267" i="39"/>
  <c r="B272" i="39"/>
  <c r="K277" i="39"/>
  <c r="I273" i="39"/>
  <c r="K276" i="39"/>
  <c r="J276" i="39"/>
  <c r="K273" i="39"/>
  <c r="E274" i="39"/>
  <c r="H273" i="39"/>
  <c r="I272" i="39"/>
  <c r="C278" i="39"/>
  <c r="D252" i="39"/>
  <c r="I245" i="39"/>
  <c r="I250" i="39"/>
  <c r="D249" i="39"/>
  <c r="G246" i="39"/>
  <c r="B252" i="39"/>
  <c r="C247" i="39"/>
  <c r="H245" i="39"/>
  <c r="J246" i="39"/>
  <c r="K249" i="39"/>
  <c r="C259" i="39"/>
  <c r="H261" i="39"/>
  <c r="F258" i="39"/>
  <c r="H260" i="39"/>
  <c r="J254" i="39"/>
  <c r="F254" i="39"/>
  <c r="B260" i="39"/>
  <c r="E254" i="39"/>
  <c r="G258" i="39"/>
  <c r="B261" i="39"/>
  <c r="C268" i="39"/>
  <c r="J265" i="39"/>
  <c r="E264" i="39"/>
  <c r="B269" i="39"/>
  <c r="K264" i="39"/>
  <c r="I264" i="39"/>
  <c r="H263" i="39"/>
  <c r="I270" i="39"/>
  <c r="C267" i="39"/>
  <c r="G265" i="39"/>
  <c r="E275" i="39"/>
  <c r="G273" i="39"/>
  <c r="G275" i="39"/>
  <c r="F260" i="39"/>
  <c r="B254" i="39"/>
  <c r="D259" i="39"/>
  <c r="I254" i="39"/>
  <c r="C257" i="39"/>
  <c r="D258" i="39"/>
  <c r="B256" i="39"/>
  <c r="E261" i="39"/>
  <c r="I256" i="39"/>
  <c r="B259" i="39"/>
  <c r="E263" i="39"/>
  <c r="J270" i="39"/>
  <c r="J267" i="39"/>
  <c r="G267" i="39"/>
  <c r="G266" i="39"/>
  <c r="H264" i="39"/>
  <c r="J268" i="39"/>
  <c r="F263" i="39"/>
  <c r="D265" i="39"/>
  <c r="B270" i="39"/>
  <c r="J275" i="39"/>
  <c r="H272" i="39"/>
  <c r="I278" i="39"/>
  <c r="G274" i="39"/>
  <c r="F279" i="39"/>
  <c r="D272" i="39"/>
  <c r="H276" i="39"/>
  <c r="B279" i="39"/>
  <c r="D274" i="39"/>
  <c r="F275" i="39"/>
  <c r="J249" i="39"/>
  <c r="C246" i="39"/>
  <c r="E245" i="39"/>
  <c r="B250" i="39"/>
  <c r="C252" i="39"/>
  <c r="E249" i="39"/>
  <c r="D248" i="39"/>
  <c r="F249" i="39"/>
  <c r="J251" i="39"/>
  <c r="B247" i="39"/>
  <c r="J260" i="39"/>
  <c r="F255" i="39"/>
  <c r="K255" i="39"/>
  <c r="E260" i="39"/>
  <c r="K261" i="39"/>
  <c r="I261" i="39"/>
  <c r="C255" i="39"/>
  <c r="K254" i="39"/>
  <c r="D256" i="39"/>
  <c r="K260" i="39"/>
  <c r="J264" i="39"/>
  <c r="B268" i="39"/>
  <c r="D268" i="39"/>
  <c r="E270" i="39"/>
  <c r="D269" i="39"/>
  <c r="J263" i="39"/>
  <c r="I269" i="39"/>
  <c r="B264" i="39"/>
  <c r="B263" i="39"/>
  <c r="C269" i="39"/>
  <c r="G248" i="39"/>
  <c r="B278" i="39"/>
  <c r="D276" i="39"/>
  <c r="H275" i="39"/>
  <c r="E273" i="39"/>
  <c r="B274" i="39"/>
  <c r="D277" i="39"/>
  <c r="F278" i="39"/>
  <c r="F272" i="39"/>
  <c r="G276" i="39"/>
  <c r="G272" i="39"/>
  <c r="B249" i="39"/>
  <c r="G251" i="39"/>
  <c r="D250" i="39"/>
  <c r="C249" i="39"/>
  <c r="F251" i="39"/>
  <c r="E248" i="39"/>
  <c r="F248" i="39"/>
  <c r="F245" i="39"/>
  <c r="I246" i="39"/>
  <c r="K250" i="39"/>
  <c r="G259" i="39"/>
  <c r="D260" i="39"/>
  <c r="E258" i="39"/>
  <c r="I260" i="39"/>
  <c r="H256" i="39"/>
  <c r="D261" i="39"/>
  <c r="E259" i="39"/>
  <c r="G261" i="39"/>
  <c r="E257" i="39"/>
  <c r="H255" i="39"/>
  <c r="G268" i="39"/>
  <c r="E266" i="39"/>
  <c r="I268" i="39"/>
  <c r="H266" i="39"/>
  <c r="D263" i="39"/>
  <c r="H267" i="39"/>
  <c r="K269" i="39"/>
  <c r="E269" i="39"/>
  <c r="H270" i="39"/>
  <c r="C266" i="39"/>
  <c r="B82" i="7" a="1"/>
  <c r="B92" i="7" a="1"/>
  <c r="B82" i="7"/>
  <c r="B83" i="7"/>
  <c r="B84" i="7"/>
  <c r="B85" i="7"/>
  <c r="B86" i="7"/>
  <c r="B87" i="7"/>
  <c r="B88" i="7"/>
  <c r="B89" i="7"/>
  <c r="B90" i="7"/>
  <c r="B82" i="35" a="1"/>
  <c r="B82" i="35"/>
  <c r="B83" i="35"/>
  <c r="B84" i="35"/>
  <c r="B85" i="35"/>
  <c r="B86" i="35"/>
  <c r="B87" i="35"/>
  <c r="B88" i="35"/>
  <c r="B89" i="35"/>
  <c r="B90" i="35"/>
  <c r="B90" i="37"/>
  <c r="B92" i="7"/>
  <c r="B93" i="7"/>
  <c r="B94" i="7"/>
  <c r="B95" i="7"/>
  <c r="B96" i="7"/>
  <c r="B97" i="7"/>
  <c r="B98" i="7"/>
  <c r="B99" i="7"/>
  <c r="B100" i="7"/>
  <c r="B92" i="35" a="1"/>
  <c r="B92" i="35"/>
  <c r="B93" i="35"/>
  <c r="B94" i="35"/>
  <c r="B95" i="35"/>
  <c r="B96" i="35"/>
  <c r="B97" i="35"/>
  <c r="B98" i="35"/>
  <c r="B99" i="35"/>
  <c r="B100" i="35"/>
  <c r="B100" i="37"/>
  <c r="B52" i="7" a="1"/>
  <c r="B102" i="35" a="1"/>
  <c r="B62" i="7" a="1"/>
  <c r="B62" i="7"/>
  <c r="B63" i="7"/>
  <c r="B64" i="7"/>
  <c r="B65" i="7"/>
  <c r="B66" i="7"/>
  <c r="B67" i="7"/>
  <c r="B68" i="7"/>
  <c r="B69" i="7"/>
  <c r="B70" i="7"/>
  <c r="B62" i="35" a="1"/>
  <c r="B62" i="35"/>
  <c r="B63" i="35"/>
  <c r="B64" i="35"/>
  <c r="B65" i="35"/>
  <c r="B66" i="35"/>
  <c r="B67" i="35"/>
  <c r="B68" i="35"/>
  <c r="B69" i="35"/>
  <c r="B70" i="35"/>
  <c r="B70" i="37"/>
  <c r="B32" i="7" a="1"/>
  <c r="B52" i="7"/>
  <c r="B53" i="7"/>
  <c r="B54" i="7"/>
  <c r="B55" i="7"/>
  <c r="B56" i="7"/>
  <c r="B57" i="7"/>
  <c r="B58" i="7"/>
  <c r="B59" i="7"/>
  <c r="B60" i="7"/>
  <c r="B52" i="35" a="1"/>
  <c r="B52" i="35"/>
  <c r="B53" i="35"/>
  <c r="B54" i="35"/>
  <c r="B55" i="35"/>
  <c r="B56" i="35"/>
  <c r="B57" i="35"/>
  <c r="B58" i="35"/>
  <c r="B59" i="35"/>
  <c r="B60" i="35"/>
  <c r="B60" i="37"/>
  <c r="B22" i="7" a="1"/>
  <c r="B72" i="35" a="1"/>
  <c r="C52" i="7"/>
  <c r="C53" i="7"/>
  <c r="C54" i="7"/>
  <c r="C55" i="7"/>
  <c r="C56" i="7"/>
  <c r="C57" i="7"/>
  <c r="C58" i="7"/>
  <c r="C59" i="7"/>
  <c r="C60" i="7"/>
  <c r="C52" i="35"/>
  <c r="C53" i="35"/>
  <c r="C54" i="35"/>
  <c r="C55" i="35"/>
  <c r="C56" i="35"/>
  <c r="C57" i="35"/>
  <c r="C58" i="35"/>
  <c r="C59" i="35"/>
  <c r="C60" i="35"/>
  <c r="C60" i="37"/>
  <c r="C22" i="7"/>
  <c r="C23" i="7"/>
  <c r="C24" i="7"/>
  <c r="C25" i="7"/>
  <c r="C26" i="7"/>
  <c r="C27" i="7"/>
  <c r="C28" i="7"/>
  <c r="C29" i="7"/>
  <c r="C30" i="7"/>
  <c r="B22" i="35" a="1"/>
  <c r="C22" i="35"/>
  <c r="C23" i="35"/>
  <c r="C24" i="35"/>
  <c r="C25" i="35"/>
  <c r="C26" i="35"/>
  <c r="C27" i="35"/>
  <c r="C28" i="35"/>
  <c r="C29" i="35"/>
  <c r="C30" i="35"/>
  <c r="C30" i="37"/>
  <c r="B22" i="7"/>
  <c r="B23" i="7"/>
  <c r="B24" i="7"/>
  <c r="B25" i="7"/>
  <c r="B26" i="7"/>
  <c r="B27" i="7"/>
  <c r="B28" i="7"/>
  <c r="B29" i="7"/>
  <c r="B30" i="7"/>
  <c r="B22" i="35"/>
  <c r="B23" i="35"/>
  <c r="B24" i="35"/>
  <c r="B25" i="35"/>
  <c r="B26" i="35"/>
  <c r="B27" i="35"/>
  <c r="B28" i="35"/>
  <c r="B29" i="35"/>
  <c r="B30" i="35"/>
  <c r="B30" i="37"/>
  <c r="C82" i="7"/>
  <c r="C83" i="7"/>
  <c r="C84" i="7"/>
  <c r="C85" i="7"/>
  <c r="C86" i="7"/>
  <c r="C87" i="7"/>
  <c r="C88" i="7"/>
  <c r="C89" i="7"/>
  <c r="C90" i="7"/>
  <c r="C82" i="35"/>
  <c r="C83" i="35"/>
  <c r="C84" i="35"/>
  <c r="C85" i="35"/>
  <c r="C86" i="35"/>
  <c r="C87" i="35"/>
  <c r="C88" i="35"/>
  <c r="C89" i="35"/>
  <c r="C90" i="35"/>
  <c r="C90" i="37"/>
  <c r="C62" i="7"/>
  <c r="C63" i="7"/>
  <c r="C64" i="7"/>
  <c r="C65" i="7"/>
  <c r="C66" i="7"/>
  <c r="C67" i="7"/>
  <c r="C68" i="7"/>
  <c r="C69" i="7"/>
  <c r="C70" i="7"/>
  <c r="C62" i="35"/>
  <c r="C63" i="35"/>
  <c r="C64" i="35"/>
  <c r="C65" i="35"/>
  <c r="C66" i="35"/>
  <c r="C67" i="35"/>
  <c r="C68" i="35"/>
  <c r="C69" i="35"/>
  <c r="C70" i="35"/>
  <c r="C70" i="37"/>
  <c r="C92" i="7"/>
  <c r="C93" i="7"/>
  <c r="C94" i="7"/>
  <c r="C95" i="7"/>
  <c r="C96" i="7"/>
  <c r="C97" i="7"/>
  <c r="C98" i="7"/>
  <c r="C99" i="7"/>
  <c r="C100" i="7"/>
  <c r="C92" i="35"/>
  <c r="C93" i="35"/>
  <c r="C94" i="35"/>
  <c r="C95" i="35"/>
  <c r="C96" i="35"/>
  <c r="C97" i="35"/>
  <c r="C98" i="35"/>
  <c r="C99" i="35"/>
  <c r="C100" i="35"/>
  <c r="C100" i="37"/>
  <c r="C92" i="37"/>
  <c r="B72" i="35"/>
  <c r="B73" i="35"/>
  <c r="B74" i="35"/>
  <c r="B75" i="35"/>
  <c r="B76" i="35"/>
  <c r="B77" i="35"/>
  <c r="B78" i="35"/>
  <c r="B79" i="35"/>
  <c r="B80" i="35"/>
  <c r="B28" i="37"/>
  <c r="B53" i="37"/>
  <c r="B32" i="35" a="1"/>
  <c r="C27" i="37"/>
  <c r="C84" i="37"/>
  <c r="B92" i="37"/>
  <c r="B62" i="37"/>
  <c r="B56" i="37"/>
  <c r="C93" i="37"/>
  <c r="C98" i="37"/>
  <c r="B33" i="7"/>
  <c r="B33" i="35"/>
  <c r="B33" i="37"/>
  <c r="B82" i="37"/>
  <c r="B52" i="37"/>
  <c r="C54" i="37"/>
  <c r="B84" i="37"/>
  <c r="C32" i="7"/>
  <c r="C33" i="7"/>
  <c r="C34" i="7"/>
  <c r="C35" i="7"/>
  <c r="C36" i="7"/>
  <c r="C37" i="7"/>
  <c r="C38" i="7"/>
  <c r="C39" i="7"/>
  <c r="C40" i="7"/>
  <c r="C32" i="35"/>
  <c r="C33" i="35"/>
  <c r="C34" i="35"/>
  <c r="C35" i="35"/>
  <c r="C36" i="35"/>
  <c r="C37" i="35"/>
  <c r="C38" i="35"/>
  <c r="C39" i="35"/>
  <c r="C40" i="35"/>
  <c r="C40" i="37"/>
  <c r="C32" i="37"/>
  <c r="B102" i="35"/>
  <c r="B103" i="35"/>
  <c r="B104" i="35"/>
  <c r="B105" i="35"/>
  <c r="B106" i="35"/>
  <c r="B107" i="35"/>
  <c r="B108" i="35"/>
  <c r="B109" i="35"/>
  <c r="B110" i="35"/>
  <c r="C24" i="37"/>
  <c r="C58" i="37"/>
  <c r="B57" i="37"/>
  <c r="B22" i="37"/>
  <c r="C82" i="37"/>
  <c r="C62" i="37"/>
  <c r="C56" i="37"/>
  <c r="B32" i="7"/>
  <c r="B34" i="7"/>
  <c r="B35" i="7"/>
  <c r="B36" i="7"/>
  <c r="B37" i="7"/>
  <c r="B38" i="7"/>
  <c r="B39" i="7"/>
  <c r="B40" i="7"/>
  <c r="B32" i="35"/>
  <c r="B34" i="35"/>
  <c r="B35" i="35"/>
  <c r="B36" i="35"/>
  <c r="B37" i="35"/>
  <c r="B38" i="35"/>
  <c r="B39" i="35"/>
  <c r="B40" i="35"/>
  <c r="B40" i="37"/>
  <c r="B32" i="37"/>
  <c r="B54" i="37"/>
  <c r="C28" i="37"/>
  <c r="C53" i="37"/>
  <c r="B86" i="37"/>
  <c r="B27" i="37"/>
  <c r="C85" i="37"/>
  <c r="B85" i="37"/>
  <c r="B34" i="37"/>
  <c r="B36" i="37"/>
  <c r="B64" i="37"/>
  <c r="C22" i="37"/>
  <c r="B23" i="37"/>
  <c r="C86" i="37"/>
  <c r="C52" i="37"/>
  <c r="B58" i="37"/>
  <c r="C57" i="37"/>
  <c r="B24" i="37"/>
  <c r="C66" i="37"/>
  <c r="C63" i="37"/>
  <c r="B95" i="37"/>
  <c r="C35" i="37"/>
  <c r="B67" i="8" a="1"/>
  <c r="C70" i="8"/>
  <c r="B67" i="38" a="1"/>
  <c r="C70" i="38"/>
  <c r="C70" i="39"/>
  <c r="H70" i="8"/>
  <c r="H70" i="38"/>
  <c r="H70" i="39"/>
  <c r="B68" i="37"/>
  <c r="B76" i="8" a="1"/>
  <c r="C77" i="8"/>
  <c r="B76" i="38" a="1"/>
  <c r="C77" i="38"/>
  <c r="C77" i="39"/>
  <c r="G72" i="8"/>
  <c r="G72" i="38"/>
  <c r="G72" i="39"/>
  <c r="B58" i="8" a="1"/>
  <c r="E59" i="8"/>
  <c r="B58" i="38" a="1"/>
  <c r="E59" i="38"/>
  <c r="E59" i="39"/>
  <c r="B59" i="8"/>
  <c r="B59" i="38"/>
  <c r="B59" i="39"/>
  <c r="C69" i="37"/>
  <c r="B69" i="37"/>
  <c r="B49" i="8" a="1"/>
  <c r="F51" i="8"/>
  <c r="B49" i="38" a="1"/>
  <c r="F51" i="38"/>
  <c r="F51" i="39"/>
  <c r="K83" i="8"/>
  <c r="K83" i="38"/>
  <c r="K83" i="39"/>
  <c r="C53" i="8"/>
  <c r="C53" i="38"/>
  <c r="C53" i="39"/>
  <c r="J82" i="8"/>
  <c r="J82" i="38"/>
  <c r="J82" i="39"/>
  <c r="C36" i="37"/>
  <c r="J78" i="8"/>
  <c r="J78" i="38"/>
  <c r="J78" i="39"/>
  <c r="B93" i="37"/>
  <c r="K52" i="8"/>
  <c r="K52" i="38"/>
  <c r="K52" i="39"/>
  <c r="F52" i="8"/>
  <c r="F52" i="38"/>
  <c r="F52" i="39"/>
  <c r="F81" i="8"/>
  <c r="F81" i="38"/>
  <c r="F81" i="39"/>
  <c r="B63" i="37"/>
  <c r="F56" i="8"/>
  <c r="F56" i="38"/>
  <c r="F56" i="39"/>
  <c r="K56" i="8"/>
  <c r="K56" i="38"/>
  <c r="K56" i="39"/>
  <c r="K63" i="8"/>
  <c r="K63" i="38"/>
  <c r="K63" i="39"/>
  <c r="B63" i="8"/>
  <c r="B63" i="38"/>
  <c r="B63" i="39"/>
  <c r="J54" i="8"/>
  <c r="J54" i="38"/>
  <c r="J54" i="39"/>
  <c r="E80" i="8"/>
  <c r="E80" i="38"/>
  <c r="E80" i="39"/>
  <c r="K55" i="8"/>
  <c r="K55" i="38"/>
  <c r="K55" i="39"/>
  <c r="B55" i="8"/>
  <c r="B55" i="38"/>
  <c r="B55" i="39"/>
  <c r="F68" i="8"/>
  <c r="F68" i="38"/>
  <c r="F68" i="39"/>
  <c r="E68" i="8"/>
  <c r="E68" i="38"/>
  <c r="E68" i="39"/>
  <c r="B39" i="37"/>
  <c r="G79" i="8"/>
  <c r="G79" i="38"/>
  <c r="G79" i="39"/>
  <c r="C34" i="37"/>
  <c r="D73" i="4" a="1"/>
  <c r="L74" i="4"/>
  <c r="D73" i="29" a="1"/>
  <c r="L74" i="29"/>
  <c r="L74" i="33"/>
  <c r="M74" i="4"/>
  <c r="M74" i="29"/>
  <c r="M74" i="33"/>
  <c r="E78" i="4"/>
  <c r="E78" i="29"/>
  <c r="E78" i="33"/>
  <c r="L76" i="4"/>
  <c r="L76" i="29"/>
  <c r="L76" i="33"/>
  <c r="J77" i="4"/>
  <c r="J77" i="29"/>
  <c r="J77" i="33"/>
  <c r="F77" i="4"/>
  <c r="F77" i="29"/>
  <c r="F77" i="33"/>
  <c r="E75" i="4"/>
  <c r="E75" i="29"/>
  <c r="E75" i="33"/>
  <c r="C26" i="37"/>
  <c r="B83" i="37"/>
  <c r="C25" i="37"/>
  <c r="J73" i="29"/>
  <c r="J74" i="29"/>
  <c r="J75" i="29"/>
  <c r="J76" i="29"/>
  <c r="J78" i="29"/>
  <c r="J79" i="29"/>
  <c r="J80" i="29"/>
  <c r="J81" i="29" a="1"/>
  <c r="J81" i="29"/>
  <c r="H73" i="4"/>
  <c r="H73" i="29"/>
  <c r="H73" i="33"/>
  <c r="M75" i="4"/>
  <c r="M75" i="29"/>
  <c r="M75" i="33"/>
  <c r="B99" i="37"/>
  <c r="G62" i="8"/>
  <c r="G62" i="38"/>
  <c r="G62" i="39"/>
  <c r="G50" i="8"/>
  <c r="G50" i="38"/>
  <c r="G50" i="39"/>
  <c r="J72" i="8"/>
  <c r="J72" i="38"/>
  <c r="J72" i="39"/>
  <c r="H72" i="8"/>
  <c r="H72" i="38"/>
  <c r="H72" i="39"/>
  <c r="C95" i="37"/>
  <c r="J51" i="8"/>
  <c r="J51" i="38"/>
  <c r="J51" i="39"/>
  <c r="C83" i="8"/>
  <c r="C83" i="38"/>
  <c r="C83" i="39"/>
  <c r="C69" i="8"/>
  <c r="C69" i="38"/>
  <c r="C69" i="39"/>
  <c r="E69" i="8"/>
  <c r="E69" i="38"/>
  <c r="E69" i="39"/>
  <c r="B66" i="37"/>
  <c r="J53" i="8"/>
  <c r="J53" i="38"/>
  <c r="J53" i="39"/>
  <c r="D78" i="8"/>
  <c r="D78" i="38"/>
  <c r="D78" i="39"/>
  <c r="J61" i="8"/>
  <c r="J61" i="38"/>
  <c r="J61" i="39"/>
  <c r="F61" i="8"/>
  <c r="F61" i="38"/>
  <c r="F61" i="39"/>
  <c r="C52" i="8"/>
  <c r="C52" i="38"/>
  <c r="C52" i="39"/>
  <c r="E52" i="8"/>
  <c r="E52" i="38"/>
  <c r="E52" i="39"/>
  <c r="I81" i="8"/>
  <c r="I81" i="38"/>
  <c r="I81" i="39"/>
  <c r="H64" i="8"/>
  <c r="H64" i="38"/>
  <c r="H64" i="39"/>
  <c r="B64" i="8"/>
  <c r="B64" i="38"/>
  <c r="B64" i="39"/>
  <c r="B94" i="37"/>
  <c r="B65" i="37"/>
  <c r="H54" i="8"/>
  <c r="H54" i="38"/>
  <c r="H54" i="39"/>
  <c r="B80" i="8"/>
  <c r="B80" i="38"/>
  <c r="B80" i="39"/>
  <c r="H80" i="8"/>
  <c r="H80" i="38"/>
  <c r="H80" i="39"/>
  <c r="H60" i="8"/>
  <c r="H60" i="38"/>
  <c r="H60" i="39"/>
  <c r="K60" i="8"/>
  <c r="K60" i="38"/>
  <c r="K60" i="39"/>
  <c r="H55" i="8"/>
  <c r="H55" i="38"/>
  <c r="H55" i="39"/>
  <c r="D55" i="8"/>
  <c r="D55" i="38"/>
  <c r="D55" i="39"/>
  <c r="K73" i="8"/>
  <c r="K73" i="38"/>
  <c r="K73" i="39"/>
  <c r="C71" i="8"/>
  <c r="C71" i="38"/>
  <c r="C71" i="39"/>
  <c r="H68" i="8"/>
  <c r="H68" i="38"/>
  <c r="H68" i="39"/>
  <c r="G68" i="8"/>
  <c r="G68" i="38"/>
  <c r="G68" i="39"/>
  <c r="H65" i="8"/>
  <c r="H65" i="38"/>
  <c r="H65" i="39"/>
  <c r="E79" i="8"/>
  <c r="E79" i="38"/>
  <c r="E79" i="39"/>
  <c r="C39" i="37"/>
  <c r="C63" i="8"/>
  <c r="C63" i="38"/>
  <c r="C63" i="39"/>
  <c r="C38" i="37"/>
  <c r="I71" i="8"/>
  <c r="I71" i="38"/>
  <c r="I71" i="39"/>
  <c r="K68" i="8"/>
  <c r="K68" i="38"/>
  <c r="K68" i="39"/>
  <c r="C65" i="8"/>
  <c r="C65" i="38"/>
  <c r="C65" i="39"/>
  <c r="C79" i="8"/>
  <c r="C79" i="38"/>
  <c r="C79" i="39"/>
  <c r="J55" i="8"/>
  <c r="J55" i="38"/>
  <c r="J55" i="39"/>
  <c r="F74" i="4"/>
  <c r="F74" i="29"/>
  <c r="F74" i="33"/>
  <c r="F78" i="4"/>
  <c r="F78" i="29"/>
  <c r="F78" i="33"/>
  <c r="D78" i="4"/>
  <c r="D78" i="29"/>
  <c r="D78" i="33"/>
  <c r="I80" i="4"/>
  <c r="I80" i="29"/>
  <c r="I80" i="33"/>
  <c r="J80" i="4"/>
  <c r="J80" i="33"/>
  <c r="E76" i="4"/>
  <c r="E76" i="29"/>
  <c r="E76" i="33"/>
  <c r="I76" i="4"/>
  <c r="I76" i="29"/>
  <c r="I76" i="33"/>
  <c r="H76" i="4"/>
  <c r="H76" i="29"/>
  <c r="H76" i="33"/>
  <c r="C89" i="37"/>
  <c r="G79" i="4"/>
  <c r="G79" i="29"/>
  <c r="G79" i="33"/>
  <c r="M79" i="4"/>
  <c r="M79" i="29"/>
  <c r="M79" i="33"/>
  <c r="G77" i="4"/>
  <c r="G77" i="29"/>
  <c r="G77" i="33"/>
  <c r="B59" i="37"/>
  <c r="G75" i="4"/>
  <c r="G75" i="29"/>
  <c r="G75" i="33"/>
  <c r="I73" i="29"/>
  <c r="I74" i="29"/>
  <c r="I75" i="29"/>
  <c r="I77" i="29"/>
  <c r="I78" i="29"/>
  <c r="I79" i="29"/>
  <c r="I81" i="29" a="1"/>
  <c r="I81" i="29"/>
  <c r="E73" i="29"/>
  <c r="E74" i="29"/>
  <c r="E77" i="29"/>
  <c r="E79" i="29"/>
  <c r="E80" i="29"/>
  <c r="E81" i="29" a="1"/>
  <c r="E81" i="29"/>
  <c r="D73" i="29"/>
  <c r="D74" i="29"/>
  <c r="D75" i="29"/>
  <c r="D76" i="29"/>
  <c r="D77" i="29"/>
  <c r="D79" i="29"/>
  <c r="D80" i="29"/>
  <c r="D81" i="29" a="1"/>
  <c r="D81" i="29"/>
  <c r="M73" i="29"/>
  <c r="M76" i="29"/>
  <c r="M77" i="29"/>
  <c r="M78" i="29"/>
  <c r="M80" i="29"/>
  <c r="M81" i="29" a="1"/>
  <c r="M81" i="29"/>
  <c r="F73" i="4"/>
  <c r="F73" i="29"/>
  <c r="F73" i="33"/>
  <c r="K77" i="4"/>
  <c r="K77" i="29"/>
  <c r="K77" i="33"/>
  <c r="H75" i="4"/>
  <c r="H75" i="29"/>
  <c r="H75" i="33"/>
  <c r="F75" i="29"/>
  <c r="F76" i="29"/>
  <c r="F79" i="29"/>
  <c r="F80" i="29"/>
  <c r="F81" i="29" a="1"/>
  <c r="F81" i="29"/>
  <c r="D75" i="4"/>
  <c r="D75" i="33"/>
  <c r="D76" i="4"/>
  <c r="D76" i="33"/>
  <c r="B77" i="8"/>
  <c r="B77" i="38"/>
  <c r="B77" i="39"/>
  <c r="K72" i="8"/>
  <c r="K72" i="38"/>
  <c r="K72" i="39"/>
  <c r="E72" i="8"/>
  <c r="E72" i="38"/>
  <c r="E72" i="39"/>
  <c r="H59" i="8"/>
  <c r="H59" i="38"/>
  <c r="H59" i="39"/>
  <c r="J83" i="8"/>
  <c r="J83" i="38"/>
  <c r="J83" i="39"/>
  <c r="B83" i="8"/>
  <c r="B83" i="38"/>
  <c r="B83" i="39"/>
  <c r="D83" i="8"/>
  <c r="D83" i="38"/>
  <c r="D83" i="39"/>
  <c r="H74" i="8"/>
  <c r="H74" i="38"/>
  <c r="H74" i="39"/>
  <c r="K69" i="8"/>
  <c r="K69" i="38"/>
  <c r="K69" i="39"/>
  <c r="I53" i="8"/>
  <c r="I53" i="38"/>
  <c r="I53" i="39"/>
  <c r="D82" i="8"/>
  <c r="D82" i="38"/>
  <c r="D82" i="39"/>
  <c r="F82" i="8"/>
  <c r="F82" i="38"/>
  <c r="F82" i="39"/>
  <c r="B78" i="8"/>
  <c r="B78" i="38"/>
  <c r="B78" i="39"/>
  <c r="D61" i="8"/>
  <c r="D61" i="38"/>
  <c r="D61" i="39"/>
  <c r="H61" i="8"/>
  <c r="H61" i="38"/>
  <c r="H61" i="39"/>
  <c r="H52" i="8"/>
  <c r="H52" i="38"/>
  <c r="H52" i="39"/>
  <c r="F64" i="8"/>
  <c r="F64" i="38"/>
  <c r="F64" i="39"/>
  <c r="C94" i="37"/>
  <c r="H63" i="8"/>
  <c r="H63" i="38"/>
  <c r="H63" i="39"/>
  <c r="C65" i="37"/>
  <c r="F80" i="8"/>
  <c r="F80" i="38"/>
  <c r="F80" i="39"/>
  <c r="E60" i="8"/>
  <c r="E60" i="38"/>
  <c r="E60" i="39"/>
  <c r="J60" i="8"/>
  <c r="J60" i="38"/>
  <c r="J60" i="39"/>
  <c r="B67" i="37"/>
  <c r="E71" i="8"/>
  <c r="E71" i="38"/>
  <c r="E71" i="39"/>
  <c r="B65" i="8"/>
  <c r="B65" i="38"/>
  <c r="B65" i="39"/>
  <c r="J71" i="8"/>
  <c r="J71" i="38"/>
  <c r="J71" i="39"/>
  <c r="B79" i="8"/>
  <c r="B79" i="38"/>
  <c r="B79" i="39"/>
  <c r="K65" i="8"/>
  <c r="K65" i="38"/>
  <c r="K65" i="39"/>
  <c r="M78" i="4"/>
  <c r="M78" i="33"/>
  <c r="G78" i="4"/>
  <c r="G78" i="29"/>
  <c r="G78" i="33"/>
  <c r="M80" i="4"/>
  <c r="M80" i="33"/>
  <c r="G80" i="4"/>
  <c r="G80" i="29"/>
  <c r="G80" i="33"/>
  <c r="K76" i="4"/>
  <c r="K76" i="29"/>
  <c r="K76" i="33"/>
  <c r="L79" i="4"/>
  <c r="L79" i="29"/>
  <c r="L79" i="33"/>
  <c r="B88" i="37"/>
  <c r="E77" i="4"/>
  <c r="E77" i="33"/>
  <c r="D77" i="4"/>
  <c r="D77" i="33"/>
  <c r="I75" i="4"/>
  <c r="I75" i="33"/>
  <c r="C87" i="37"/>
  <c r="K73" i="4"/>
  <c r="K74" i="4"/>
  <c r="K75" i="4"/>
  <c r="K78" i="4"/>
  <c r="K79" i="4"/>
  <c r="K80" i="4"/>
  <c r="K81" i="4" a="1"/>
  <c r="K81" i="4"/>
  <c r="K73" i="29"/>
  <c r="K74" i="29"/>
  <c r="K75" i="29"/>
  <c r="K78" i="29"/>
  <c r="K79" i="29"/>
  <c r="K80" i="29"/>
  <c r="K81" i="29" a="1"/>
  <c r="K81" i="29"/>
  <c r="K81" i="33"/>
  <c r="K73" i="33"/>
  <c r="F76" i="4"/>
  <c r="F76" i="33"/>
  <c r="L73" i="29"/>
  <c r="L75" i="29"/>
  <c r="L77" i="29"/>
  <c r="L78" i="29"/>
  <c r="L80" i="29"/>
  <c r="L81" i="29" a="1"/>
  <c r="L81" i="29"/>
  <c r="C99" i="37"/>
  <c r="C62" i="8"/>
  <c r="C62" i="38"/>
  <c r="C62" i="39"/>
  <c r="H50" i="8"/>
  <c r="H50" i="38"/>
  <c r="H50" i="39"/>
  <c r="E77" i="8"/>
  <c r="E77" i="38"/>
  <c r="E77" i="39"/>
  <c r="B72" i="8"/>
  <c r="B72" i="38"/>
  <c r="B72" i="39"/>
  <c r="F72" i="8"/>
  <c r="F72" i="38"/>
  <c r="F72" i="39"/>
  <c r="G59" i="8"/>
  <c r="G59" i="38"/>
  <c r="G59" i="39"/>
  <c r="K51" i="8"/>
  <c r="K51" i="38"/>
  <c r="K51" i="39"/>
  <c r="B74" i="8"/>
  <c r="B74" i="38"/>
  <c r="B74" i="39"/>
  <c r="B35" i="37"/>
  <c r="K53" i="8"/>
  <c r="K53" i="38"/>
  <c r="K53" i="39"/>
  <c r="H78" i="8"/>
  <c r="H78" i="38"/>
  <c r="H78" i="39"/>
  <c r="C64" i="37"/>
  <c r="E81" i="8"/>
  <c r="E81" i="38"/>
  <c r="E81" i="39"/>
  <c r="E64" i="8"/>
  <c r="E64" i="38"/>
  <c r="E64" i="39"/>
  <c r="B56" i="8"/>
  <c r="B56" i="38"/>
  <c r="B56" i="39"/>
  <c r="D80" i="8"/>
  <c r="D80" i="38"/>
  <c r="D80" i="39"/>
  <c r="C68" i="37"/>
  <c r="H74" i="4"/>
  <c r="H74" i="29"/>
  <c r="H74" i="33"/>
  <c r="J74" i="4"/>
  <c r="J74" i="33"/>
  <c r="L80" i="4"/>
  <c r="L80" i="33"/>
  <c r="K80" i="33"/>
  <c r="J76" i="4"/>
  <c r="J76" i="33"/>
  <c r="B89" i="37"/>
  <c r="D79" i="4"/>
  <c r="D79" i="33"/>
  <c r="J79" i="4"/>
  <c r="J79" i="33"/>
  <c r="H77" i="4"/>
  <c r="H77" i="29"/>
  <c r="H77" i="33"/>
  <c r="C23" i="37"/>
  <c r="C55" i="37"/>
  <c r="B87" i="37"/>
  <c r="E73" i="4"/>
  <c r="E73" i="33"/>
  <c r="I69" i="8"/>
  <c r="I69" i="38"/>
  <c r="I69" i="39"/>
  <c r="J69" i="8"/>
  <c r="J69" i="38"/>
  <c r="J69" i="39"/>
  <c r="F53" i="8"/>
  <c r="F53" i="38"/>
  <c r="F53" i="39"/>
  <c r="C82" i="8"/>
  <c r="C82" i="38"/>
  <c r="C82" i="39"/>
  <c r="E78" i="8"/>
  <c r="E78" i="38"/>
  <c r="E78" i="39"/>
  <c r="C61" i="8"/>
  <c r="C61" i="38"/>
  <c r="C61" i="39"/>
  <c r="K61" i="8"/>
  <c r="K61" i="38"/>
  <c r="K61" i="39"/>
  <c r="J52" i="8"/>
  <c r="J52" i="38"/>
  <c r="J52" i="39"/>
  <c r="J81" i="8"/>
  <c r="J81" i="38"/>
  <c r="J81" i="39"/>
  <c r="G81" i="8"/>
  <c r="G81" i="38"/>
  <c r="G81" i="39"/>
  <c r="I64" i="8"/>
  <c r="I64" i="38"/>
  <c r="I64" i="39"/>
  <c r="C56" i="8"/>
  <c r="C56" i="38"/>
  <c r="C56" i="39"/>
  <c r="F60" i="8"/>
  <c r="F60" i="38"/>
  <c r="F60" i="39"/>
  <c r="D73" i="8"/>
  <c r="D73" i="38"/>
  <c r="D73" i="39"/>
  <c r="C73" i="8"/>
  <c r="C73" i="38"/>
  <c r="C73" i="39"/>
  <c r="D71" i="8"/>
  <c r="D71" i="38"/>
  <c r="D71" i="39"/>
  <c r="F71" i="8"/>
  <c r="F71" i="38"/>
  <c r="F71" i="39"/>
  <c r="C68" i="8"/>
  <c r="C68" i="38"/>
  <c r="C68" i="39"/>
  <c r="D68" i="8"/>
  <c r="D68" i="38"/>
  <c r="D68" i="39"/>
  <c r="E74" i="4"/>
  <c r="E74" i="33"/>
  <c r="L78" i="4"/>
  <c r="L78" i="33"/>
  <c r="H78" i="4"/>
  <c r="H78" i="29"/>
  <c r="H78" i="33"/>
  <c r="H80" i="4"/>
  <c r="H80" i="29"/>
  <c r="H80" i="33"/>
  <c r="F80" i="4"/>
  <c r="F80" i="33"/>
  <c r="K79" i="33"/>
  <c r="I79" i="4"/>
  <c r="I79" i="33"/>
  <c r="C29" i="37"/>
  <c r="L77" i="4"/>
  <c r="L77" i="33"/>
  <c r="L75" i="4"/>
  <c r="L75" i="33"/>
  <c r="F75" i="4"/>
  <c r="F75" i="33"/>
  <c r="B55" i="37"/>
  <c r="B25" i="37"/>
  <c r="D73" i="4"/>
  <c r="D73" i="33"/>
  <c r="J73" i="4"/>
  <c r="J73" i="33"/>
  <c r="G73" i="4"/>
  <c r="G73" i="29"/>
  <c r="G73" i="33"/>
  <c r="F79" i="4"/>
  <c r="F79" i="33"/>
  <c r="I73" i="4"/>
  <c r="I73" i="33"/>
  <c r="B70" i="8"/>
  <c r="B70" i="38"/>
  <c r="B70" i="39"/>
  <c r="E50" i="8"/>
  <c r="E50" i="38"/>
  <c r="E50" i="39"/>
  <c r="C33" i="37"/>
  <c r="B53" i="8"/>
  <c r="B53" i="38"/>
  <c r="B53" i="39"/>
  <c r="H81" i="8"/>
  <c r="H81" i="38"/>
  <c r="H81" i="39"/>
  <c r="E63" i="8"/>
  <c r="E63" i="38"/>
  <c r="E63" i="39"/>
  <c r="K74" i="33"/>
  <c r="I74" i="4"/>
  <c r="I74" i="33"/>
  <c r="G74" i="4"/>
  <c r="G74" i="29"/>
  <c r="G74" i="33"/>
  <c r="I78" i="4"/>
  <c r="I78" i="33"/>
  <c r="K78" i="33"/>
  <c r="E80" i="4"/>
  <c r="E80" i="33"/>
  <c r="E79" i="4"/>
  <c r="E79" i="33"/>
  <c r="B29" i="37"/>
  <c r="C88" i="37"/>
  <c r="J78" i="4"/>
  <c r="J78" i="33"/>
  <c r="C50" i="8"/>
  <c r="C50" i="38"/>
  <c r="C50" i="39"/>
  <c r="C72" i="8"/>
  <c r="C72" i="38"/>
  <c r="C72" i="39"/>
  <c r="F59" i="8"/>
  <c r="F59" i="38"/>
  <c r="F59" i="39"/>
  <c r="I51" i="8"/>
  <c r="I51" i="38"/>
  <c r="I51" i="39"/>
  <c r="B51" i="8"/>
  <c r="B51" i="38"/>
  <c r="B51" i="39"/>
  <c r="G83" i="8"/>
  <c r="G83" i="38"/>
  <c r="G83" i="39"/>
  <c r="J74" i="8"/>
  <c r="J74" i="38"/>
  <c r="J74" i="39"/>
  <c r="G74" i="8"/>
  <c r="G74" i="38"/>
  <c r="G74" i="39"/>
  <c r="G69" i="8"/>
  <c r="G69" i="38"/>
  <c r="G69" i="39"/>
  <c r="G53" i="8"/>
  <c r="G53" i="38"/>
  <c r="G53" i="39"/>
  <c r="K82" i="8"/>
  <c r="K82" i="38"/>
  <c r="K82" i="39"/>
  <c r="H82" i="8"/>
  <c r="H82" i="38"/>
  <c r="H82" i="39"/>
  <c r="B61" i="8"/>
  <c r="B61" i="38"/>
  <c r="B61" i="39"/>
  <c r="J64" i="8"/>
  <c r="J64" i="38"/>
  <c r="J64" i="39"/>
  <c r="G56" i="8"/>
  <c r="G56" i="38"/>
  <c r="G56" i="39"/>
  <c r="J80" i="8"/>
  <c r="J80" i="38"/>
  <c r="J80" i="39"/>
  <c r="I60" i="8"/>
  <c r="I60" i="38"/>
  <c r="I60" i="39"/>
  <c r="E55" i="8"/>
  <c r="E55" i="38"/>
  <c r="E55" i="39"/>
  <c r="I68" i="8"/>
  <c r="I68" i="38"/>
  <c r="I68" i="39"/>
  <c r="J79" i="8"/>
  <c r="J79" i="38"/>
  <c r="J79" i="39"/>
  <c r="D79" i="8"/>
  <c r="D79" i="38"/>
  <c r="D79" i="39"/>
  <c r="D74" i="4"/>
  <c r="D74" i="33"/>
  <c r="D80" i="4"/>
  <c r="D80" i="33"/>
  <c r="M76" i="4"/>
  <c r="M76" i="33"/>
  <c r="G76" i="4"/>
  <c r="G76" i="29"/>
  <c r="G76" i="33"/>
  <c r="H79" i="4"/>
  <c r="H79" i="29"/>
  <c r="H79" i="33"/>
  <c r="I77" i="4"/>
  <c r="I77" i="33"/>
  <c r="M77" i="4"/>
  <c r="M77" i="33"/>
  <c r="C59" i="37"/>
  <c r="K75" i="33"/>
  <c r="B26" i="37"/>
  <c r="C83" i="37"/>
  <c r="M73" i="4"/>
  <c r="M73" i="33"/>
  <c r="L73" i="4"/>
  <c r="L73" i="33"/>
  <c r="J75" i="4"/>
  <c r="J75" i="33"/>
  <c r="H83" i="8"/>
  <c r="H83" i="38"/>
  <c r="H83" i="39"/>
  <c r="F69" i="8"/>
  <c r="F69" i="38"/>
  <c r="F69" i="39"/>
  <c r="C81" i="8"/>
  <c r="C81" i="38"/>
  <c r="C81" i="39"/>
  <c r="D81" i="8"/>
  <c r="D81" i="38"/>
  <c r="D81" i="39"/>
  <c r="G64" i="8"/>
  <c r="G64" i="38"/>
  <c r="G64" i="39"/>
  <c r="J56" i="8"/>
  <c r="J56" i="38"/>
  <c r="J56" i="39"/>
  <c r="B38" i="37"/>
  <c r="G60" i="8"/>
  <c r="G60" i="38"/>
  <c r="G60" i="39"/>
  <c r="B37" i="37"/>
  <c r="G55" i="8"/>
  <c r="G55" i="38"/>
  <c r="G55" i="39"/>
  <c r="B73" i="8"/>
  <c r="B73" i="38"/>
  <c r="B73" i="39"/>
  <c r="B68" i="8"/>
  <c r="B68" i="38"/>
  <c r="B68" i="39"/>
  <c r="J68" i="8"/>
  <c r="J68" i="38"/>
  <c r="J68" i="39"/>
  <c r="E65" i="8"/>
  <c r="E65" i="38"/>
  <c r="E65" i="39"/>
  <c r="J65" i="8"/>
  <c r="J65" i="38"/>
  <c r="J65" i="39"/>
  <c r="H62" i="8"/>
  <c r="H62" i="38"/>
  <c r="H62" i="39"/>
  <c r="F74" i="8"/>
  <c r="F74" i="38"/>
  <c r="F74" i="39"/>
  <c r="H53" i="8"/>
  <c r="H53" i="38"/>
  <c r="H53" i="39"/>
  <c r="K79" i="8"/>
  <c r="K79" i="38"/>
  <c r="K79" i="39"/>
  <c r="D70" i="8"/>
  <c r="D70" i="38"/>
  <c r="D70" i="39"/>
  <c r="C59" i="8"/>
  <c r="C59" i="38"/>
  <c r="C59" i="39"/>
  <c r="I59" i="8"/>
  <c r="I59" i="38"/>
  <c r="I59" i="39"/>
  <c r="E51" i="8"/>
  <c r="E51" i="38"/>
  <c r="E51" i="39"/>
  <c r="C51" i="8"/>
  <c r="C51" i="38"/>
  <c r="C51" i="39"/>
  <c r="C74" i="8"/>
  <c r="C74" i="38"/>
  <c r="C74" i="39"/>
  <c r="G82" i="8"/>
  <c r="G82" i="38"/>
  <c r="G82" i="39"/>
  <c r="K78" i="8"/>
  <c r="K78" i="38"/>
  <c r="K78" i="39"/>
  <c r="C78" i="8"/>
  <c r="C78" i="38"/>
  <c r="C78" i="39"/>
  <c r="E61" i="8"/>
  <c r="E61" i="38"/>
  <c r="E61" i="39"/>
  <c r="H71" i="8"/>
  <c r="H71" i="38"/>
  <c r="H71" i="39"/>
  <c r="G70" i="8"/>
  <c r="G70" i="38"/>
  <c r="G70" i="39"/>
  <c r="F50" i="8"/>
  <c r="F50" i="38"/>
  <c r="F50" i="39"/>
  <c r="D59" i="8"/>
  <c r="D59" i="38"/>
  <c r="D59" i="39"/>
  <c r="B98" i="37"/>
  <c r="C37" i="37"/>
  <c r="K70" i="8"/>
  <c r="K70" i="38"/>
  <c r="K70" i="39"/>
  <c r="I50" i="8"/>
  <c r="I50" i="38"/>
  <c r="I50" i="39"/>
  <c r="K77" i="8"/>
  <c r="K77" i="38"/>
  <c r="K77" i="39"/>
  <c r="D72" i="8"/>
  <c r="D72" i="38"/>
  <c r="D72" i="39"/>
  <c r="J59" i="8"/>
  <c r="J59" i="38"/>
  <c r="J59" i="39"/>
  <c r="H51" i="8"/>
  <c r="H51" i="38"/>
  <c r="H51" i="39"/>
  <c r="D53" i="8"/>
  <c r="D53" i="38"/>
  <c r="D53" i="39"/>
  <c r="I82" i="8"/>
  <c r="I82" i="38"/>
  <c r="I82" i="39"/>
  <c r="F78" i="8"/>
  <c r="F78" i="38"/>
  <c r="F78" i="39"/>
  <c r="D64" i="8"/>
  <c r="D64" i="38"/>
  <c r="D64" i="39"/>
  <c r="D56" i="8"/>
  <c r="D56" i="38"/>
  <c r="D56" i="39"/>
  <c r="I63" i="8"/>
  <c r="I63" i="38"/>
  <c r="I63" i="39"/>
  <c r="F54" i="8"/>
  <c r="F54" i="38"/>
  <c r="F54" i="39"/>
  <c r="C54" i="8"/>
  <c r="C54" i="38"/>
  <c r="C54" i="39"/>
  <c r="C67" i="37"/>
  <c r="H69" i="8"/>
  <c r="H69" i="38"/>
  <c r="H69" i="39"/>
  <c r="B81" i="8"/>
  <c r="B81" i="38"/>
  <c r="B81" i="39"/>
  <c r="K50" i="8"/>
  <c r="K50" i="38"/>
  <c r="K50" i="39"/>
  <c r="I77" i="8"/>
  <c r="I77" i="38"/>
  <c r="I77" i="39"/>
  <c r="B52" i="8"/>
  <c r="B52" i="38"/>
  <c r="B52" i="39"/>
  <c r="C64" i="8"/>
  <c r="C64" i="38"/>
  <c r="C64" i="39"/>
  <c r="G63" i="8"/>
  <c r="G63" i="38"/>
  <c r="G63" i="39"/>
  <c r="G54" i="8"/>
  <c r="G54" i="38"/>
  <c r="G54" i="39"/>
  <c r="E54" i="8"/>
  <c r="E54" i="38"/>
  <c r="E54" i="39"/>
  <c r="D54" i="8"/>
  <c r="D54" i="38"/>
  <c r="D54" i="39"/>
  <c r="K62" i="8"/>
  <c r="K62" i="38"/>
  <c r="K62" i="39"/>
  <c r="F77" i="8"/>
  <c r="F77" i="38"/>
  <c r="F77" i="39"/>
  <c r="I83" i="8"/>
  <c r="I83" i="38"/>
  <c r="I83" i="39"/>
  <c r="K80" i="8"/>
  <c r="K80" i="38"/>
  <c r="K80" i="39"/>
  <c r="C60" i="8"/>
  <c r="C60" i="38"/>
  <c r="C60" i="39"/>
  <c r="F55" i="8"/>
  <c r="F55" i="38"/>
  <c r="F55" i="39"/>
  <c r="I73" i="8"/>
  <c r="I73" i="38"/>
  <c r="I73" i="39"/>
  <c r="D65" i="8"/>
  <c r="D65" i="38"/>
  <c r="D65" i="39"/>
  <c r="H79" i="8"/>
  <c r="H79" i="38"/>
  <c r="H79" i="39"/>
  <c r="J62" i="8"/>
  <c r="J62" i="38"/>
  <c r="J62" i="39"/>
  <c r="D52" i="8"/>
  <c r="D52" i="38"/>
  <c r="D52" i="39"/>
  <c r="K81" i="8"/>
  <c r="K81" i="38"/>
  <c r="K81" i="39"/>
  <c r="E82" i="8"/>
  <c r="E82" i="38"/>
  <c r="E82" i="39"/>
  <c r="I61" i="8"/>
  <c r="I61" i="38"/>
  <c r="I61" i="39"/>
  <c r="G73" i="8"/>
  <c r="G73" i="38"/>
  <c r="G73" i="39"/>
  <c r="B71" i="8"/>
  <c r="B71" i="38"/>
  <c r="B71" i="39"/>
  <c r="I79" i="8"/>
  <c r="I79" i="38"/>
  <c r="I79" i="39"/>
  <c r="K59" i="8"/>
  <c r="K59" i="38"/>
  <c r="K59" i="39"/>
  <c r="D60" i="8"/>
  <c r="D60" i="38"/>
  <c r="D60" i="39"/>
  <c r="B60" i="8"/>
  <c r="B60" i="38"/>
  <c r="B60" i="39"/>
  <c r="B50" i="8"/>
  <c r="B50" i="38"/>
  <c r="B50" i="39"/>
  <c r="D51" i="8"/>
  <c r="D51" i="38"/>
  <c r="D51" i="39"/>
  <c r="E83" i="8"/>
  <c r="E83" i="38"/>
  <c r="E83" i="39"/>
  <c r="I52" i="8"/>
  <c r="I52" i="38"/>
  <c r="I52" i="39"/>
  <c r="C97" i="37"/>
  <c r="E70" i="8"/>
  <c r="E70" i="38"/>
  <c r="E70" i="39"/>
  <c r="D50" i="8"/>
  <c r="D50" i="38"/>
  <c r="D50" i="39"/>
  <c r="J50" i="8"/>
  <c r="J50" i="38"/>
  <c r="J50" i="39"/>
  <c r="H77" i="8"/>
  <c r="H77" i="38"/>
  <c r="H77" i="39"/>
  <c r="J77" i="8"/>
  <c r="J77" i="38"/>
  <c r="J77" i="39"/>
  <c r="I72" i="8"/>
  <c r="I72" i="38"/>
  <c r="I72" i="39"/>
  <c r="F83" i="8"/>
  <c r="F83" i="38"/>
  <c r="F83" i="39"/>
  <c r="B69" i="8"/>
  <c r="B69" i="38"/>
  <c r="B69" i="39"/>
  <c r="E62" i="8"/>
  <c r="E62" i="38"/>
  <c r="E62" i="39"/>
  <c r="D62" i="8"/>
  <c r="D62" i="38"/>
  <c r="D62" i="39"/>
  <c r="H56" i="8"/>
  <c r="H56" i="38"/>
  <c r="H56" i="39"/>
  <c r="H73" i="8"/>
  <c r="H73" i="38"/>
  <c r="H73" i="39"/>
  <c r="G71" i="8"/>
  <c r="G71" i="38"/>
  <c r="G71" i="39"/>
  <c r="G52" i="8"/>
  <c r="G52" i="38"/>
  <c r="G52" i="39"/>
  <c r="B96" i="37"/>
  <c r="K71" i="8"/>
  <c r="K71" i="38"/>
  <c r="K71" i="39"/>
  <c r="E74" i="8"/>
  <c r="E74" i="38"/>
  <c r="E74" i="39"/>
  <c r="I55" i="8"/>
  <c r="I55" i="38"/>
  <c r="I55" i="39"/>
  <c r="E73" i="8"/>
  <c r="E73" i="38"/>
  <c r="E73" i="39"/>
  <c r="J73" i="8"/>
  <c r="J73" i="38"/>
  <c r="J73" i="39"/>
  <c r="I70" i="8"/>
  <c r="I70" i="38"/>
  <c r="I70" i="39"/>
  <c r="F62" i="8"/>
  <c r="F62" i="38"/>
  <c r="F62" i="39"/>
  <c r="G51" i="8"/>
  <c r="G51" i="38"/>
  <c r="G51" i="39"/>
  <c r="D69" i="8"/>
  <c r="D69" i="38"/>
  <c r="D69" i="39"/>
  <c r="C80" i="8"/>
  <c r="C80" i="38"/>
  <c r="C80" i="39"/>
  <c r="G80" i="8"/>
  <c r="G80" i="38"/>
  <c r="G80" i="39"/>
  <c r="F70" i="8"/>
  <c r="F70" i="38"/>
  <c r="F70" i="39"/>
  <c r="I56" i="8"/>
  <c r="I56" i="38"/>
  <c r="I56" i="39"/>
  <c r="B97" i="37"/>
  <c r="E56" i="8"/>
  <c r="E56" i="38"/>
  <c r="E56" i="39"/>
  <c r="C55" i="8"/>
  <c r="C55" i="38"/>
  <c r="C55" i="39"/>
  <c r="I54" i="8"/>
  <c r="I54" i="38"/>
  <c r="I54" i="39"/>
  <c r="D63" i="8"/>
  <c r="D63" i="38"/>
  <c r="D63" i="39"/>
  <c r="B62" i="8"/>
  <c r="B62" i="38"/>
  <c r="B62" i="39"/>
  <c r="K54" i="8"/>
  <c r="K54" i="38"/>
  <c r="K54" i="39"/>
  <c r="I80" i="8"/>
  <c r="I80" i="38"/>
  <c r="I80" i="39"/>
  <c r="B54" i="8"/>
  <c r="B54" i="38"/>
  <c r="B54" i="39"/>
  <c r="F65" i="8"/>
  <c r="F65" i="38"/>
  <c r="F65" i="39"/>
  <c r="F79" i="8"/>
  <c r="F79" i="38"/>
  <c r="F79" i="39"/>
  <c r="G65" i="8"/>
  <c r="G65" i="38"/>
  <c r="G65" i="39"/>
  <c r="J63" i="8"/>
  <c r="J63" i="38"/>
  <c r="J63" i="39"/>
  <c r="K64" i="8"/>
  <c r="K64" i="38"/>
  <c r="K64" i="39"/>
  <c r="F73" i="8"/>
  <c r="F73" i="38"/>
  <c r="F73" i="39"/>
  <c r="I65" i="8"/>
  <c r="I65" i="38"/>
  <c r="I65" i="39"/>
  <c r="G78" i="8"/>
  <c r="G78" i="38"/>
  <c r="G78" i="39"/>
  <c r="G77" i="8"/>
  <c r="G77" i="38"/>
  <c r="G77" i="39"/>
  <c r="I74" i="8"/>
  <c r="I74" i="38"/>
  <c r="I74" i="39"/>
  <c r="J70" i="8"/>
  <c r="J70" i="38"/>
  <c r="J70" i="39"/>
  <c r="D74" i="8"/>
  <c r="D74" i="38"/>
  <c r="D74" i="39"/>
  <c r="C96" i="37"/>
  <c r="I62" i="8"/>
  <c r="I62" i="38"/>
  <c r="I62" i="39"/>
  <c r="D77" i="8"/>
  <c r="D77" i="38"/>
  <c r="D77" i="39"/>
  <c r="J58" i="8"/>
  <c r="J58" i="38"/>
  <c r="J58" i="39"/>
  <c r="K76" i="8"/>
  <c r="K76" i="38"/>
  <c r="K76" i="39"/>
  <c r="I67" i="8"/>
  <c r="I67" i="38"/>
  <c r="I67" i="39"/>
  <c r="K49" i="8"/>
  <c r="K49" i="38"/>
  <c r="K49" i="39"/>
  <c r="K67" i="8"/>
  <c r="K67" i="38"/>
  <c r="K67" i="39"/>
  <c r="H49" i="8"/>
  <c r="H49" i="38"/>
  <c r="H49" i="39"/>
  <c r="F58" i="8"/>
  <c r="F58" i="38"/>
  <c r="F58" i="39"/>
  <c r="E76" i="8"/>
  <c r="E76" i="38"/>
  <c r="E76" i="39"/>
  <c r="G76" i="8"/>
  <c r="G76" i="38"/>
  <c r="G76" i="39"/>
  <c r="I58" i="8"/>
  <c r="I58" i="38"/>
  <c r="I58" i="39"/>
  <c r="J76" i="8"/>
  <c r="J76" i="38"/>
  <c r="J76" i="39"/>
  <c r="G67" i="8"/>
  <c r="G67" i="38"/>
  <c r="G67" i="39"/>
  <c r="D49" i="8"/>
  <c r="D49" i="38"/>
  <c r="D49" i="39"/>
  <c r="B58" i="8"/>
  <c r="B58" i="38"/>
  <c r="B58" i="39"/>
  <c r="F63" i="8"/>
  <c r="F63" i="38"/>
  <c r="F63" i="39"/>
  <c r="C67" i="8"/>
  <c r="C67" i="38"/>
  <c r="C67" i="39"/>
  <c r="C58" i="8"/>
  <c r="C58" i="38"/>
  <c r="C58" i="39"/>
  <c r="J49" i="8"/>
  <c r="J49" i="38"/>
  <c r="J49" i="39"/>
  <c r="B76" i="8"/>
  <c r="B76" i="38"/>
  <c r="B76" i="39"/>
  <c r="G61" i="8"/>
  <c r="G61" i="38"/>
  <c r="G61" i="39"/>
  <c r="I78" i="8"/>
  <c r="I78" i="38"/>
  <c r="I78" i="39"/>
  <c r="J67" i="8"/>
  <c r="J67" i="38"/>
  <c r="J67" i="39"/>
  <c r="D67" i="8"/>
  <c r="D67" i="38"/>
  <c r="D67" i="39"/>
  <c r="I49" i="8"/>
  <c r="I49" i="38"/>
  <c r="I49" i="39"/>
  <c r="B82" i="8"/>
  <c r="B82" i="38"/>
  <c r="B82" i="39"/>
  <c r="E53" i="8"/>
  <c r="E53" i="38"/>
  <c r="E53" i="39"/>
  <c r="C76" i="8"/>
  <c r="C76" i="38"/>
  <c r="C76" i="39"/>
  <c r="C49" i="8"/>
  <c r="C49" i="38"/>
  <c r="C49" i="39"/>
  <c r="B49" i="8"/>
  <c r="B49" i="38"/>
  <c r="B49" i="39"/>
  <c r="K74" i="8"/>
  <c r="K74" i="38"/>
  <c r="K74" i="39"/>
  <c r="H76" i="8"/>
  <c r="H76" i="38"/>
  <c r="H76" i="39"/>
  <c r="F67" i="8"/>
  <c r="F67" i="38"/>
  <c r="F67" i="39"/>
  <c r="H67" i="8"/>
  <c r="H67" i="38"/>
  <c r="H67" i="39"/>
  <c r="G49" i="8"/>
  <c r="G49" i="38"/>
  <c r="G49" i="39"/>
  <c r="K58" i="8"/>
  <c r="K58" i="38"/>
  <c r="K58" i="39"/>
  <c r="E67" i="8"/>
  <c r="E67" i="38"/>
  <c r="E67" i="39"/>
  <c r="B67" i="8"/>
  <c r="B67" i="38"/>
  <c r="B67" i="39"/>
  <c r="H58" i="8"/>
  <c r="H58" i="38"/>
  <c r="H58" i="39"/>
  <c r="E58" i="8"/>
  <c r="E58" i="38"/>
  <c r="E58" i="39"/>
  <c r="G58" i="8"/>
  <c r="G58" i="38"/>
  <c r="G58" i="39"/>
  <c r="F76" i="8"/>
  <c r="F76" i="38"/>
  <c r="F76" i="39"/>
  <c r="I76" i="8"/>
  <c r="I76" i="38"/>
  <c r="I76" i="39"/>
  <c r="D58" i="8"/>
  <c r="D58" i="38"/>
  <c r="D58" i="39"/>
  <c r="F49" i="8"/>
  <c r="F49" i="38"/>
  <c r="F49" i="39"/>
  <c r="E49" i="8"/>
  <c r="E49" i="38"/>
  <c r="E49" i="39"/>
  <c r="D76" i="8"/>
  <c r="D76" i="38"/>
  <c r="D76" i="39"/>
  <c r="B103" i="38" a="1"/>
  <c r="B103" i="38"/>
  <c r="B108" i="38"/>
  <c r="B104" i="38"/>
  <c r="B107" i="38"/>
  <c r="B109" i="38"/>
  <c r="B110" i="38"/>
  <c r="B105" i="38"/>
  <c r="B106" i="38"/>
  <c r="B94" i="38" a="1"/>
  <c r="B94" i="38"/>
  <c r="B100" i="38"/>
  <c r="B97" i="38"/>
  <c r="B99" i="38"/>
  <c r="B98" i="38"/>
  <c r="B95" i="38"/>
  <c r="B96" i="38"/>
  <c r="B101" i="38"/>
  <c r="B112" i="38" a="1"/>
  <c r="B114" i="38"/>
  <c r="B112" i="38"/>
  <c r="B113" i="38"/>
  <c r="B119" i="38"/>
  <c r="B118" i="38"/>
  <c r="B117" i="38"/>
  <c r="B116" i="38"/>
  <c r="B115" i="38"/>
  <c r="B299" i="38" a="1"/>
  <c r="G300" i="38"/>
  <c r="H304" i="38"/>
  <c r="K302" i="38"/>
  <c r="C306" i="38"/>
  <c r="E304" i="38"/>
  <c r="I301" i="38"/>
  <c r="K299" i="38"/>
  <c r="J305" i="38"/>
  <c r="G305" i="38"/>
  <c r="B302" i="38"/>
  <c r="I302" i="38"/>
  <c r="F304" i="38"/>
  <c r="F302" i="38"/>
  <c r="E303" i="38"/>
  <c r="F305" i="38"/>
  <c r="F300" i="38"/>
  <c r="K306" i="38"/>
  <c r="C300" i="38"/>
  <c r="G306" i="38"/>
  <c r="J302" i="38"/>
  <c r="C299" i="38"/>
  <c r="C301" i="38"/>
  <c r="F303" i="38"/>
  <c r="D306" i="38"/>
  <c r="D302" i="38"/>
  <c r="B303" i="38"/>
  <c r="F306" i="38"/>
  <c r="K304" i="38"/>
  <c r="D303" i="38"/>
  <c r="D300" i="38"/>
  <c r="K303" i="38"/>
  <c r="H301" i="38"/>
  <c r="I299" i="38"/>
  <c r="H305" i="38"/>
  <c r="B301" i="38"/>
  <c r="K301" i="38"/>
  <c r="E301" i="38"/>
  <c r="G299" i="38"/>
  <c r="F301" i="38"/>
  <c r="I303" i="38"/>
  <c r="C304" i="38"/>
  <c r="J301" i="38"/>
  <c r="E300" i="38"/>
  <c r="B305" i="38"/>
  <c r="K300" i="38"/>
  <c r="I300" i="38"/>
  <c r="H299" i="38"/>
  <c r="I306" i="38"/>
  <c r="C303" i="38"/>
  <c r="G301" i="38"/>
  <c r="E299" i="38"/>
  <c r="J306" i="38"/>
  <c r="J303" i="38"/>
  <c r="G303" i="38"/>
  <c r="G302" i="38"/>
  <c r="H300" i="38"/>
  <c r="J304" i="38"/>
  <c r="F299" i="38"/>
  <c r="D301" i="38"/>
  <c r="B306" i="38"/>
  <c r="J300" i="38"/>
  <c r="B304" i="38"/>
  <c r="D304" i="38"/>
  <c r="E306" i="38"/>
  <c r="D305" i="38"/>
  <c r="J299" i="38"/>
  <c r="I305" i="38"/>
  <c r="B300" i="38"/>
  <c r="B299" i="38"/>
  <c r="C305" i="38"/>
  <c r="G304" i="38"/>
  <c r="E302" i="38"/>
  <c r="I304" i="38"/>
  <c r="H302" i="38"/>
  <c r="D299" i="38"/>
  <c r="H303" i="38"/>
  <c r="K305" i="38"/>
  <c r="E305" i="38"/>
  <c r="H306" i="38"/>
  <c r="C302" i="38"/>
  <c r="B281" i="38" a="1"/>
  <c r="H282" i="38"/>
  <c r="C284" i="38"/>
  <c r="F288" i="38"/>
  <c r="G281" i="38"/>
  <c r="J283" i="38"/>
  <c r="F286" i="38"/>
  <c r="H287" i="38"/>
  <c r="I287" i="38"/>
  <c r="B284" i="38"/>
  <c r="C281" i="38"/>
  <c r="B282" i="38"/>
  <c r="H285" i="38"/>
  <c r="I284" i="38"/>
  <c r="K283" i="38"/>
  <c r="F282" i="38"/>
  <c r="D283" i="38"/>
  <c r="H284" i="38"/>
  <c r="K287" i="38"/>
  <c r="J286" i="38"/>
  <c r="D282" i="38"/>
  <c r="I283" i="38"/>
  <c r="D287" i="38"/>
  <c r="K284" i="38"/>
  <c r="C287" i="38"/>
  <c r="B281" i="38"/>
  <c r="K281" i="38"/>
  <c r="E287" i="38"/>
  <c r="E283" i="38"/>
  <c r="I285" i="38"/>
  <c r="H283" i="38"/>
  <c r="J284" i="38"/>
  <c r="D281" i="38"/>
  <c r="E286" i="38"/>
  <c r="K288" i="38"/>
  <c r="G286" i="38"/>
  <c r="H288" i="38"/>
  <c r="E282" i="38"/>
  <c r="J281" i="38"/>
  <c r="J288" i="38"/>
  <c r="F283" i="38"/>
  <c r="C286" i="38"/>
  <c r="B287" i="38"/>
  <c r="K282" i="38"/>
  <c r="I288" i="38"/>
  <c r="E288" i="38"/>
  <c r="G285" i="38"/>
  <c r="G288" i="38"/>
  <c r="H286" i="38"/>
  <c r="G283" i="38"/>
  <c r="D288" i="38"/>
  <c r="I281" i="38"/>
  <c r="I286" i="38"/>
  <c r="D285" i="38"/>
  <c r="G282" i="38"/>
  <c r="B288" i="38"/>
  <c r="C283" i="38"/>
  <c r="H281" i="38"/>
  <c r="J282" i="38"/>
  <c r="K285" i="38"/>
  <c r="J285" i="38"/>
  <c r="C282" i="38"/>
  <c r="E281" i="38"/>
  <c r="B286" i="38"/>
  <c r="C288" i="38"/>
  <c r="E285" i="38"/>
  <c r="D284" i="38"/>
  <c r="F285" i="38"/>
  <c r="J287" i="38"/>
  <c r="B283" i="38"/>
  <c r="G284" i="38"/>
  <c r="B285" i="38"/>
  <c r="G287" i="38"/>
  <c r="D286" i="38"/>
  <c r="C285" i="38"/>
  <c r="F287" i="38"/>
  <c r="E284" i="38"/>
  <c r="F284" i="38"/>
  <c r="F281" i="38"/>
  <c r="I282" i="38"/>
  <c r="K286" i="38"/>
  <c r="B308" i="38" a="1"/>
  <c r="H313" i="38"/>
  <c r="H314" i="38"/>
  <c r="C312" i="38"/>
  <c r="G313" i="38"/>
  <c r="J314" i="38"/>
  <c r="K315" i="38"/>
  <c r="F310" i="38"/>
  <c r="E308" i="38"/>
  <c r="I310" i="38"/>
  <c r="E315" i="38"/>
  <c r="I315" i="38"/>
  <c r="I311" i="38"/>
  <c r="H315" i="38"/>
  <c r="F312" i="38"/>
  <c r="B312" i="38"/>
  <c r="F313" i="38"/>
  <c r="G315" i="38"/>
  <c r="C315" i="38"/>
  <c r="D315" i="38"/>
  <c r="I313" i="38"/>
  <c r="J308" i="38"/>
  <c r="B313" i="38"/>
  <c r="D314" i="38"/>
  <c r="C309" i="38"/>
  <c r="E313" i="38"/>
  <c r="J310" i="38"/>
  <c r="J315" i="38"/>
  <c r="J313" i="38"/>
  <c r="B311" i="38"/>
  <c r="C310" i="38"/>
  <c r="J309" i="38"/>
  <c r="D311" i="38"/>
  <c r="B309" i="38"/>
  <c r="E312" i="38"/>
  <c r="I312" i="38"/>
  <c r="C308" i="38"/>
  <c r="K314" i="38"/>
  <c r="E314" i="38"/>
  <c r="K310" i="38"/>
  <c r="F309" i="38"/>
  <c r="G314" i="38"/>
  <c r="C311" i="38"/>
  <c r="D309" i="38"/>
  <c r="K311" i="38"/>
  <c r="K308" i="38"/>
  <c r="H310" i="38"/>
  <c r="C313" i="38"/>
  <c r="B308" i="38"/>
  <c r="K313" i="38"/>
  <c r="I309" i="38"/>
  <c r="K312" i="38"/>
  <c r="J312" i="38"/>
  <c r="K309" i="38"/>
  <c r="E310" i="38"/>
  <c r="H309" i="38"/>
  <c r="I308" i="38"/>
  <c r="C314" i="38"/>
  <c r="E311" i="38"/>
  <c r="G309" i="38"/>
  <c r="G311" i="38"/>
  <c r="J311" i="38"/>
  <c r="H308" i="38"/>
  <c r="I314" i="38"/>
  <c r="G310" i="38"/>
  <c r="F315" i="38"/>
  <c r="D308" i="38"/>
  <c r="H312" i="38"/>
  <c r="B315" i="38"/>
  <c r="D310" i="38"/>
  <c r="F311" i="38"/>
  <c r="B314" i="38"/>
  <c r="D312" i="38"/>
  <c r="H311" i="38"/>
  <c r="E309" i="38"/>
  <c r="B310" i="38"/>
  <c r="D313" i="38"/>
  <c r="F314" i="38"/>
  <c r="F308" i="38"/>
  <c r="G312" i="38"/>
  <c r="G308" i="38"/>
  <c r="B290" i="38" a="1"/>
  <c r="K294" i="38"/>
  <c r="K292" i="38"/>
  <c r="K293" i="38"/>
  <c r="I291" i="38"/>
  <c r="D293" i="38"/>
  <c r="I295" i="38"/>
  <c r="F292" i="38"/>
  <c r="D290" i="38"/>
  <c r="D291" i="38"/>
  <c r="C296" i="38"/>
  <c r="C290" i="38"/>
  <c r="K295" i="38"/>
  <c r="B294" i="38"/>
  <c r="G290" i="38"/>
  <c r="J295" i="38"/>
  <c r="G291" i="38"/>
  <c r="G292" i="38"/>
  <c r="J294" i="38"/>
  <c r="C297" i="38"/>
  <c r="J293" i="38"/>
  <c r="B291" i="38"/>
  <c r="H294" i="38"/>
  <c r="G296" i="38"/>
  <c r="F293" i="38"/>
  <c r="G293" i="38"/>
  <c r="C292" i="38"/>
  <c r="J291" i="38"/>
  <c r="E291" i="38"/>
  <c r="E292" i="38"/>
  <c r="I294" i="38"/>
  <c r="J292" i="38"/>
  <c r="F295" i="38"/>
  <c r="H295" i="38"/>
  <c r="J297" i="38"/>
  <c r="H293" i="38"/>
  <c r="F297" i="38"/>
  <c r="C294" i="38"/>
  <c r="H290" i="38"/>
  <c r="B293" i="38"/>
  <c r="I293" i="38"/>
  <c r="C295" i="38"/>
  <c r="H297" i="38"/>
  <c r="F294" i="38"/>
  <c r="H296" i="38"/>
  <c r="J290" i="38"/>
  <c r="F290" i="38"/>
  <c r="B296" i="38"/>
  <c r="E290" i="38"/>
  <c r="G294" i="38"/>
  <c r="B297" i="38"/>
  <c r="F296" i="38"/>
  <c r="B290" i="38"/>
  <c r="D295" i="38"/>
  <c r="I290" i="38"/>
  <c r="C293" i="38"/>
  <c r="D294" i="38"/>
  <c r="B292" i="38"/>
  <c r="E297" i="38"/>
  <c r="I292" i="38"/>
  <c r="B295" i="38"/>
  <c r="J296" i="38"/>
  <c r="F291" i="38"/>
  <c r="K291" i="38"/>
  <c r="E296" i="38"/>
  <c r="K297" i="38"/>
  <c r="I297" i="38"/>
  <c r="C291" i="38"/>
  <c r="K290" i="38"/>
  <c r="D292" i="38"/>
  <c r="K296" i="38"/>
  <c r="G295" i="38"/>
  <c r="D296" i="38"/>
  <c r="E294" i="38"/>
  <c r="I296" i="38"/>
  <c r="H292" i="38"/>
  <c r="D297" i="38"/>
  <c r="E295" i="38"/>
  <c r="G297" i="38"/>
  <c r="E293" i="38"/>
  <c r="H291" i="38"/>
  <c r="C94" i="38" a="1"/>
  <c r="E95" i="38"/>
  <c r="F97" i="38"/>
  <c r="H100" i="38"/>
  <c r="J100" i="38"/>
  <c r="D100" i="38"/>
  <c r="G100" i="38"/>
  <c r="G94" i="38"/>
  <c r="H95" i="38"/>
  <c r="K95" i="38"/>
  <c r="K94" i="38"/>
  <c r="E94" i="38"/>
  <c r="D95" i="38"/>
  <c r="I94" i="38"/>
  <c r="C98" i="38"/>
  <c r="I95" i="38"/>
  <c r="H94" i="38"/>
  <c r="E98" i="38"/>
  <c r="F98" i="38"/>
  <c r="H98" i="38"/>
  <c r="D94" i="38"/>
  <c r="F95" i="38"/>
  <c r="I98" i="38"/>
  <c r="F94" i="38"/>
  <c r="J94" i="38"/>
  <c r="D98" i="38"/>
  <c r="C94" i="38"/>
  <c r="J95" i="38"/>
  <c r="G95" i="38"/>
  <c r="K97" i="38"/>
  <c r="C95" i="38"/>
  <c r="I97" i="38"/>
  <c r="J97" i="38"/>
  <c r="D97" i="38"/>
  <c r="H97" i="38"/>
  <c r="G97" i="38"/>
  <c r="C97" i="38"/>
  <c r="K99" i="38"/>
  <c r="I99" i="38"/>
  <c r="H96" i="38"/>
  <c r="K96" i="38"/>
  <c r="H101" i="38"/>
  <c r="I100" i="38"/>
  <c r="K100" i="38"/>
  <c r="G98" i="38"/>
  <c r="F100" i="38"/>
  <c r="I101" i="38"/>
  <c r="F101" i="38"/>
  <c r="D96" i="38"/>
  <c r="C99" i="38"/>
  <c r="D99" i="38"/>
  <c r="E97" i="38"/>
  <c r="I96" i="38"/>
  <c r="E96" i="38"/>
  <c r="G96" i="38"/>
  <c r="C100" i="38"/>
  <c r="G99" i="38"/>
  <c r="K101" i="38"/>
  <c r="J96" i="38"/>
  <c r="K98" i="38"/>
  <c r="F96" i="38"/>
  <c r="C96" i="38"/>
  <c r="C101" i="38"/>
  <c r="E101" i="38"/>
  <c r="F99" i="38"/>
  <c r="H99" i="38"/>
  <c r="G101" i="38"/>
  <c r="J99" i="38"/>
  <c r="J101" i="38"/>
  <c r="D101" i="38"/>
  <c r="E99" i="38"/>
  <c r="J98" i="38"/>
  <c r="E100" i="38"/>
  <c r="C112" i="38" a="1"/>
  <c r="E119" i="38"/>
  <c r="K112" i="38"/>
  <c r="I112" i="38"/>
  <c r="H112" i="38"/>
  <c r="E112" i="38"/>
  <c r="D112" i="38"/>
  <c r="C112" i="38"/>
  <c r="J112" i="38"/>
  <c r="F112" i="38"/>
  <c r="G112" i="38"/>
  <c r="J113" i="38"/>
  <c r="J119" i="38"/>
  <c r="H113" i="38"/>
  <c r="I119" i="38"/>
  <c r="C119" i="38"/>
  <c r="F119" i="38"/>
  <c r="C113" i="38"/>
  <c r="K119" i="38"/>
  <c r="G119" i="38"/>
  <c r="F113" i="38"/>
  <c r="D119" i="38"/>
  <c r="G113" i="38"/>
  <c r="E113" i="38"/>
  <c r="J118" i="38"/>
  <c r="F118" i="38"/>
  <c r="J114" i="38"/>
  <c r="J117" i="38"/>
  <c r="I117" i="38"/>
  <c r="F117" i="38"/>
  <c r="F116" i="38"/>
  <c r="D115" i="38"/>
  <c r="K113" i="38"/>
  <c r="H119" i="38"/>
  <c r="F115" i="38"/>
  <c r="D116" i="38"/>
  <c r="K117" i="38"/>
  <c r="H116" i="38"/>
  <c r="F114" i="38"/>
  <c r="I115" i="38"/>
  <c r="D118" i="38"/>
  <c r="G115" i="38"/>
  <c r="I114" i="38"/>
  <c r="G118" i="38"/>
  <c r="J116" i="38"/>
  <c r="I116" i="38"/>
  <c r="E115" i="38"/>
  <c r="H115" i="38"/>
  <c r="G114" i="38"/>
  <c r="H117" i="38"/>
  <c r="I113" i="38"/>
  <c r="H118" i="38"/>
  <c r="I118" i="38"/>
  <c r="D113" i="38"/>
  <c r="D117" i="38"/>
  <c r="G117" i="38"/>
  <c r="K116" i="38"/>
  <c r="E117" i="38"/>
  <c r="E118" i="38"/>
  <c r="C118" i="38"/>
  <c r="C116" i="38"/>
  <c r="K115" i="38"/>
  <c r="K118" i="38"/>
  <c r="C114" i="38"/>
  <c r="C117" i="38"/>
  <c r="E114" i="38"/>
  <c r="D114" i="38"/>
  <c r="K114" i="38"/>
  <c r="H114" i="38"/>
  <c r="C115" i="38"/>
  <c r="J115" i="38"/>
  <c r="G116" i="38"/>
  <c r="E116" i="38"/>
  <c r="C103" i="38" a="1"/>
  <c r="D108" i="38"/>
  <c r="E105" i="38"/>
  <c r="F108" i="38"/>
  <c r="J108" i="38"/>
  <c r="K106" i="38"/>
  <c r="H108" i="38"/>
  <c r="C106" i="38"/>
  <c r="G108" i="38"/>
  <c r="I108" i="38"/>
  <c r="C108" i="38"/>
  <c r="E108" i="38"/>
  <c r="J103" i="38"/>
  <c r="K108" i="38"/>
  <c r="D106" i="38"/>
  <c r="E106" i="38"/>
  <c r="E103" i="38"/>
  <c r="C103" i="38"/>
  <c r="F103" i="38"/>
  <c r="J106" i="38"/>
  <c r="D103" i="38"/>
  <c r="I106" i="38"/>
  <c r="K103" i="38"/>
  <c r="H103" i="38"/>
  <c r="H106" i="38"/>
  <c r="I103" i="38"/>
  <c r="G103" i="38"/>
  <c r="C105" i="38"/>
  <c r="G110" i="38"/>
  <c r="D110" i="38"/>
  <c r="J110" i="38"/>
  <c r="H110" i="38"/>
  <c r="J105" i="38"/>
  <c r="H105" i="38"/>
  <c r="D105" i="38"/>
  <c r="G105" i="38"/>
  <c r="K105" i="38"/>
  <c r="I110" i="38"/>
  <c r="E110" i="38"/>
  <c r="F110" i="38"/>
  <c r="I105" i="38"/>
  <c r="D109" i="38"/>
  <c r="J107" i="38"/>
  <c r="E107" i="38"/>
  <c r="F107" i="38"/>
  <c r="H104" i="38"/>
  <c r="E104" i="38"/>
  <c r="D104" i="38"/>
  <c r="K104" i="38"/>
  <c r="K110" i="38"/>
  <c r="J109" i="38"/>
  <c r="C109" i="38"/>
  <c r="G109" i="38"/>
  <c r="D107" i="38"/>
  <c r="E109" i="38"/>
  <c r="F109" i="38"/>
  <c r="F105" i="38"/>
  <c r="I104" i="38"/>
  <c r="H109" i="38"/>
  <c r="I109" i="38"/>
  <c r="C110" i="38"/>
  <c r="F106" i="38"/>
  <c r="K107" i="38"/>
  <c r="C104" i="38"/>
  <c r="K109" i="38"/>
  <c r="H107" i="38"/>
  <c r="J104" i="38"/>
  <c r="G106" i="38"/>
  <c r="I107" i="38"/>
  <c r="C107" i="38"/>
  <c r="G107" i="38"/>
  <c r="F104" i="38"/>
  <c r="G104" i="38"/>
  <c r="C85" i="38" a="1"/>
  <c r="I86" i="38"/>
  <c r="D87" i="38"/>
  <c r="I87" i="38"/>
  <c r="G86" i="38"/>
  <c r="J87" i="38"/>
  <c r="C85" i="38"/>
  <c r="F87" i="38"/>
  <c r="J85" i="38"/>
  <c r="H87" i="38"/>
  <c r="K87" i="38"/>
  <c r="J86" i="38"/>
  <c r="F86" i="38"/>
  <c r="G85" i="38"/>
  <c r="K85" i="38"/>
  <c r="I85" i="38"/>
  <c r="D85" i="38"/>
  <c r="H85" i="38"/>
  <c r="E85" i="38"/>
  <c r="D86" i="38"/>
  <c r="G87" i="38"/>
  <c r="F85" i="38"/>
  <c r="E86" i="38"/>
  <c r="C86" i="38"/>
  <c r="H86" i="38"/>
  <c r="I89" i="38"/>
  <c r="J89" i="38"/>
  <c r="C88" i="38"/>
  <c r="E88" i="38"/>
  <c r="K88" i="38"/>
  <c r="H88" i="38"/>
  <c r="F92" i="38"/>
  <c r="K92" i="38"/>
  <c r="J90" i="38"/>
  <c r="D91" i="38"/>
  <c r="E91" i="38"/>
  <c r="C89" i="38"/>
  <c r="F88" i="38"/>
  <c r="G88" i="38"/>
  <c r="G89" i="38"/>
  <c r="K86" i="38"/>
  <c r="E90" i="38"/>
  <c r="H92" i="38"/>
  <c r="G90" i="38"/>
  <c r="H91" i="38"/>
  <c r="H90" i="38"/>
  <c r="H89" i="38"/>
  <c r="I90" i="38"/>
  <c r="E87" i="38"/>
  <c r="E89" i="38"/>
  <c r="C90" i="38"/>
  <c r="J88" i="38"/>
  <c r="D88" i="38"/>
  <c r="F90" i="38"/>
  <c r="K89" i="38"/>
  <c r="G91" i="38"/>
  <c r="D92" i="38"/>
  <c r="J91" i="38"/>
  <c r="I91" i="38"/>
  <c r="F91" i="38"/>
  <c r="D89" i="38"/>
  <c r="K90" i="38"/>
  <c r="F89" i="38"/>
  <c r="J92" i="38"/>
  <c r="I88" i="38"/>
  <c r="C92" i="38"/>
  <c r="C87" i="38"/>
  <c r="C91" i="38"/>
  <c r="D90" i="38"/>
  <c r="E92" i="38"/>
  <c r="I92" i="38"/>
  <c r="K91" i="38"/>
  <c r="G92" i="38"/>
  <c r="B85" i="38" a="1"/>
  <c r="B86" i="38"/>
  <c r="B85" i="38"/>
  <c r="B87" i="38"/>
  <c r="B92" i="38"/>
  <c r="B89" i="38"/>
  <c r="B90" i="38"/>
  <c r="B91" i="38"/>
  <c r="B88" i="38"/>
  <c r="D91" i="29" a="1"/>
  <c r="G92" i="29"/>
  <c r="H92" i="29"/>
  <c r="J92" i="29"/>
  <c r="E92" i="29"/>
  <c r="F92" i="29"/>
  <c r="M92" i="29"/>
  <c r="I92" i="29"/>
  <c r="D92" i="29"/>
  <c r="L92" i="29"/>
  <c r="K92" i="29"/>
  <c r="F96" i="29"/>
  <c r="H96" i="29"/>
  <c r="L96" i="29"/>
  <c r="I96" i="29"/>
  <c r="J96" i="29"/>
  <c r="K96" i="29"/>
  <c r="G96" i="29"/>
  <c r="D96" i="29"/>
  <c r="E96" i="29"/>
  <c r="M96" i="29"/>
  <c r="K98" i="29"/>
  <c r="E98" i="29"/>
  <c r="D98" i="29"/>
  <c r="L98" i="29"/>
  <c r="J98" i="29"/>
  <c r="M98" i="29"/>
  <c r="F98" i="29"/>
  <c r="I98" i="29"/>
  <c r="G98" i="29"/>
  <c r="H98" i="29"/>
  <c r="D94" i="29"/>
  <c r="M94" i="29"/>
  <c r="I94" i="29"/>
  <c r="G94" i="29"/>
  <c r="H94" i="29"/>
  <c r="K94" i="29"/>
  <c r="L94" i="29"/>
  <c r="F94" i="29"/>
  <c r="E94" i="29"/>
  <c r="J94" i="29"/>
  <c r="G97" i="29"/>
  <c r="E97" i="29"/>
  <c r="M97" i="29"/>
  <c r="D97" i="29"/>
  <c r="K97" i="29"/>
  <c r="J97" i="29"/>
  <c r="F97" i="29"/>
  <c r="L97" i="29"/>
  <c r="I97" i="29"/>
  <c r="H97" i="29"/>
  <c r="I95" i="29"/>
  <c r="G95" i="29"/>
  <c r="L95" i="29"/>
  <c r="J95" i="29"/>
  <c r="D95" i="29"/>
  <c r="K95" i="29"/>
  <c r="E95" i="29"/>
  <c r="H95" i="29"/>
  <c r="M95" i="29"/>
  <c r="F95" i="29"/>
  <c r="K93" i="29"/>
  <c r="M93" i="29"/>
  <c r="L93" i="29"/>
  <c r="J93" i="29"/>
  <c r="F93" i="29"/>
  <c r="E93" i="29"/>
  <c r="I93" i="29"/>
  <c r="G93" i="29"/>
  <c r="D93" i="29"/>
  <c r="H93" i="29"/>
  <c r="L91" i="29"/>
  <c r="K91" i="29"/>
  <c r="F91" i="29"/>
  <c r="M91" i="29"/>
  <c r="D91" i="29"/>
  <c r="E91" i="29"/>
  <c r="I91" i="29"/>
  <c r="G91" i="29"/>
  <c r="J91" i="29"/>
  <c r="H91" i="29"/>
  <c r="C85" i="8" a="1"/>
  <c r="C89" i="8"/>
  <c r="C89" i="39"/>
  <c r="J89" i="8"/>
  <c r="E88" i="8"/>
  <c r="F91" i="8"/>
  <c r="C91" i="8"/>
  <c r="C112" i="8" a="1"/>
  <c r="D116" i="8"/>
  <c r="D116" i="39"/>
  <c r="B85" i="8" a="1"/>
  <c r="B89" i="8"/>
  <c r="B89" i="39"/>
  <c r="H116" i="8"/>
  <c r="H116" i="39"/>
  <c r="E90" i="8"/>
  <c r="F88" i="8"/>
  <c r="F88" i="39"/>
  <c r="D91" i="4" a="1"/>
  <c r="J93" i="4"/>
  <c r="J93" i="33"/>
  <c r="C103" i="8" a="1"/>
  <c r="J110" i="8"/>
  <c r="J110" i="39"/>
  <c r="E108" i="8"/>
  <c r="E108" i="39"/>
  <c r="E106" i="8"/>
  <c r="E106" i="39"/>
  <c r="C94" i="8" a="1"/>
  <c r="G100" i="8"/>
  <c r="G100" i="39"/>
  <c r="L91" i="4"/>
  <c r="M91" i="4"/>
  <c r="K93" i="4"/>
  <c r="K93" i="33"/>
  <c r="B94" i="8" a="1"/>
  <c r="B98" i="8"/>
  <c r="B98" i="39"/>
  <c r="M95" i="4"/>
  <c r="M95" i="33"/>
  <c r="I95" i="4"/>
  <c r="I95" i="33"/>
  <c r="I105" i="8"/>
  <c r="I105" i="39"/>
  <c r="F110" i="8"/>
  <c r="F110" i="39"/>
  <c r="D110" i="8"/>
  <c r="D110" i="39"/>
  <c r="H110" i="8"/>
  <c r="H110" i="39"/>
  <c r="H108" i="8"/>
  <c r="H108" i="39"/>
  <c r="D106" i="8"/>
  <c r="D106" i="39"/>
  <c r="H97" i="4"/>
  <c r="H97" i="33"/>
  <c r="C97" i="8"/>
  <c r="C97" i="39"/>
  <c r="F100" i="8"/>
  <c r="F100" i="39"/>
  <c r="G94" i="4"/>
  <c r="G94" i="33"/>
  <c r="M94" i="4"/>
  <c r="M94" i="33"/>
  <c r="D119" i="8"/>
  <c r="D119" i="39"/>
  <c r="H113" i="8"/>
  <c r="H113" i="39"/>
  <c r="C113" i="8"/>
  <c r="C113" i="39"/>
  <c r="D98" i="4"/>
  <c r="D98" i="33"/>
  <c r="D85" i="8"/>
  <c r="D85" i="39"/>
  <c r="D87" i="8"/>
  <c r="D87" i="39"/>
  <c r="I87" i="8"/>
  <c r="I87" i="39"/>
  <c r="K87" i="8"/>
  <c r="K87" i="39"/>
  <c r="G87" i="8"/>
  <c r="G87" i="39"/>
  <c r="D92" i="4"/>
  <c r="D92" i="33"/>
  <c r="J107" i="8"/>
  <c r="K107" i="8"/>
  <c r="F104" i="8"/>
  <c r="E104" i="8"/>
  <c r="J104" i="8"/>
  <c r="I104" i="8"/>
  <c r="K99" i="8"/>
  <c r="I114" i="8"/>
  <c r="F117" i="8"/>
  <c r="K116" i="8"/>
  <c r="G115" i="8"/>
  <c r="G115" i="39"/>
  <c r="E89" i="8"/>
  <c r="G91" i="8"/>
  <c r="H91" i="8"/>
  <c r="H91" i="39"/>
  <c r="G92" i="8"/>
  <c r="H90" i="8"/>
  <c r="H90" i="39"/>
  <c r="D105" i="8"/>
  <c r="D105" i="39"/>
  <c r="G95" i="8"/>
  <c r="G95" i="39"/>
  <c r="J113" i="8"/>
  <c r="J113" i="39"/>
  <c r="J89" i="39"/>
  <c r="J96" i="4"/>
  <c r="J96" i="33"/>
  <c r="I106" i="8"/>
  <c r="I106" i="39"/>
  <c r="C103" i="8"/>
  <c r="C103" i="39"/>
  <c r="C108" i="8"/>
  <c r="C108" i="39"/>
  <c r="I108" i="8"/>
  <c r="I108" i="39"/>
  <c r="K108" i="8"/>
  <c r="K108" i="39"/>
  <c r="C106" i="8"/>
  <c r="C106" i="39"/>
  <c r="E97" i="4"/>
  <c r="E97" i="33"/>
  <c r="G97" i="8"/>
  <c r="G97" i="39"/>
  <c r="J97" i="8"/>
  <c r="J97" i="39"/>
  <c r="G98" i="8"/>
  <c r="G98" i="39"/>
  <c r="C98" i="8"/>
  <c r="C98" i="39"/>
  <c r="K119" i="8"/>
  <c r="K119" i="39"/>
  <c r="G113" i="8"/>
  <c r="G113" i="39"/>
  <c r="E112" i="8"/>
  <c r="E112" i="39"/>
  <c r="J112" i="8"/>
  <c r="J112" i="39"/>
  <c r="E98" i="4"/>
  <c r="E98" i="33"/>
  <c r="H85" i="8"/>
  <c r="H85" i="39"/>
  <c r="G86" i="8"/>
  <c r="G86" i="39"/>
  <c r="J86" i="8"/>
  <c r="J86" i="39"/>
  <c r="K96" i="4"/>
  <c r="K96" i="33"/>
  <c r="I96" i="4"/>
  <c r="I96" i="33"/>
  <c r="B87" i="8"/>
  <c r="B87" i="39"/>
  <c r="G92" i="4"/>
  <c r="G92" i="33"/>
  <c r="I92" i="4"/>
  <c r="I92" i="33"/>
  <c r="K92" i="4"/>
  <c r="K92" i="33"/>
  <c r="C109" i="8"/>
  <c r="F109" i="8"/>
  <c r="G101" i="8"/>
  <c r="D101" i="8"/>
  <c r="G96" i="8"/>
  <c r="F99" i="8"/>
  <c r="J98" i="8"/>
  <c r="D113" i="8"/>
  <c r="F115" i="8"/>
  <c r="C116" i="8"/>
  <c r="J92" i="8"/>
  <c r="F90" i="8"/>
  <c r="D92" i="8"/>
  <c r="B91" i="8"/>
  <c r="B91" i="39"/>
  <c r="I91" i="4"/>
  <c r="B72" i="7" a="1"/>
  <c r="D109" i="8"/>
  <c r="D109" i="39"/>
  <c r="J106" i="8"/>
  <c r="J106" i="39"/>
  <c r="F97" i="4"/>
  <c r="F97" i="33"/>
  <c r="I100" i="8"/>
  <c r="I100" i="39"/>
  <c r="D86" i="8"/>
  <c r="D86" i="39"/>
  <c r="I86" i="8"/>
  <c r="I86" i="39"/>
  <c r="G91" i="4"/>
  <c r="J91" i="4"/>
  <c r="D91" i="4"/>
  <c r="B75" i="7"/>
  <c r="B75" i="37"/>
  <c r="F93" i="4"/>
  <c r="F93" i="33"/>
  <c r="L93" i="4"/>
  <c r="L93" i="33"/>
  <c r="B94" i="8"/>
  <c r="B94" i="39"/>
  <c r="L95" i="4"/>
  <c r="L95" i="33"/>
  <c r="C105" i="8"/>
  <c r="C105" i="39"/>
  <c r="E105" i="8"/>
  <c r="E105" i="39"/>
  <c r="F108" i="8"/>
  <c r="F108" i="39"/>
  <c r="K106" i="8"/>
  <c r="K106" i="39"/>
  <c r="I97" i="4"/>
  <c r="I97" i="33"/>
  <c r="K97" i="4"/>
  <c r="K97" i="33"/>
  <c r="F97" i="8"/>
  <c r="F97" i="39"/>
  <c r="F98" i="8"/>
  <c r="F98" i="39"/>
  <c r="C94" i="8"/>
  <c r="C94" i="39"/>
  <c r="H100" i="8"/>
  <c r="H100" i="39"/>
  <c r="K100" i="8"/>
  <c r="K100" i="39"/>
  <c r="F95" i="8"/>
  <c r="F95" i="39"/>
  <c r="E95" i="8"/>
  <c r="E95" i="39"/>
  <c r="B112" i="8" a="1"/>
  <c r="B112" i="8"/>
  <c r="B112" i="39"/>
  <c r="E113" i="8"/>
  <c r="E113" i="39"/>
  <c r="K112" i="8"/>
  <c r="K112" i="39"/>
  <c r="H112" i="8"/>
  <c r="H112" i="39"/>
  <c r="F98" i="4"/>
  <c r="F98" i="33"/>
  <c r="H98" i="4"/>
  <c r="H98" i="33"/>
  <c r="C86" i="8"/>
  <c r="C86" i="39"/>
  <c r="G85" i="8"/>
  <c r="G85" i="39"/>
  <c r="C85" i="8"/>
  <c r="C85" i="39"/>
  <c r="H96" i="4"/>
  <c r="H96" i="33"/>
  <c r="L96" i="4"/>
  <c r="L96" i="33"/>
  <c r="E92" i="4"/>
  <c r="E92" i="33"/>
  <c r="D107" i="8"/>
  <c r="G109" i="8"/>
  <c r="H109" i="8"/>
  <c r="F106" i="8"/>
  <c r="K104" i="8"/>
  <c r="J96" i="8"/>
  <c r="E96" i="8"/>
  <c r="G99" i="8"/>
  <c r="G99" i="39"/>
  <c r="I99" i="8"/>
  <c r="D96" i="8"/>
  <c r="E99" i="8"/>
  <c r="B117" i="8"/>
  <c r="B117" i="39"/>
  <c r="C115" i="8"/>
  <c r="E116" i="8"/>
  <c r="H115" i="8"/>
  <c r="K117" i="8"/>
  <c r="J115" i="8"/>
  <c r="I118" i="8"/>
  <c r="K92" i="8"/>
  <c r="C88" i="8"/>
  <c r="E92" i="8"/>
  <c r="J88" i="8"/>
  <c r="G88" i="8"/>
  <c r="E91" i="4"/>
  <c r="C75" i="7"/>
  <c r="F101" i="8"/>
  <c r="F101" i="39"/>
  <c r="G114" i="8"/>
  <c r="G114" i="39"/>
  <c r="J119" i="8"/>
  <c r="J119" i="39"/>
  <c r="E88" i="39"/>
  <c r="F87" i="8"/>
  <c r="F87" i="39"/>
  <c r="B86" i="8"/>
  <c r="B86" i="39"/>
  <c r="H95" i="4"/>
  <c r="H95" i="33"/>
  <c r="E110" i="8"/>
  <c r="E110" i="39"/>
  <c r="D108" i="8"/>
  <c r="D108" i="39"/>
  <c r="G108" i="8"/>
  <c r="G108" i="39"/>
  <c r="H103" i="8"/>
  <c r="H103" i="39"/>
  <c r="J97" i="4"/>
  <c r="J97" i="33"/>
  <c r="D97" i="4"/>
  <c r="D97" i="33"/>
  <c r="H97" i="8"/>
  <c r="H97" i="39"/>
  <c r="D97" i="8"/>
  <c r="D97" i="39"/>
  <c r="E98" i="8"/>
  <c r="E98" i="39"/>
  <c r="J100" i="8"/>
  <c r="J100" i="39"/>
  <c r="I95" i="8"/>
  <c r="I95" i="39"/>
  <c r="J94" i="4"/>
  <c r="J94" i="33"/>
  <c r="G119" i="8"/>
  <c r="G119" i="39"/>
  <c r="H119" i="8"/>
  <c r="H119" i="39"/>
  <c r="I119" i="8"/>
  <c r="I119" i="39"/>
  <c r="G112" i="8"/>
  <c r="G112" i="39"/>
  <c r="K98" i="4"/>
  <c r="K98" i="33"/>
  <c r="L98" i="4"/>
  <c r="L98" i="33"/>
  <c r="J87" i="8"/>
  <c r="J87" i="39"/>
  <c r="B85" i="8"/>
  <c r="B85" i="39"/>
  <c r="J92" i="4"/>
  <c r="J92" i="33"/>
  <c r="H92" i="4"/>
  <c r="H92" i="33"/>
  <c r="B96" i="8"/>
  <c r="F105" i="8"/>
  <c r="G106" i="8"/>
  <c r="C104" i="8"/>
  <c r="F96" i="8"/>
  <c r="F96" i="39"/>
  <c r="J101" i="8"/>
  <c r="J95" i="8"/>
  <c r="K98" i="8"/>
  <c r="B116" i="8"/>
  <c r="H118" i="8"/>
  <c r="I113" i="8"/>
  <c r="H117" i="8"/>
  <c r="G116" i="8"/>
  <c r="J116" i="8"/>
  <c r="G117" i="8"/>
  <c r="G117" i="39"/>
  <c r="D117" i="8"/>
  <c r="J118" i="8"/>
  <c r="G89" i="8"/>
  <c r="D91" i="8"/>
  <c r="D90" i="8"/>
  <c r="E91" i="8"/>
  <c r="J91" i="8"/>
  <c r="J91" i="39"/>
  <c r="B90" i="8"/>
  <c r="B103" i="8" a="1"/>
  <c r="B109" i="8"/>
  <c r="B109" i="39"/>
  <c r="B108" i="8"/>
  <c r="L99" i="29" a="1"/>
  <c r="L99" i="29"/>
  <c r="B99" i="8"/>
  <c r="B99" i="39"/>
  <c r="H106" i="8"/>
  <c r="H106" i="39"/>
  <c r="K94" i="8"/>
  <c r="K94" i="39"/>
  <c r="F94" i="4"/>
  <c r="F94" i="33"/>
  <c r="C112" i="8"/>
  <c r="C112" i="39"/>
  <c r="K99" i="29" a="1"/>
  <c r="K99" i="29"/>
  <c r="B97" i="8"/>
  <c r="B97" i="39"/>
  <c r="K91" i="4"/>
  <c r="B102" i="7" a="1"/>
  <c r="C107" i="7"/>
  <c r="I93" i="4"/>
  <c r="I93" i="33"/>
  <c r="D95" i="4"/>
  <c r="D95" i="33"/>
  <c r="E95" i="4"/>
  <c r="E95" i="33"/>
  <c r="H105" i="8"/>
  <c r="H105" i="39"/>
  <c r="G110" i="8"/>
  <c r="G110" i="39"/>
  <c r="D103" i="8"/>
  <c r="D103" i="39"/>
  <c r="F103" i="8"/>
  <c r="F103" i="39"/>
  <c r="B108" i="7"/>
  <c r="B108" i="37"/>
  <c r="L97" i="4"/>
  <c r="L97" i="33"/>
  <c r="I98" i="8"/>
  <c r="I98" i="39"/>
  <c r="H94" i="8"/>
  <c r="H94" i="39"/>
  <c r="H98" i="8"/>
  <c r="H98" i="39"/>
  <c r="H95" i="8"/>
  <c r="H95" i="39"/>
  <c r="D98" i="8"/>
  <c r="D98" i="39"/>
  <c r="F94" i="8"/>
  <c r="F94" i="39"/>
  <c r="K94" i="4"/>
  <c r="K94" i="33"/>
  <c r="K113" i="8"/>
  <c r="K113" i="39"/>
  <c r="I112" i="8"/>
  <c r="I112" i="39"/>
  <c r="G98" i="4"/>
  <c r="G98" i="33"/>
  <c r="M98" i="4"/>
  <c r="M98" i="33"/>
  <c r="H86" i="8"/>
  <c r="H86" i="39"/>
  <c r="J85" i="8"/>
  <c r="J85" i="39"/>
  <c r="F86" i="8"/>
  <c r="F86" i="39"/>
  <c r="G96" i="4"/>
  <c r="G96" i="33"/>
  <c r="M96" i="4"/>
  <c r="M96" i="33"/>
  <c r="B101" i="8"/>
  <c r="I109" i="8"/>
  <c r="K109" i="8"/>
  <c r="K109" i="39"/>
  <c r="E109" i="8"/>
  <c r="F107" i="8"/>
  <c r="E101" i="8"/>
  <c r="E101" i="39"/>
  <c r="H101" i="8"/>
  <c r="C99" i="8"/>
  <c r="D99" i="8"/>
  <c r="D100" i="8"/>
  <c r="B115" i="8"/>
  <c r="K115" i="8"/>
  <c r="I116" i="8"/>
  <c r="J117" i="8"/>
  <c r="D115" i="8"/>
  <c r="E117" i="8"/>
  <c r="E118" i="8"/>
  <c r="C118" i="8"/>
  <c r="C118" i="39"/>
  <c r="H89" i="8"/>
  <c r="D89" i="8"/>
  <c r="I88" i="8"/>
  <c r="K88" i="8"/>
  <c r="I90" i="8"/>
  <c r="K86" i="8"/>
  <c r="I91" i="8"/>
  <c r="G90" i="8"/>
  <c r="D88" i="8"/>
  <c r="B88" i="8"/>
  <c r="B106" i="8"/>
  <c r="J103" i="8"/>
  <c r="J103" i="39"/>
  <c r="G94" i="8"/>
  <c r="G94" i="39"/>
  <c r="D94" i="4"/>
  <c r="D94" i="33"/>
  <c r="E90" i="39"/>
  <c r="F91" i="39"/>
  <c r="D93" i="4"/>
  <c r="D93" i="33"/>
  <c r="F99" i="29" a="1"/>
  <c r="F99" i="29"/>
  <c r="H93" i="4"/>
  <c r="H93" i="33"/>
  <c r="B95" i="8"/>
  <c r="B95" i="39"/>
  <c r="K95" i="4"/>
  <c r="K95" i="33"/>
  <c r="F91" i="4"/>
  <c r="M99" i="29" a="1"/>
  <c r="M99" i="29"/>
  <c r="D99" i="29" a="1"/>
  <c r="D99" i="29"/>
  <c r="E99" i="29" a="1"/>
  <c r="E99" i="29"/>
  <c r="I99" i="29" a="1"/>
  <c r="I99" i="29"/>
  <c r="G93" i="4"/>
  <c r="G93" i="33"/>
  <c r="G95" i="4"/>
  <c r="G95" i="33"/>
  <c r="J105" i="8"/>
  <c r="J105" i="39"/>
  <c r="K105" i="8"/>
  <c r="K105" i="39"/>
  <c r="K103" i="8"/>
  <c r="K103" i="39"/>
  <c r="M97" i="4"/>
  <c r="M97" i="33"/>
  <c r="G97" i="4"/>
  <c r="G97" i="33"/>
  <c r="C109" i="7"/>
  <c r="D95" i="8"/>
  <c r="D95" i="39"/>
  <c r="E94" i="8"/>
  <c r="E94" i="39"/>
  <c r="I94" i="8"/>
  <c r="I94" i="39"/>
  <c r="J94" i="8"/>
  <c r="J94" i="39"/>
  <c r="H94" i="4"/>
  <c r="H94" i="33"/>
  <c r="I94" i="4"/>
  <c r="I94" i="33"/>
  <c r="E94" i="4"/>
  <c r="E94" i="33"/>
  <c r="B118" i="8"/>
  <c r="B118" i="39"/>
  <c r="F113" i="8"/>
  <c r="F113" i="39"/>
  <c r="F112" i="8"/>
  <c r="F112" i="39"/>
  <c r="J98" i="4"/>
  <c r="J98" i="33"/>
  <c r="I98" i="4"/>
  <c r="I98" i="33"/>
  <c r="F85" i="8"/>
  <c r="F85" i="39"/>
  <c r="K85" i="8"/>
  <c r="K85" i="39"/>
  <c r="D96" i="4"/>
  <c r="D96" i="33"/>
  <c r="F96" i="4"/>
  <c r="F96" i="33"/>
  <c r="F92" i="4"/>
  <c r="F92" i="33"/>
  <c r="H107" i="8"/>
  <c r="C110" i="8"/>
  <c r="C107" i="8"/>
  <c r="D104" i="8"/>
  <c r="C96" i="8"/>
  <c r="K101" i="8"/>
  <c r="I96" i="8"/>
  <c r="J99" i="8"/>
  <c r="C101" i="8"/>
  <c r="E97" i="8"/>
  <c r="H99" i="8"/>
  <c r="H99" i="39"/>
  <c r="H96" i="8"/>
  <c r="I115" i="8"/>
  <c r="K118" i="8"/>
  <c r="K118" i="39"/>
  <c r="C114" i="8"/>
  <c r="F116" i="8"/>
  <c r="D118" i="8"/>
  <c r="F114" i="8"/>
  <c r="K89" i="8"/>
  <c r="C92" i="8"/>
  <c r="C92" i="39"/>
  <c r="H92" i="8"/>
  <c r="C87" i="8"/>
  <c r="C91" i="39"/>
  <c r="C90" i="8"/>
  <c r="I92" i="8"/>
  <c r="K90" i="8"/>
  <c r="B92" i="8"/>
  <c r="M93" i="4"/>
  <c r="M93" i="33"/>
  <c r="I110" i="8"/>
  <c r="I110" i="39"/>
  <c r="E115" i="8"/>
  <c r="E115" i="39"/>
  <c r="F119" i="8"/>
  <c r="F119" i="39"/>
  <c r="E87" i="8"/>
  <c r="E87" i="39"/>
  <c r="H87" i="8"/>
  <c r="H87" i="39"/>
  <c r="B104" i="7"/>
  <c r="G99" i="29" a="1"/>
  <c r="G99" i="29"/>
  <c r="G81" i="29" a="1"/>
  <c r="G81" i="29"/>
  <c r="H91" i="4"/>
  <c r="J99" i="29" a="1"/>
  <c r="J99" i="29"/>
  <c r="H81" i="29" a="1"/>
  <c r="H81" i="29"/>
  <c r="H99" i="29" a="1"/>
  <c r="H99" i="29"/>
  <c r="E93" i="4"/>
  <c r="E93" i="33"/>
  <c r="B100" i="8"/>
  <c r="B100" i="39"/>
  <c r="F95" i="4"/>
  <c r="F95" i="33"/>
  <c r="J95" i="4"/>
  <c r="J95" i="33"/>
  <c r="G105" i="8"/>
  <c r="G105" i="39"/>
  <c r="K110" i="8"/>
  <c r="K110" i="39"/>
  <c r="E103" i="8"/>
  <c r="E103" i="39"/>
  <c r="I103" i="8"/>
  <c r="I103" i="39"/>
  <c r="G103" i="8"/>
  <c r="G103" i="39"/>
  <c r="J108" i="8"/>
  <c r="J108" i="39"/>
  <c r="I97" i="8"/>
  <c r="I97" i="39"/>
  <c r="K97" i="8"/>
  <c r="K97" i="39"/>
  <c r="D94" i="8"/>
  <c r="D94" i="39"/>
  <c r="K95" i="8"/>
  <c r="K95" i="39"/>
  <c r="C95" i="8"/>
  <c r="C95" i="39"/>
  <c r="L94" i="4"/>
  <c r="L94" i="33"/>
  <c r="B113" i="8"/>
  <c r="B113" i="39"/>
  <c r="B119" i="8"/>
  <c r="B119" i="39"/>
  <c r="B114" i="8"/>
  <c r="B114" i="39"/>
  <c r="C119" i="8"/>
  <c r="C119" i="39"/>
  <c r="E119" i="8"/>
  <c r="E119" i="39"/>
  <c r="D112" i="8"/>
  <c r="D112" i="39"/>
  <c r="E86" i="8"/>
  <c r="E86" i="39"/>
  <c r="E85" i="8"/>
  <c r="E85" i="39"/>
  <c r="I85" i="8"/>
  <c r="I85" i="39"/>
  <c r="E96" i="4"/>
  <c r="E96" i="33"/>
  <c r="M92" i="4"/>
  <c r="M92" i="33"/>
  <c r="L92" i="4"/>
  <c r="L92" i="33"/>
  <c r="B103" i="8"/>
  <c r="B103" i="39"/>
  <c r="G118" i="8"/>
  <c r="I107" i="8"/>
  <c r="I107" i="39"/>
  <c r="E107" i="8"/>
  <c r="G107" i="8"/>
  <c r="G107" i="39"/>
  <c r="G104" i="8"/>
  <c r="G104" i="39"/>
  <c r="H104" i="8"/>
  <c r="I101" i="8"/>
  <c r="K96" i="8"/>
  <c r="C100" i="8"/>
  <c r="E100" i="8"/>
  <c r="E100" i="39"/>
  <c r="E114" i="8"/>
  <c r="E114" i="39"/>
  <c r="D114" i="8"/>
  <c r="D114" i="39"/>
  <c r="J114" i="8"/>
  <c r="C117" i="8"/>
  <c r="F118" i="8"/>
  <c r="H114" i="8"/>
  <c r="H114" i="39"/>
  <c r="K114" i="8"/>
  <c r="I117" i="8"/>
  <c r="F89" i="8"/>
  <c r="I89" i="8"/>
  <c r="K91" i="8"/>
  <c r="K91" i="39"/>
  <c r="J90" i="8"/>
  <c r="H88" i="8"/>
  <c r="F92" i="8"/>
  <c r="B110" i="8"/>
  <c r="B139" i="8" a="1"/>
  <c r="G144" i="8"/>
  <c r="B121" i="8" a="1"/>
  <c r="G122" i="8"/>
  <c r="G123" i="8"/>
  <c r="E142" i="8"/>
  <c r="B148" i="8" a="1"/>
  <c r="K155" i="8"/>
  <c r="B130" i="8" a="1"/>
  <c r="H130" i="8"/>
  <c r="E139" i="8"/>
  <c r="D155" i="8"/>
  <c r="J127" i="8"/>
  <c r="J125" i="8"/>
  <c r="H121" i="8"/>
  <c r="F127" i="8"/>
  <c r="F132" i="8"/>
  <c r="G146" i="8"/>
  <c r="H139" i="8"/>
  <c r="D134" i="8"/>
  <c r="E121" i="8"/>
  <c r="E136" i="8"/>
  <c r="E123" i="8"/>
  <c r="J139" i="8"/>
  <c r="G155" i="8"/>
  <c r="J136" i="8"/>
  <c r="G151" i="8"/>
  <c r="J109" i="8"/>
  <c r="J109" i="39"/>
  <c r="H123" i="8"/>
  <c r="F130" i="8"/>
  <c r="F139" i="8"/>
  <c r="C130" i="8"/>
  <c r="I136" i="8"/>
  <c r="C144" i="8"/>
  <c r="I130" i="8"/>
  <c r="K141" i="8"/>
  <c r="C154" i="8"/>
  <c r="E137" i="8"/>
  <c r="E149" i="8"/>
  <c r="F131" i="8"/>
  <c r="K154" i="8"/>
  <c r="K145" i="8"/>
  <c r="F123" i="8"/>
  <c r="C134" i="8"/>
  <c r="C128" i="8"/>
  <c r="E134" i="8"/>
  <c r="E126" i="8"/>
  <c r="K121" i="8"/>
  <c r="J130" i="8"/>
  <c r="D131" i="8"/>
  <c r="K139" i="8"/>
  <c r="G130" i="8"/>
  <c r="I134" i="8"/>
  <c r="C122" i="8"/>
  <c r="K136" i="8"/>
  <c r="G134" i="8"/>
  <c r="D141" i="8"/>
  <c r="F146" i="8"/>
  <c r="H155" i="8"/>
  <c r="D123" i="8"/>
  <c r="C131" i="8"/>
  <c r="E130" i="8"/>
  <c r="E141" i="8"/>
  <c r="B103" i="7"/>
  <c r="F81" i="4" a="1"/>
  <c r="F81" i="4"/>
  <c r="F81" i="33"/>
  <c r="C148" i="8"/>
  <c r="H142" i="8"/>
  <c r="I155" i="8"/>
  <c r="G149" i="8"/>
  <c r="J149" i="8"/>
  <c r="D142" i="8"/>
  <c r="F124" i="8"/>
  <c r="D130" i="8"/>
  <c r="J123" i="8"/>
  <c r="D133" i="8"/>
  <c r="G143" i="8"/>
  <c r="E81" i="4" a="1"/>
  <c r="E81" i="4"/>
  <c r="E81" i="33"/>
  <c r="K148" i="8"/>
  <c r="H136" i="8"/>
  <c r="F133" i="8"/>
  <c r="D122" i="8"/>
  <c r="D121" i="8"/>
  <c r="C125" i="8"/>
  <c r="D152" i="8"/>
  <c r="D148" i="8"/>
  <c r="C127" i="8"/>
  <c r="E146" i="8"/>
  <c r="C133" i="8"/>
  <c r="I143" i="8"/>
  <c r="E150" i="8"/>
  <c r="B42" i="7" a="1"/>
  <c r="J150" i="8"/>
  <c r="J114" i="39"/>
  <c r="C110" i="39"/>
  <c r="C146" i="8"/>
  <c r="J96" i="39"/>
  <c r="J132" i="8"/>
  <c r="K126" i="8"/>
  <c r="K90" i="39"/>
  <c r="C96" i="39"/>
  <c r="C132" i="8"/>
  <c r="I152" i="8"/>
  <c r="I116" i="39"/>
  <c r="B151" i="8"/>
  <c r="B115" i="39"/>
  <c r="E145" i="8"/>
  <c r="E109" i="39"/>
  <c r="C77" i="7"/>
  <c r="J116" i="39"/>
  <c r="J152" i="8"/>
  <c r="J131" i="8"/>
  <c r="J95" i="39"/>
  <c r="H115" i="39"/>
  <c r="H151" i="8"/>
  <c r="B78" i="7"/>
  <c r="B78" i="37"/>
  <c r="I99" i="39"/>
  <c r="I135" i="8"/>
  <c r="D113" i="39"/>
  <c r="D149" i="8"/>
  <c r="G96" i="39"/>
  <c r="G132" i="8"/>
  <c r="F109" i="39"/>
  <c r="F145" i="8"/>
  <c r="I150" i="8"/>
  <c r="I114" i="39"/>
  <c r="I104" i="39"/>
  <c r="I140" i="8"/>
  <c r="C72" i="7"/>
  <c r="B145" i="8"/>
  <c r="I115" i="39"/>
  <c r="I151" i="8"/>
  <c r="G90" i="39"/>
  <c r="G126" i="8"/>
  <c r="B136" i="8"/>
  <c r="K101" i="39"/>
  <c r="K137" i="8"/>
  <c r="C106" i="7"/>
  <c r="D88" i="39"/>
  <c r="D124" i="8"/>
  <c r="D125" i="8"/>
  <c r="D89" i="39"/>
  <c r="J117" i="39"/>
  <c r="J153" i="8"/>
  <c r="F143" i="8"/>
  <c r="F107" i="39"/>
  <c r="B135" i="8"/>
  <c r="G125" i="8"/>
  <c r="G89" i="39"/>
  <c r="K98" i="39"/>
  <c r="K134" i="8"/>
  <c r="B44" i="7"/>
  <c r="B42" i="35" a="1"/>
  <c r="B44" i="35"/>
  <c r="B44" i="37"/>
  <c r="K117" i="39"/>
  <c r="K153" i="8"/>
  <c r="D143" i="8"/>
  <c r="D107" i="39"/>
  <c r="B105" i="8"/>
  <c r="B105" i="39"/>
  <c r="J128" i="8"/>
  <c r="J92" i="39"/>
  <c r="B104" i="8"/>
  <c r="B104" i="39"/>
  <c r="B43" i="7"/>
  <c r="F153" i="8"/>
  <c r="F117" i="39"/>
  <c r="K99" i="39"/>
  <c r="K135" i="8"/>
  <c r="C42" i="7"/>
  <c r="B103" i="37"/>
  <c r="K130" i="8"/>
  <c r="B107" i="7"/>
  <c r="B107" i="37"/>
  <c r="J81" i="4" a="1"/>
  <c r="J81" i="4"/>
  <c r="J81" i="33"/>
  <c r="I81" i="4" a="1"/>
  <c r="I81" i="4"/>
  <c r="I81" i="33"/>
  <c r="J148" i="8"/>
  <c r="F136" i="8"/>
  <c r="D146" i="8"/>
  <c r="C79" i="7"/>
  <c r="G140" i="8"/>
  <c r="E143" i="8"/>
  <c r="E107" i="39"/>
  <c r="B149" i="8"/>
  <c r="H99" i="4" a="1"/>
  <c r="H99" i="4"/>
  <c r="H99" i="33"/>
  <c r="H91" i="33"/>
  <c r="I126" i="8"/>
  <c r="I90" i="39"/>
  <c r="G142" i="8"/>
  <c r="G106" i="39"/>
  <c r="B105" i="7"/>
  <c r="B105" i="37"/>
  <c r="F116" i="39"/>
  <c r="F152" i="8"/>
  <c r="K114" i="39"/>
  <c r="K150" i="8"/>
  <c r="H104" i="39"/>
  <c r="H140" i="8"/>
  <c r="B139" i="8"/>
  <c r="H132" i="8"/>
  <c r="H96" i="39"/>
  <c r="F89" i="39"/>
  <c r="F125" i="8"/>
  <c r="C105" i="7"/>
  <c r="D118" i="39"/>
  <c r="D154" i="8"/>
  <c r="B47" i="7"/>
  <c r="I96" i="39"/>
  <c r="I132" i="8"/>
  <c r="I124" i="8"/>
  <c r="I88" i="39"/>
  <c r="H101" i="39"/>
  <c r="H137" i="8"/>
  <c r="B106" i="7"/>
  <c r="B106" i="37"/>
  <c r="C73" i="7"/>
  <c r="B90" i="39"/>
  <c r="B126" i="8"/>
  <c r="D127" i="8"/>
  <c r="D91" i="39"/>
  <c r="B116" i="39"/>
  <c r="B152" i="8"/>
  <c r="F141" i="8"/>
  <c r="F105" i="39"/>
  <c r="C43" i="7"/>
  <c r="C43" i="35"/>
  <c r="C43" i="37"/>
  <c r="C48" i="7"/>
  <c r="C88" i="39"/>
  <c r="C124" i="8"/>
  <c r="J115" i="39"/>
  <c r="J151" i="8"/>
  <c r="C49" i="7"/>
  <c r="C49" i="35"/>
  <c r="C49" i="37"/>
  <c r="B107" i="8"/>
  <c r="B107" i="39"/>
  <c r="B74" i="7"/>
  <c r="B74" i="37"/>
  <c r="F126" i="8"/>
  <c r="F90" i="39"/>
  <c r="F115" i="39"/>
  <c r="F151" i="8"/>
  <c r="F99" i="39"/>
  <c r="F135" i="8"/>
  <c r="G127" i="8"/>
  <c r="G91" i="39"/>
  <c r="K152" i="8"/>
  <c r="K116" i="39"/>
  <c r="C76" i="7"/>
  <c r="C102" i="7"/>
  <c r="B125" i="8"/>
  <c r="E122" i="8"/>
  <c r="E155" i="8"/>
  <c r="I139" i="8"/>
  <c r="K146" i="8"/>
  <c r="F148" i="8"/>
  <c r="J141" i="8"/>
  <c r="B79" i="7"/>
  <c r="B79" i="37"/>
  <c r="F122" i="8"/>
  <c r="H131" i="8"/>
  <c r="G148" i="8"/>
  <c r="J155" i="8"/>
  <c r="G121" i="8"/>
  <c r="H148" i="8"/>
  <c r="F144" i="8"/>
  <c r="D150" i="8"/>
  <c r="J122" i="8"/>
  <c r="C142" i="8"/>
  <c r="I142" i="8"/>
  <c r="G135" i="8"/>
  <c r="I123" i="8"/>
  <c r="L81" i="4" a="1"/>
  <c r="L81" i="4"/>
  <c r="L81" i="33"/>
  <c r="H126" i="8"/>
  <c r="D136" i="8"/>
  <c r="D100" i="39"/>
  <c r="J124" i="8"/>
  <c r="J88" i="39"/>
  <c r="B42" i="7"/>
  <c r="B49" i="7"/>
  <c r="B49" i="35"/>
  <c r="B49" i="37"/>
  <c r="C136" i="8"/>
  <c r="C100" i="39"/>
  <c r="D140" i="8"/>
  <c r="D104" i="39"/>
  <c r="F128" i="8"/>
  <c r="F92" i="39"/>
  <c r="I101" i="39"/>
  <c r="I137" i="8"/>
  <c r="H92" i="39"/>
  <c r="H128" i="8"/>
  <c r="B110" i="39"/>
  <c r="B146" i="8"/>
  <c r="I125" i="8"/>
  <c r="I89" i="39"/>
  <c r="B77" i="7"/>
  <c r="B77" i="37"/>
  <c r="C87" i="39"/>
  <c r="C123" i="8"/>
  <c r="C78" i="7"/>
  <c r="J99" i="39"/>
  <c r="J135" i="8"/>
  <c r="B154" i="8"/>
  <c r="B124" i="8"/>
  <c r="B88" i="39"/>
  <c r="D115" i="39"/>
  <c r="D151" i="8"/>
  <c r="C99" i="39"/>
  <c r="C135" i="8"/>
  <c r="D126" i="8"/>
  <c r="D90" i="39"/>
  <c r="D153" i="8"/>
  <c r="D117" i="39"/>
  <c r="B132" i="8"/>
  <c r="B96" i="39"/>
  <c r="B121" i="8"/>
  <c r="E92" i="39"/>
  <c r="E128" i="8"/>
  <c r="I154" i="8"/>
  <c r="I118" i="39"/>
  <c r="D132" i="8"/>
  <c r="D96" i="39"/>
  <c r="G145" i="8"/>
  <c r="G109" i="39"/>
  <c r="J91" i="33"/>
  <c r="J99" i="4" a="1"/>
  <c r="J99" i="4"/>
  <c r="J99" i="33"/>
  <c r="C44" i="7"/>
  <c r="C116" i="39"/>
  <c r="C152" i="8"/>
  <c r="J98" i="39"/>
  <c r="J134" i="8"/>
  <c r="B123" i="8"/>
  <c r="B42" i="35"/>
  <c r="J107" i="39"/>
  <c r="J143" i="8"/>
  <c r="L99" i="4" a="1"/>
  <c r="L99" i="4"/>
  <c r="L99" i="33"/>
  <c r="L91" i="33"/>
  <c r="I133" i="8"/>
  <c r="G139" i="8"/>
  <c r="F155" i="8"/>
  <c r="I146" i="8"/>
  <c r="F121" i="8"/>
  <c r="I148" i="8"/>
  <c r="I131" i="8"/>
  <c r="D144" i="8"/>
  <c r="F137" i="8"/>
  <c r="C141" i="8"/>
  <c r="G81" i="4" a="1"/>
  <c r="G81" i="4"/>
  <c r="G81" i="33"/>
  <c r="I144" i="8"/>
  <c r="H149" i="8"/>
  <c r="H146" i="8"/>
  <c r="I141" i="8"/>
  <c r="J146" i="8"/>
  <c r="H150" i="8"/>
  <c r="C151" i="8"/>
  <c r="C115" i="39"/>
  <c r="G99" i="4" a="1"/>
  <c r="G99" i="4"/>
  <c r="G99" i="33"/>
  <c r="G91" i="33"/>
  <c r="I153" i="8"/>
  <c r="I117" i="39"/>
  <c r="B150" i="8"/>
  <c r="C46" i="7"/>
  <c r="C46" i="35"/>
  <c r="C46" i="37"/>
  <c r="B128" i="8"/>
  <c r="B92" i="39"/>
  <c r="K89" i="39"/>
  <c r="K125" i="8"/>
  <c r="F150" i="8"/>
  <c r="F114" i="39"/>
  <c r="C137" i="8"/>
  <c r="C101" i="39"/>
  <c r="H143" i="8"/>
  <c r="H107" i="39"/>
  <c r="B106" i="39"/>
  <c r="B142" i="8"/>
  <c r="C74" i="7"/>
  <c r="K88" i="39"/>
  <c r="K124" i="8"/>
  <c r="E153" i="8"/>
  <c r="E117" i="39"/>
  <c r="D135" i="8"/>
  <c r="D99" i="39"/>
  <c r="K99" i="4" a="1"/>
  <c r="K99" i="4"/>
  <c r="K99" i="33"/>
  <c r="K91" i="33"/>
  <c r="E91" i="39"/>
  <c r="E127" i="8"/>
  <c r="J154" i="8"/>
  <c r="J118" i="39"/>
  <c r="H118" i="39"/>
  <c r="H154" i="8"/>
  <c r="E135" i="8"/>
  <c r="E99" i="39"/>
  <c r="H145" i="8"/>
  <c r="H109" i="39"/>
  <c r="D99" i="4" a="1"/>
  <c r="D99" i="4"/>
  <c r="D99" i="33"/>
  <c r="D91" i="33"/>
  <c r="D128" i="8"/>
  <c r="D92" i="39"/>
  <c r="B72" i="7"/>
  <c r="B102" i="7"/>
  <c r="K143" i="8"/>
  <c r="K107" i="39"/>
  <c r="B134" i="8"/>
  <c r="H81" i="4" a="1"/>
  <c r="H81" i="4"/>
  <c r="H81" i="33"/>
  <c r="B104" i="37"/>
  <c r="H122" i="8"/>
  <c r="B43" i="35"/>
  <c r="B109" i="7"/>
  <c r="B109" i="37"/>
  <c r="K142" i="8"/>
  <c r="M81" i="4" a="1"/>
  <c r="M81" i="4"/>
  <c r="M81" i="33"/>
  <c r="H135" i="8"/>
  <c r="H152" i="8"/>
  <c r="E133" i="8"/>
  <c r="E97" i="39"/>
  <c r="B137" i="8"/>
  <c r="B101" i="39"/>
  <c r="B108" i="39"/>
  <c r="B144" i="8"/>
  <c r="C145" i="8"/>
  <c r="C109" i="39"/>
  <c r="F104" i="39"/>
  <c r="F140" i="8"/>
  <c r="B46" i="7"/>
  <c r="B46" i="35"/>
  <c r="B46" i="37"/>
  <c r="J126" i="8"/>
  <c r="J90" i="39"/>
  <c r="C153" i="8"/>
  <c r="C117" i="39"/>
  <c r="K132" i="8"/>
  <c r="K96" i="39"/>
  <c r="C90" i="39"/>
  <c r="C126" i="8"/>
  <c r="C143" i="8"/>
  <c r="C107" i="39"/>
  <c r="F99" i="4" a="1"/>
  <c r="F99" i="4"/>
  <c r="F99" i="33"/>
  <c r="F91" i="33"/>
  <c r="K122" i="8"/>
  <c r="K86" i="39"/>
  <c r="K151" i="8"/>
  <c r="K115" i="39"/>
  <c r="B76" i="7"/>
  <c r="B76" i="37"/>
  <c r="I109" i="39"/>
  <c r="I145" i="8"/>
  <c r="B133" i="8"/>
  <c r="H117" i="39"/>
  <c r="H153" i="8"/>
  <c r="J101" i="39"/>
  <c r="J137" i="8"/>
  <c r="B122" i="8"/>
  <c r="E152" i="8"/>
  <c r="E116" i="39"/>
  <c r="E96" i="39"/>
  <c r="E132" i="8"/>
  <c r="G101" i="39"/>
  <c r="G137" i="8"/>
  <c r="C104" i="7"/>
  <c r="C47" i="7"/>
  <c r="E104" i="39"/>
  <c r="E140" i="8"/>
  <c r="C42" i="35"/>
  <c r="M91" i="33"/>
  <c r="M99" i="4" a="1"/>
  <c r="M99" i="4"/>
  <c r="M99" i="33"/>
  <c r="B127" i="8"/>
  <c r="K131" i="8"/>
  <c r="K133" i="8"/>
  <c r="J121" i="8"/>
  <c r="D139" i="8"/>
  <c r="H133" i="8"/>
  <c r="E124" i="8"/>
  <c r="C121" i="8"/>
  <c r="E131" i="8"/>
  <c r="D81" i="4" a="1"/>
  <c r="D81" i="4"/>
  <c r="D81" i="33"/>
  <c r="I122" i="8"/>
  <c r="D145" i="8"/>
  <c r="E148" i="8"/>
  <c r="G133" i="8"/>
  <c r="C108" i="7"/>
  <c r="K127" i="8"/>
  <c r="G131" i="8"/>
  <c r="K123" i="8"/>
  <c r="G136" i="8"/>
  <c r="G153" i="8"/>
  <c r="E154" i="8"/>
  <c r="E118" i="39"/>
  <c r="I113" i="39"/>
  <c r="I149" i="8"/>
  <c r="F142" i="8"/>
  <c r="F106" i="39"/>
  <c r="B130" i="8"/>
  <c r="B153" i="8"/>
  <c r="B73" i="7"/>
  <c r="B73" i="37"/>
  <c r="H88" i="39"/>
  <c r="H124" i="8"/>
  <c r="F118" i="39"/>
  <c r="F154" i="8"/>
  <c r="G118" i="39"/>
  <c r="G154" i="8"/>
  <c r="B155" i="8"/>
  <c r="B48" i="7"/>
  <c r="I92" i="39"/>
  <c r="I128" i="8"/>
  <c r="C114" i="39"/>
  <c r="C150" i="8"/>
  <c r="B131" i="8"/>
  <c r="I91" i="39"/>
  <c r="I127" i="8"/>
  <c r="H89" i="39"/>
  <c r="H125" i="8"/>
  <c r="G152" i="8"/>
  <c r="G116" i="39"/>
  <c r="C140" i="8"/>
  <c r="C104" i="39"/>
  <c r="E99" i="4" a="1"/>
  <c r="E99" i="4"/>
  <c r="E99" i="33"/>
  <c r="E91" i="33"/>
  <c r="G88" i="39"/>
  <c r="G124" i="8"/>
  <c r="K128" i="8"/>
  <c r="K92" i="39"/>
  <c r="K104" i="39"/>
  <c r="K140" i="8"/>
  <c r="B148" i="8"/>
  <c r="I99" i="4" a="1"/>
  <c r="I99" i="4"/>
  <c r="I99" i="33"/>
  <c r="I91" i="33"/>
  <c r="D101" i="39"/>
  <c r="D137" i="8"/>
  <c r="G92" i="39"/>
  <c r="G128" i="8"/>
  <c r="E125" i="8"/>
  <c r="E89" i="39"/>
  <c r="J140" i="8"/>
  <c r="J104" i="39"/>
  <c r="I121" i="8"/>
  <c r="C155" i="8"/>
  <c r="J144" i="8"/>
  <c r="G141" i="8"/>
  <c r="C45" i="7"/>
  <c r="E151" i="8"/>
  <c r="F149" i="8"/>
  <c r="K149" i="8"/>
  <c r="H134" i="8"/>
  <c r="H141" i="8"/>
  <c r="G150" i="8"/>
  <c r="F134" i="8"/>
  <c r="B45" i="7"/>
  <c r="J142" i="8"/>
  <c r="J133" i="8"/>
  <c r="K144" i="8"/>
  <c r="C139" i="8"/>
  <c r="C149" i="8"/>
  <c r="H144" i="8"/>
  <c r="C103" i="7"/>
  <c r="E144" i="8"/>
  <c r="H127" i="8"/>
  <c r="B281" i="8" a="1"/>
  <c r="I282" i="8"/>
  <c r="I282" i="39"/>
  <c r="G284" i="8"/>
  <c r="G284" i="39"/>
  <c r="B290" i="8" a="1"/>
  <c r="I297" i="8"/>
  <c r="I297" i="39"/>
  <c r="C288" i="8"/>
  <c r="C288" i="39"/>
  <c r="B308" i="8" a="1"/>
  <c r="F311" i="8"/>
  <c r="F311" i="39"/>
  <c r="H312" i="8"/>
  <c r="H312" i="39"/>
  <c r="H308" i="8"/>
  <c r="H308" i="39"/>
  <c r="B299" i="8" a="1"/>
  <c r="J304" i="8"/>
  <c r="J304" i="39"/>
  <c r="G303" i="8"/>
  <c r="G303" i="39"/>
  <c r="J306" i="8"/>
  <c r="J306" i="39"/>
  <c r="I292" i="8"/>
  <c r="I292" i="39"/>
  <c r="E300" i="8"/>
  <c r="E300" i="39"/>
  <c r="K285" i="8"/>
  <c r="K285" i="39"/>
  <c r="I281" i="8"/>
  <c r="I281" i="39"/>
  <c r="H309" i="8"/>
  <c r="H309" i="39"/>
  <c r="I309" i="8"/>
  <c r="I309" i="39"/>
  <c r="E301" i="8"/>
  <c r="E301" i="39"/>
  <c r="B301" i="8"/>
  <c r="B301" i="39"/>
  <c r="J297" i="8"/>
  <c r="J297" i="39"/>
  <c r="J292" i="8"/>
  <c r="J292" i="39"/>
  <c r="F283" i="8"/>
  <c r="F283" i="39"/>
  <c r="K308" i="8"/>
  <c r="K308" i="39"/>
  <c r="B42" i="37"/>
  <c r="C308" i="8"/>
  <c r="C308" i="39"/>
  <c r="D303" i="8"/>
  <c r="D303" i="39"/>
  <c r="B112" i="7" a="1"/>
  <c r="C119" i="7"/>
  <c r="B112" i="35" a="1"/>
  <c r="H288" i="8"/>
  <c r="H288" i="39"/>
  <c r="J308" i="8"/>
  <c r="J308" i="39"/>
  <c r="J302" i="8"/>
  <c r="J302" i="39"/>
  <c r="C300" i="8"/>
  <c r="C300" i="39"/>
  <c r="F304" i="8"/>
  <c r="F304" i="39"/>
  <c r="J293" i="8"/>
  <c r="J293" i="39"/>
  <c r="G292" i="8"/>
  <c r="G292" i="39"/>
  <c r="J286" i="8"/>
  <c r="J286" i="39"/>
  <c r="B282" i="8"/>
  <c r="B282" i="39"/>
  <c r="J305" i="8"/>
  <c r="J305" i="39"/>
  <c r="K302" i="8"/>
  <c r="K302" i="39"/>
  <c r="D290" i="8"/>
  <c r="D290" i="39"/>
  <c r="J283" i="8"/>
  <c r="J283" i="39"/>
  <c r="F310" i="8"/>
  <c r="F310" i="39"/>
  <c r="C113" i="7"/>
  <c r="B115" i="7"/>
  <c r="B45" i="35"/>
  <c r="B45" i="37"/>
  <c r="H303" i="8"/>
  <c r="H303" i="39"/>
  <c r="G297" i="8"/>
  <c r="G297" i="39"/>
  <c r="C115" i="7"/>
  <c r="C45" i="35"/>
  <c r="C45" i="37"/>
  <c r="H302" i="8"/>
  <c r="H302" i="39"/>
  <c r="G304" i="8"/>
  <c r="G304" i="39"/>
  <c r="E294" i="8"/>
  <c r="E294" i="39"/>
  <c r="F284" i="8"/>
  <c r="F284" i="39"/>
  <c r="C285" i="8"/>
  <c r="C285" i="39"/>
  <c r="H311" i="8"/>
  <c r="H311" i="39"/>
  <c r="B314" i="8"/>
  <c r="B314" i="39"/>
  <c r="E306" i="8"/>
  <c r="E306" i="39"/>
  <c r="D292" i="8"/>
  <c r="D292" i="39"/>
  <c r="K291" i="8"/>
  <c r="K291" i="39"/>
  <c r="J296" i="8"/>
  <c r="J296" i="39"/>
  <c r="E285" i="8"/>
  <c r="E285" i="39"/>
  <c r="E281" i="8"/>
  <c r="E281" i="39"/>
  <c r="F315" i="8"/>
  <c r="F315" i="39"/>
  <c r="F296" i="8"/>
  <c r="F296" i="39"/>
  <c r="I300" i="8"/>
  <c r="I300" i="39"/>
  <c r="F294" i="8"/>
  <c r="F294" i="39"/>
  <c r="H281" i="8"/>
  <c r="H281" i="39"/>
  <c r="I303" i="8"/>
  <c r="I303" i="39"/>
  <c r="H301" i="8"/>
  <c r="H301" i="39"/>
  <c r="I293" i="8"/>
  <c r="I293" i="39"/>
  <c r="B47" i="35"/>
  <c r="B48" i="35"/>
  <c r="B50" i="35"/>
  <c r="B112" i="35"/>
  <c r="C44" i="35"/>
  <c r="C44" i="37"/>
  <c r="C114" i="7"/>
  <c r="H286" i="8"/>
  <c r="H286" i="39"/>
  <c r="E288" i="8"/>
  <c r="E288" i="39"/>
  <c r="C311" i="8"/>
  <c r="C311" i="39"/>
  <c r="E312" i="8"/>
  <c r="E312" i="39"/>
  <c r="J309" i="8"/>
  <c r="J309" i="39"/>
  <c r="C110" i="7"/>
  <c r="E292" i="8"/>
  <c r="E292" i="39"/>
  <c r="C292" i="8"/>
  <c r="C292" i="39"/>
  <c r="G296" i="8"/>
  <c r="G296" i="39"/>
  <c r="B291" i="8"/>
  <c r="B291" i="39"/>
  <c r="C48" i="35"/>
  <c r="C48" i="37"/>
  <c r="C118" i="7"/>
  <c r="J288" i="8"/>
  <c r="J288" i="39"/>
  <c r="K288" i="8"/>
  <c r="K288" i="39"/>
  <c r="J310" i="8"/>
  <c r="J310" i="39"/>
  <c r="C309" i="8"/>
  <c r="C309" i="39"/>
  <c r="J295" i="8"/>
  <c r="J295" i="39"/>
  <c r="B43" i="37"/>
  <c r="B113" i="7"/>
  <c r="D283" i="8"/>
  <c r="D283" i="39"/>
  <c r="D293" i="8"/>
  <c r="D293" i="39"/>
  <c r="I287" i="8"/>
  <c r="I287" i="39"/>
  <c r="H314" i="8"/>
  <c r="H314" i="39"/>
  <c r="B114" i="7"/>
  <c r="D313" i="8"/>
  <c r="D313" i="39"/>
  <c r="E309" i="8"/>
  <c r="E309" i="39"/>
  <c r="I305" i="8"/>
  <c r="I305" i="39"/>
  <c r="E296" i="8"/>
  <c r="E296" i="39"/>
  <c r="C117" i="7"/>
  <c r="C47" i="35"/>
  <c r="C47" i="37"/>
  <c r="J287" i="8"/>
  <c r="J287" i="39"/>
  <c r="B315" i="8"/>
  <c r="B315" i="39"/>
  <c r="B116" i="7"/>
  <c r="B116" i="35"/>
  <c r="B116" i="37"/>
  <c r="B306" i="8"/>
  <c r="B306" i="39"/>
  <c r="G302" i="8"/>
  <c r="G302" i="39"/>
  <c r="I290" i="8"/>
  <c r="I290" i="39"/>
  <c r="G309" i="8"/>
  <c r="G309" i="39"/>
  <c r="C304" i="8"/>
  <c r="C304" i="39"/>
  <c r="E290" i="8"/>
  <c r="E290" i="39"/>
  <c r="G282" i="8"/>
  <c r="G282" i="39"/>
  <c r="I286" i="8"/>
  <c r="I286" i="39"/>
  <c r="C294" i="8"/>
  <c r="C294" i="39"/>
  <c r="F295" i="8"/>
  <c r="F295" i="39"/>
  <c r="K282" i="8"/>
  <c r="K282" i="39"/>
  <c r="D309" i="8"/>
  <c r="D309" i="39"/>
  <c r="K314" i="8"/>
  <c r="K314" i="39"/>
  <c r="D300" i="8"/>
  <c r="D300" i="39"/>
  <c r="D306" i="8"/>
  <c r="D306" i="39"/>
  <c r="C301" i="8"/>
  <c r="C301" i="39"/>
  <c r="B311" i="8"/>
  <c r="B311" i="39"/>
  <c r="I285" i="8"/>
  <c r="I285" i="39"/>
  <c r="K281" i="8"/>
  <c r="K281" i="39"/>
  <c r="C112" i="7"/>
  <c r="C42" i="37"/>
  <c r="K295" i="8"/>
  <c r="K295" i="39"/>
  <c r="D315" i="8"/>
  <c r="D315" i="39"/>
  <c r="F313" i="8"/>
  <c r="F313" i="39"/>
  <c r="I301" i="8"/>
  <c r="I301" i="39"/>
  <c r="G300" i="8"/>
  <c r="G300" i="39"/>
  <c r="F288" i="8"/>
  <c r="F288" i="39"/>
  <c r="E315" i="8"/>
  <c r="E315" i="39"/>
  <c r="E308" i="8"/>
  <c r="E308" i="39"/>
  <c r="J314" i="8"/>
  <c r="J314" i="39"/>
  <c r="B119" i="7"/>
  <c r="K305" i="8"/>
  <c r="K305" i="39"/>
  <c r="F287" i="8"/>
  <c r="F287" i="39"/>
  <c r="G287" i="8"/>
  <c r="G287" i="39"/>
  <c r="G312" i="8"/>
  <c r="G312" i="39"/>
  <c r="C305" i="8"/>
  <c r="C305" i="39"/>
  <c r="D305" i="8"/>
  <c r="D305" i="39"/>
  <c r="B295" i="8"/>
  <c r="B295" i="39"/>
  <c r="B292" i="8"/>
  <c r="B292" i="39"/>
  <c r="C303" i="8"/>
  <c r="C303" i="39"/>
  <c r="G294" i="8"/>
  <c r="G294" i="39"/>
  <c r="F290" i="8"/>
  <c r="F290" i="39"/>
  <c r="B72" i="37"/>
  <c r="B80" i="7"/>
  <c r="B80" i="37"/>
  <c r="B288" i="8"/>
  <c r="B288" i="39"/>
  <c r="K309" i="8"/>
  <c r="K309" i="39"/>
  <c r="B416" i="38" a="1"/>
  <c r="B308" i="8"/>
  <c r="B308" i="39"/>
  <c r="G299" i="8"/>
  <c r="G299" i="39"/>
  <c r="B335" i="8" a="1"/>
  <c r="G335" i="8"/>
  <c r="K301" i="8"/>
  <c r="K301" i="39"/>
  <c r="G285" i="8"/>
  <c r="G285" i="39"/>
  <c r="F309" i="8"/>
  <c r="F309" i="39"/>
  <c r="F306" i="8"/>
  <c r="F306" i="39"/>
  <c r="D302" i="8"/>
  <c r="D302" i="39"/>
  <c r="E282" i="8"/>
  <c r="E282" i="39"/>
  <c r="D281" i="8"/>
  <c r="D281" i="39"/>
  <c r="C287" i="8"/>
  <c r="C287" i="39"/>
  <c r="B317" i="8" a="1"/>
  <c r="C323" i="8"/>
  <c r="F300" i="8"/>
  <c r="F300" i="39"/>
  <c r="F302" i="8"/>
  <c r="F302" i="39"/>
  <c r="J294" i="8"/>
  <c r="J294" i="39"/>
  <c r="B294" i="8"/>
  <c r="B294" i="39"/>
  <c r="D287" i="8"/>
  <c r="D287" i="39"/>
  <c r="D282" i="8"/>
  <c r="D282" i="39"/>
  <c r="K283" i="8"/>
  <c r="K283" i="39"/>
  <c r="G315" i="8"/>
  <c r="G315" i="39"/>
  <c r="I315" i="8"/>
  <c r="I315" i="39"/>
  <c r="H285" i="8"/>
  <c r="H285" i="39"/>
  <c r="G305" i="8"/>
  <c r="G305" i="39"/>
  <c r="C306" i="8"/>
  <c r="C306" i="39"/>
  <c r="D291" i="8"/>
  <c r="D291" i="39"/>
  <c r="K293" i="8"/>
  <c r="K293" i="39"/>
  <c r="B326" i="8" a="1"/>
  <c r="K329" i="8"/>
  <c r="K286" i="8"/>
  <c r="K286" i="39"/>
  <c r="B118" i="7"/>
  <c r="B48" i="37"/>
  <c r="B304" i="8"/>
  <c r="B304" i="39"/>
  <c r="K296" i="8"/>
  <c r="K296" i="39"/>
  <c r="C291" i="8"/>
  <c r="C291" i="39"/>
  <c r="F291" i="8"/>
  <c r="F291" i="39"/>
  <c r="B286" i="8"/>
  <c r="B286" i="39"/>
  <c r="J285" i="8"/>
  <c r="J285" i="39"/>
  <c r="I314" i="8"/>
  <c r="I314" i="39"/>
  <c r="F299" i="8"/>
  <c r="F299" i="39"/>
  <c r="J303" i="8"/>
  <c r="J303" i="39"/>
  <c r="B290" i="8"/>
  <c r="B290" i="39"/>
  <c r="B398" i="38" a="1"/>
  <c r="G311" i="8"/>
  <c r="G311" i="39"/>
  <c r="H299" i="8"/>
  <c r="H299" i="39"/>
  <c r="B305" i="8"/>
  <c r="B305" i="39"/>
  <c r="D288" i="8"/>
  <c r="D288" i="39"/>
  <c r="I308" i="8"/>
  <c r="I308" i="39"/>
  <c r="B344" i="8" a="1"/>
  <c r="I344" i="8"/>
  <c r="F301" i="8"/>
  <c r="F301" i="39"/>
  <c r="I299" i="8"/>
  <c r="I299" i="39"/>
  <c r="H293" i="8"/>
  <c r="H293" i="39"/>
  <c r="G283" i="8"/>
  <c r="G283" i="39"/>
  <c r="D311" i="8"/>
  <c r="D311" i="39"/>
  <c r="F293" i="8"/>
  <c r="F293" i="39"/>
  <c r="G286" i="8"/>
  <c r="G286" i="39"/>
  <c r="C310" i="8"/>
  <c r="C310" i="39"/>
  <c r="J315" i="8"/>
  <c r="J315" i="39"/>
  <c r="E313" i="8"/>
  <c r="E313" i="39"/>
  <c r="I302" i="8"/>
  <c r="I302" i="39"/>
  <c r="H284" i="8"/>
  <c r="H284" i="39"/>
  <c r="I313" i="8"/>
  <c r="I313" i="39"/>
  <c r="F312" i="8"/>
  <c r="F312" i="39"/>
  <c r="I295" i="8"/>
  <c r="I295" i="39"/>
  <c r="K294" i="8"/>
  <c r="K294" i="39"/>
  <c r="F286" i="8"/>
  <c r="F286" i="39"/>
  <c r="G281" i="8"/>
  <c r="G281" i="39"/>
  <c r="K315" i="8"/>
  <c r="K315" i="39"/>
  <c r="D286" i="8"/>
  <c r="D286" i="39"/>
  <c r="F314" i="8"/>
  <c r="F314" i="39"/>
  <c r="B300" i="8"/>
  <c r="B300" i="39"/>
  <c r="D310" i="8"/>
  <c r="D310" i="39"/>
  <c r="D308" i="8"/>
  <c r="D308" i="39"/>
  <c r="J311" i="8"/>
  <c r="J311" i="39"/>
  <c r="E299" i="8"/>
  <c r="E299" i="39"/>
  <c r="C293" i="8"/>
  <c r="C293" i="39"/>
  <c r="E311" i="8"/>
  <c r="E311" i="39"/>
  <c r="G301" i="8"/>
  <c r="G301" i="39"/>
  <c r="B296" i="8"/>
  <c r="B296" i="39"/>
  <c r="C295" i="8"/>
  <c r="C295" i="39"/>
  <c r="B110" i="7"/>
  <c r="B110" i="37"/>
  <c r="B102" i="37"/>
  <c r="J282" i="8"/>
  <c r="J282" i="39"/>
  <c r="E310" i="8"/>
  <c r="E310" i="39"/>
  <c r="K312" i="8"/>
  <c r="K312" i="39"/>
  <c r="K313" i="8"/>
  <c r="K313" i="39"/>
  <c r="H290" i="8"/>
  <c r="H290" i="39"/>
  <c r="G288" i="8"/>
  <c r="G288" i="39"/>
  <c r="I288" i="8"/>
  <c r="I288" i="39"/>
  <c r="C286" i="8"/>
  <c r="C286" i="39"/>
  <c r="C167" i="38" a="1"/>
  <c r="C167" i="38"/>
  <c r="C168" i="38"/>
  <c r="C169" i="38"/>
  <c r="C170" i="38"/>
  <c r="C171" i="38"/>
  <c r="C172" i="38"/>
  <c r="C173" i="38"/>
  <c r="C174" i="38"/>
  <c r="C175" i="38"/>
  <c r="H310" i="8"/>
  <c r="H310" i="39"/>
  <c r="E314" i="8"/>
  <c r="E314" i="39"/>
  <c r="I312" i="8"/>
  <c r="I312" i="39"/>
  <c r="J291" i="8"/>
  <c r="J291" i="39"/>
  <c r="G293" i="8"/>
  <c r="G293" i="39"/>
  <c r="H294" i="8"/>
  <c r="H294" i="39"/>
  <c r="J281" i="8"/>
  <c r="J281" i="39"/>
  <c r="H283" i="8"/>
  <c r="H283" i="39"/>
  <c r="B313" i="8"/>
  <c r="B313" i="39"/>
  <c r="E287" i="8"/>
  <c r="E287" i="39"/>
  <c r="G306" i="8"/>
  <c r="G306" i="39"/>
  <c r="E303" i="8"/>
  <c r="E303" i="39"/>
  <c r="C297" i="8"/>
  <c r="C297" i="39"/>
  <c r="G291" i="8"/>
  <c r="G291" i="39"/>
  <c r="C290" i="8"/>
  <c r="C290" i="39"/>
  <c r="B312" i="8"/>
  <c r="B312" i="39"/>
  <c r="I284" i="8"/>
  <c r="I284" i="39"/>
  <c r="B302" i="8"/>
  <c r="B302" i="39"/>
  <c r="K299" i="8"/>
  <c r="K299" i="39"/>
  <c r="B284" i="8"/>
  <c r="B284" i="39"/>
  <c r="H282" i="8"/>
  <c r="H282" i="39"/>
  <c r="C312" i="8"/>
  <c r="C312" i="39"/>
  <c r="H313" i="8"/>
  <c r="H313" i="39"/>
  <c r="E293" i="8"/>
  <c r="E293" i="39"/>
  <c r="I296" i="8"/>
  <c r="I296" i="39"/>
  <c r="G295" i="8"/>
  <c r="G295" i="39"/>
  <c r="E302" i="8"/>
  <c r="E302" i="39"/>
  <c r="H291" i="8"/>
  <c r="H291" i="39"/>
  <c r="D296" i="8"/>
  <c r="D296" i="39"/>
  <c r="E295" i="8"/>
  <c r="E295" i="39"/>
  <c r="E305" i="8"/>
  <c r="E305" i="39"/>
  <c r="F281" i="8"/>
  <c r="F281" i="39"/>
  <c r="G308" i="8"/>
  <c r="G308" i="39"/>
  <c r="F308" i="8"/>
  <c r="F308" i="39"/>
  <c r="B310" i="8"/>
  <c r="B310" i="39"/>
  <c r="D312" i="8"/>
  <c r="D312" i="39"/>
  <c r="C50" i="35"/>
  <c r="D304" i="8"/>
  <c r="D304" i="39"/>
  <c r="K290" i="8"/>
  <c r="K290" i="39"/>
  <c r="K297" i="8"/>
  <c r="K297" i="39"/>
  <c r="B283" i="8"/>
  <c r="B283" i="39"/>
  <c r="D284" i="8"/>
  <c r="D284" i="39"/>
  <c r="C282" i="8"/>
  <c r="C282" i="39"/>
  <c r="D301" i="8"/>
  <c r="D301" i="39"/>
  <c r="H300" i="8"/>
  <c r="H300" i="39"/>
  <c r="E297" i="8"/>
  <c r="E297" i="39"/>
  <c r="D294" i="8"/>
  <c r="D294" i="39"/>
  <c r="D295" i="8"/>
  <c r="D295" i="39"/>
  <c r="I306" i="8"/>
  <c r="I306" i="39"/>
  <c r="K300" i="8"/>
  <c r="K300" i="39"/>
  <c r="J301" i="8"/>
  <c r="J301" i="39"/>
  <c r="B297" i="8"/>
  <c r="B297" i="39"/>
  <c r="H296" i="8"/>
  <c r="H296" i="39"/>
  <c r="H297" i="8"/>
  <c r="H297" i="39"/>
  <c r="D285" i="8"/>
  <c r="D285" i="39"/>
  <c r="C116" i="7"/>
  <c r="H305" i="8"/>
  <c r="H305" i="39"/>
  <c r="K303" i="8"/>
  <c r="K303" i="39"/>
  <c r="B293" i="8"/>
  <c r="B293" i="39"/>
  <c r="H295" i="8"/>
  <c r="H295" i="39"/>
  <c r="B287" i="8"/>
  <c r="B287" i="39"/>
  <c r="C313" i="8"/>
  <c r="C313" i="39"/>
  <c r="G314" i="8"/>
  <c r="G314" i="39"/>
  <c r="K310" i="8"/>
  <c r="K310" i="39"/>
  <c r="B309" i="8"/>
  <c r="B309" i="39"/>
  <c r="K304" i="8"/>
  <c r="K304" i="39"/>
  <c r="F303" i="8"/>
  <c r="F303" i="39"/>
  <c r="I294" i="8"/>
  <c r="I294" i="39"/>
  <c r="E291" i="8"/>
  <c r="E291" i="39"/>
  <c r="D314" i="8"/>
  <c r="D314" i="39"/>
  <c r="B117" i="7"/>
  <c r="B47" i="37"/>
  <c r="E283" i="8"/>
  <c r="E283" i="39"/>
  <c r="B389" i="38" a="1"/>
  <c r="B281" i="8"/>
  <c r="B281" i="39"/>
  <c r="G290" i="8"/>
  <c r="G290" i="39"/>
  <c r="K284" i="8"/>
  <c r="K284" i="39"/>
  <c r="I283" i="8"/>
  <c r="I283" i="39"/>
  <c r="F282" i="8"/>
  <c r="F282" i="39"/>
  <c r="C315" i="8"/>
  <c r="C315" i="39"/>
  <c r="I311" i="8"/>
  <c r="I311" i="39"/>
  <c r="H304" i="8"/>
  <c r="H304" i="39"/>
  <c r="C296" i="8"/>
  <c r="C296" i="39"/>
  <c r="F292" i="8"/>
  <c r="F292" i="39"/>
  <c r="I291" i="8"/>
  <c r="I291" i="39"/>
  <c r="C284" i="8"/>
  <c r="C284" i="39"/>
  <c r="G313" i="8"/>
  <c r="G313" i="39"/>
  <c r="C302" i="8"/>
  <c r="C302" i="39"/>
  <c r="D297" i="8"/>
  <c r="D297" i="39"/>
  <c r="D299" i="8"/>
  <c r="D299" i="39"/>
  <c r="H306" i="8"/>
  <c r="H306" i="39"/>
  <c r="I304" i="8"/>
  <c r="I304" i="39"/>
  <c r="H292" i="8"/>
  <c r="H292" i="39"/>
  <c r="E284" i="8"/>
  <c r="E284" i="39"/>
  <c r="B285" i="8"/>
  <c r="B285" i="39"/>
  <c r="B407" i="38" a="1"/>
  <c r="B299" i="8"/>
  <c r="B299" i="39"/>
  <c r="J299" i="8"/>
  <c r="J299" i="39"/>
  <c r="J300" i="8"/>
  <c r="J300" i="39"/>
  <c r="F285" i="8"/>
  <c r="F285" i="39"/>
  <c r="G310" i="8"/>
  <c r="G310" i="39"/>
  <c r="J290" i="8"/>
  <c r="J290" i="39"/>
  <c r="C283" i="8"/>
  <c r="C283" i="39"/>
  <c r="C314" i="8"/>
  <c r="C314" i="39"/>
  <c r="J312" i="8"/>
  <c r="J312" i="39"/>
  <c r="C157" i="38" a="1"/>
  <c r="C157" i="38"/>
  <c r="C158" i="38"/>
  <c r="C159" i="38"/>
  <c r="C160" i="38"/>
  <c r="C161" i="38"/>
  <c r="C162" i="38"/>
  <c r="C163" i="38"/>
  <c r="C164" i="38"/>
  <c r="C165" i="38"/>
  <c r="F297" i="8"/>
  <c r="F297" i="39"/>
  <c r="K311" i="8"/>
  <c r="K311" i="39"/>
  <c r="B303" i="8"/>
  <c r="B303" i="39"/>
  <c r="C299" i="8"/>
  <c r="C299" i="39"/>
  <c r="E286" i="8"/>
  <c r="E286" i="39"/>
  <c r="J284" i="8"/>
  <c r="J284" i="39"/>
  <c r="J313" i="8"/>
  <c r="J313" i="39"/>
  <c r="K306" i="8"/>
  <c r="K306" i="39"/>
  <c r="F305" i="8"/>
  <c r="F305" i="39"/>
  <c r="K287" i="8"/>
  <c r="K287" i="39"/>
  <c r="H315" i="8"/>
  <c r="H315" i="39"/>
  <c r="E304" i="8"/>
  <c r="E304" i="39"/>
  <c r="K292" i="8"/>
  <c r="K292" i="39"/>
  <c r="C281" i="8"/>
  <c r="C281" i="39"/>
  <c r="H287" i="8"/>
  <c r="H287" i="39"/>
  <c r="I310" i="8"/>
  <c r="I310" i="39"/>
  <c r="G347" i="8"/>
  <c r="K338" i="8"/>
  <c r="B337" i="8"/>
  <c r="H348" i="8"/>
  <c r="C80" i="7"/>
  <c r="B324" i="8"/>
  <c r="H350" i="8"/>
  <c r="D329" i="8"/>
  <c r="B318" i="8"/>
  <c r="K344" i="8"/>
  <c r="E336" i="8"/>
  <c r="K345" i="8"/>
  <c r="D341" i="8"/>
  <c r="K331" i="8"/>
  <c r="G338" i="8"/>
  <c r="D319" i="8"/>
  <c r="K317" i="8"/>
  <c r="D349" i="8"/>
  <c r="J346" i="8"/>
  <c r="E324" i="8"/>
  <c r="D328" i="8"/>
  <c r="J338" i="8"/>
  <c r="H324" i="8"/>
  <c r="C344" i="8"/>
  <c r="F319" i="8"/>
  <c r="J324" i="8"/>
  <c r="H347" i="8"/>
  <c r="F346" i="8"/>
  <c r="J329" i="8"/>
  <c r="I350" i="8"/>
  <c r="D327" i="8"/>
  <c r="G351" i="8"/>
  <c r="B330" i="8"/>
  <c r="D326" i="8"/>
  <c r="C336" i="8"/>
  <c r="C187" i="38" a="1"/>
  <c r="C187" i="38"/>
  <c r="C188" i="38"/>
  <c r="C189" i="38"/>
  <c r="C190" i="38"/>
  <c r="C191" i="38"/>
  <c r="C192" i="38"/>
  <c r="C193" i="38"/>
  <c r="C194" i="38"/>
  <c r="C195" i="38"/>
  <c r="C177" i="38" a="1"/>
  <c r="C177" i="38"/>
  <c r="I321" i="8"/>
  <c r="C328" i="8"/>
  <c r="J345" i="8"/>
  <c r="B350" i="8"/>
  <c r="J332" i="8"/>
  <c r="H338" i="8"/>
  <c r="H339" i="8"/>
  <c r="J341" i="8"/>
  <c r="J344" i="8"/>
  <c r="K321" i="8"/>
  <c r="H344" i="8"/>
  <c r="B331" i="8"/>
  <c r="F323" i="8"/>
  <c r="K341" i="8"/>
  <c r="J322" i="8"/>
  <c r="F340" i="8"/>
  <c r="J350" i="8"/>
  <c r="G318" i="8"/>
  <c r="I326" i="8"/>
  <c r="I341" i="8"/>
  <c r="J331" i="8"/>
  <c r="F351" i="8"/>
  <c r="G333" i="8"/>
  <c r="J330" i="8"/>
  <c r="G323" i="8"/>
  <c r="I337" i="8"/>
  <c r="D342" i="8"/>
  <c r="D351" i="8"/>
  <c r="C330" i="8"/>
  <c r="E326" i="8"/>
  <c r="E345" i="8"/>
  <c r="H337" i="8"/>
  <c r="H317" i="8"/>
  <c r="I336" i="8"/>
  <c r="C321" i="8"/>
  <c r="E337" i="8"/>
  <c r="B461" i="38" a="1"/>
  <c r="F326" i="8"/>
  <c r="B328" i="8"/>
  <c r="E351" i="8"/>
  <c r="B342" i="8"/>
  <c r="J323" i="8"/>
  <c r="I329" i="8"/>
  <c r="F330" i="8"/>
  <c r="J319" i="8"/>
  <c r="I317" i="8"/>
  <c r="J340" i="8"/>
  <c r="B344" i="8"/>
  <c r="B488" i="38" a="1"/>
  <c r="C50" i="7"/>
  <c r="C50" i="37"/>
  <c r="E318" i="8"/>
  <c r="C339" i="8"/>
  <c r="C341" i="8"/>
  <c r="G336" i="8"/>
  <c r="C337" i="8"/>
  <c r="K350" i="8"/>
  <c r="I322" i="8"/>
  <c r="G345" i="8"/>
  <c r="E332" i="8"/>
  <c r="G332" i="8"/>
  <c r="I339" i="8"/>
  <c r="F332" i="8"/>
  <c r="D339" i="8"/>
  <c r="J333" i="8"/>
  <c r="I328" i="8"/>
  <c r="I333" i="8"/>
  <c r="I318" i="8"/>
  <c r="B113" i="35"/>
  <c r="B114" i="35"/>
  <c r="B50" i="7"/>
  <c r="B50" i="37"/>
  <c r="B407" i="8" a="1"/>
  <c r="J411" i="8"/>
  <c r="D411" i="8"/>
  <c r="E413" i="8"/>
  <c r="E412" i="8"/>
  <c r="J409" i="8"/>
  <c r="K413" i="8"/>
  <c r="K409" i="8"/>
  <c r="K411" i="8"/>
  <c r="D413" i="8"/>
  <c r="I412" i="8"/>
  <c r="C409" i="8"/>
  <c r="J414" i="8"/>
  <c r="I414" i="8"/>
  <c r="I413" i="8"/>
  <c r="H409" i="8"/>
  <c r="C414" i="8"/>
  <c r="F410" i="8"/>
  <c r="B407" i="8"/>
  <c r="H413" i="8"/>
  <c r="E409" i="8"/>
  <c r="F409" i="8"/>
  <c r="F414" i="8"/>
  <c r="H410" i="8"/>
  <c r="B412" i="8"/>
  <c r="B409" i="8"/>
  <c r="I409" i="8"/>
  <c r="I408" i="8"/>
  <c r="E408" i="8"/>
  <c r="C408" i="8"/>
  <c r="D410" i="8"/>
  <c r="E411" i="8"/>
  <c r="G407" i="8"/>
  <c r="I407" i="8"/>
  <c r="J410" i="8"/>
  <c r="F411" i="8"/>
  <c r="H412" i="8"/>
  <c r="J407" i="8"/>
  <c r="K410" i="8"/>
  <c r="B414" i="8"/>
  <c r="G409" i="8"/>
  <c r="C411" i="8"/>
  <c r="D414" i="8"/>
  <c r="G414" i="8"/>
  <c r="D409" i="8"/>
  <c r="B411" i="8"/>
  <c r="K412" i="8"/>
  <c r="H408" i="8"/>
  <c r="K407" i="8"/>
  <c r="J412" i="8"/>
  <c r="K408" i="8"/>
  <c r="B408" i="8"/>
  <c r="G408" i="8"/>
  <c r="H414" i="8"/>
  <c r="G411" i="8"/>
  <c r="F413" i="8"/>
  <c r="C410" i="8"/>
  <c r="D407" i="8"/>
  <c r="E414" i="8"/>
  <c r="F412" i="8"/>
  <c r="K414" i="8"/>
  <c r="J408" i="8"/>
  <c r="G413" i="8"/>
  <c r="C413" i="8"/>
  <c r="C407" i="8"/>
  <c r="F408" i="8"/>
  <c r="H407" i="8"/>
  <c r="H411" i="8"/>
  <c r="G412" i="8"/>
  <c r="F407" i="8"/>
  <c r="E407" i="8"/>
  <c r="J413" i="8"/>
  <c r="B410" i="8"/>
  <c r="I410" i="8"/>
  <c r="D412" i="8"/>
  <c r="E410" i="8"/>
  <c r="G410" i="8"/>
  <c r="D408" i="8"/>
  <c r="B470" i="38" a="1"/>
  <c r="G348" i="8"/>
  <c r="E344" i="8"/>
  <c r="K318" i="8"/>
  <c r="B351" i="8"/>
  <c r="I323" i="8"/>
  <c r="E321" i="8"/>
  <c r="F320" i="8"/>
  <c r="G340" i="8"/>
  <c r="H345" i="8"/>
  <c r="G339" i="8"/>
  <c r="C324" i="8"/>
  <c r="B389" i="8" a="1"/>
  <c r="K391" i="8"/>
  <c r="E396" i="8"/>
  <c r="D389" i="8"/>
  <c r="H396" i="8"/>
  <c r="D394" i="8"/>
  <c r="I389" i="8"/>
  <c r="I394" i="8"/>
  <c r="G396" i="8"/>
  <c r="K392" i="8"/>
  <c r="C394" i="8"/>
  <c r="G394" i="8"/>
  <c r="I393" i="8"/>
  <c r="K394" i="8"/>
  <c r="D396" i="8"/>
  <c r="J396" i="8"/>
  <c r="E393" i="8"/>
  <c r="D390" i="8"/>
  <c r="B391" i="8"/>
  <c r="C393" i="8"/>
  <c r="B396" i="8"/>
  <c r="C391" i="8"/>
  <c r="G391" i="8"/>
  <c r="I392" i="8"/>
  <c r="H390" i="8"/>
  <c r="J391" i="8"/>
  <c r="B393" i="8"/>
  <c r="J392" i="8"/>
  <c r="H395" i="8"/>
  <c r="E392" i="8"/>
  <c r="D395" i="8"/>
  <c r="B390" i="8"/>
  <c r="E394" i="8"/>
  <c r="H393" i="8"/>
  <c r="F395" i="8"/>
  <c r="B389" i="8"/>
  <c r="F396" i="8"/>
  <c r="K389" i="8"/>
  <c r="K390" i="8"/>
  <c r="G389" i="8"/>
  <c r="C396" i="8"/>
  <c r="I395" i="8"/>
  <c r="E389" i="8"/>
  <c r="I396" i="8"/>
  <c r="F391" i="8"/>
  <c r="G390" i="8"/>
  <c r="B395" i="8"/>
  <c r="C395" i="8"/>
  <c r="J393" i="8"/>
  <c r="H391" i="8"/>
  <c r="B394" i="8"/>
  <c r="K396" i="8"/>
  <c r="J389" i="8"/>
  <c r="K395" i="8"/>
  <c r="C392" i="8"/>
  <c r="D391" i="8"/>
  <c r="I390" i="8"/>
  <c r="C390" i="8"/>
  <c r="F393" i="8"/>
  <c r="J394" i="8"/>
  <c r="F389" i="8"/>
  <c r="K393" i="8"/>
  <c r="F392" i="8"/>
  <c r="I391" i="8"/>
  <c r="G392" i="8"/>
  <c r="G393" i="8"/>
  <c r="B392" i="8"/>
  <c r="D392" i="8"/>
  <c r="E391" i="8"/>
  <c r="H392" i="8"/>
  <c r="F390" i="8"/>
  <c r="H389" i="8"/>
  <c r="E395" i="8"/>
  <c r="J395" i="8"/>
  <c r="F394" i="8"/>
  <c r="G395" i="8"/>
  <c r="B114" i="37"/>
  <c r="B112" i="7"/>
  <c r="B112" i="37"/>
  <c r="D317" i="8"/>
  <c r="G321" i="8"/>
  <c r="G330" i="8"/>
  <c r="F324" i="8"/>
  <c r="F349" i="8"/>
  <c r="D336" i="8"/>
  <c r="F331" i="8"/>
  <c r="C345" i="8"/>
  <c r="B327" i="8"/>
  <c r="E328" i="8"/>
  <c r="E348" i="8"/>
  <c r="K327" i="8"/>
  <c r="J328" i="8"/>
  <c r="B119" i="35"/>
  <c r="B119" i="37"/>
  <c r="G320" i="8"/>
  <c r="B479" i="38" a="1"/>
  <c r="B398" i="8" a="1"/>
  <c r="D400" i="8"/>
  <c r="G404" i="8"/>
  <c r="H404" i="8"/>
  <c r="E400" i="8"/>
  <c r="K398" i="8"/>
  <c r="B398" i="8"/>
  <c r="J399" i="8"/>
  <c r="G398" i="8"/>
  <c r="E404" i="8"/>
  <c r="H400" i="8"/>
  <c r="I402" i="8"/>
  <c r="C401" i="8"/>
  <c r="F401" i="8"/>
  <c r="H403" i="8"/>
  <c r="K401" i="8"/>
  <c r="E399" i="8"/>
  <c r="F400" i="8"/>
  <c r="J405" i="8"/>
  <c r="G402" i="8"/>
  <c r="I403" i="8"/>
  <c r="F405" i="8"/>
  <c r="G403" i="8"/>
  <c r="J404" i="8"/>
  <c r="D405" i="8"/>
  <c r="J403" i="8"/>
  <c r="G405" i="8"/>
  <c r="B399" i="8"/>
  <c r="B400" i="8"/>
  <c r="F403" i="8"/>
  <c r="B401" i="8"/>
  <c r="J400" i="8"/>
  <c r="B402" i="8"/>
  <c r="I398" i="8"/>
  <c r="I399" i="8"/>
  <c r="K404" i="8"/>
  <c r="C404" i="8"/>
  <c r="J402" i="8"/>
  <c r="K403" i="8"/>
  <c r="H399" i="8"/>
  <c r="D402" i="8"/>
  <c r="C399" i="8"/>
  <c r="F402" i="8"/>
  <c r="C405" i="8"/>
  <c r="G400" i="8"/>
  <c r="K399" i="8"/>
  <c r="H398" i="8"/>
  <c r="I400" i="8"/>
  <c r="H402" i="8"/>
  <c r="B404" i="8"/>
  <c r="D403" i="8"/>
  <c r="B405" i="8"/>
  <c r="H405" i="8"/>
  <c r="E405" i="8"/>
  <c r="G399" i="8"/>
  <c r="J398" i="8"/>
  <c r="C403" i="8"/>
  <c r="K402" i="8"/>
  <c r="K400" i="8"/>
  <c r="B403" i="8"/>
  <c r="I401" i="8"/>
  <c r="C402" i="8"/>
  <c r="I405" i="8"/>
  <c r="I404" i="8"/>
  <c r="G401" i="8"/>
  <c r="E401" i="8"/>
  <c r="F399" i="8"/>
  <c r="F398" i="8"/>
  <c r="J401" i="8"/>
  <c r="D399" i="8"/>
  <c r="C398" i="8"/>
  <c r="E402" i="8"/>
  <c r="F404" i="8"/>
  <c r="C400" i="8"/>
  <c r="H401" i="8"/>
  <c r="D401" i="8"/>
  <c r="K405" i="8"/>
  <c r="E403" i="8"/>
  <c r="D404" i="8"/>
  <c r="B113" i="37"/>
  <c r="I351" i="8"/>
  <c r="F345" i="8"/>
  <c r="B347" i="8"/>
  <c r="D345" i="8"/>
  <c r="C340" i="8"/>
  <c r="K324" i="8"/>
  <c r="C347" i="8"/>
  <c r="H322" i="8"/>
  <c r="E317" i="8"/>
  <c r="E342" i="8"/>
  <c r="E330" i="8"/>
  <c r="G328" i="8"/>
  <c r="I345" i="8"/>
  <c r="J342" i="8"/>
  <c r="F347" i="8"/>
  <c r="C389" i="8"/>
  <c r="D398" i="8"/>
  <c r="E398" i="8"/>
  <c r="J390" i="8"/>
  <c r="I411" i="8"/>
  <c r="C412" i="8"/>
  <c r="D393" i="8"/>
  <c r="E390" i="8"/>
  <c r="B434" i="8" a="1"/>
  <c r="F438" i="8"/>
  <c r="I435" i="8"/>
  <c r="H434" i="8"/>
  <c r="J441" i="8"/>
  <c r="F439" i="8"/>
  <c r="G439" i="8"/>
  <c r="B435" i="8"/>
  <c r="G436" i="8"/>
  <c r="D435" i="8"/>
  <c r="I434" i="8"/>
  <c r="E437" i="8"/>
  <c r="F436" i="8"/>
  <c r="E440" i="8"/>
  <c r="F434" i="8"/>
  <c r="D438" i="8"/>
  <c r="B441" i="8"/>
  <c r="J439" i="8"/>
  <c r="C438" i="8"/>
  <c r="C440" i="8"/>
  <c r="I437" i="8"/>
  <c r="J437" i="8"/>
  <c r="K434" i="8"/>
  <c r="C436" i="8"/>
  <c r="B438" i="8"/>
  <c r="B439" i="8"/>
  <c r="G441" i="8"/>
  <c r="E434" i="8"/>
  <c r="H437" i="8"/>
  <c r="F437" i="8"/>
  <c r="D436" i="8"/>
  <c r="H441" i="8"/>
  <c r="E436" i="8"/>
  <c r="C434" i="8"/>
  <c r="F441" i="8"/>
  <c r="D441" i="8"/>
  <c r="E441" i="8"/>
  <c r="B434" i="8"/>
  <c r="B437" i="8"/>
  <c r="K440" i="8"/>
  <c r="D440" i="8"/>
  <c r="K435" i="8"/>
  <c r="I441" i="8"/>
  <c r="H435" i="8"/>
  <c r="F440" i="8"/>
  <c r="K439" i="8"/>
  <c r="H440" i="8"/>
  <c r="C437" i="8"/>
  <c r="E438" i="8"/>
  <c r="H438" i="8"/>
  <c r="I436" i="8"/>
  <c r="K437" i="8"/>
  <c r="K436" i="8"/>
  <c r="D439" i="8"/>
  <c r="C435" i="8"/>
  <c r="E439" i="8"/>
  <c r="K438" i="8"/>
  <c r="J440" i="8"/>
  <c r="C439" i="8"/>
  <c r="I438" i="8"/>
  <c r="J434" i="8"/>
  <c r="C441" i="8"/>
  <c r="J435" i="8"/>
  <c r="B416" i="8" a="1"/>
  <c r="E423" i="8"/>
  <c r="H416" i="8"/>
  <c r="G416" i="8"/>
  <c r="B418" i="8"/>
  <c r="D422" i="8"/>
  <c r="B421" i="8"/>
  <c r="D419" i="8"/>
  <c r="H420" i="8"/>
  <c r="E417" i="8"/>
  <c r="F417" i="8"/>
  <c r="B120" i="7"/>
  <c r="B461" i="8" a="1"/>
  <c r="G418" i="8"/>
  <c r="C421" i="8"/>
  <c r="C422" i="8"/>
  <c r="C418" i="8"/>
  <c r="B423" i="8"/>
  <c r="F416" i="8"/>
  <c r="H417" i="8"/>
  <c r="J421" i="8"/>
  <c r="I418" i="8"/>
  <c r="K420" i="8"/>
  <c r="B443" i="8" a="1"/>
  <c r="B447" i="8"/>
  <c r="K448" i="8"/>
  <c r="I447" i="8"/>
  <c r="D448" i="8"/>
  <c r="I443" i="8"/>
  <c r="C444" i="8"/>
  <c r="G445" i="8"/>
  <c r="G443" i="8"/>
  <c r="G447" i="8"/>
  <c r="C450" i="8"/>
  <c r="I450" i="8"/>
  <c r="G444" i="8"/>
  <c r="C448" i="8"/>
  <c r="J445" i="8"/>
  <c r="E444" i="8"/>
  <c r="F449" i="8"/>
  <c r="K447" i="8"/>
  <c r="D450" i="8"/>
  <c r="H449" i="8"/>
  <c r="D449" i="8"/>
  <c r="C445" i="8"/>
  <c r="F446" i="8"/>
  <c r="K449" i="8"/>
  <c r="F448" i="8"/>
  <c r="J444" i="8"/>
  <c r="J448" i="8"/>
  <c r="I446" i="8"/>
  <c r="G448" i="8"/>
  <c r="D447" i="8"/>
  <c r="K450" i="8"/>
  <c r="I448" i="8"/>
  <c r="G446" i="8"/>
  <c r="E445" i="8"/>
  <c r="F450" i="8"/>
  <c r="C443" i="8"/>
  <c r="C446" i="8"/>
  <c r="H444" i="8"/>
  <c r="I445" i="8"/>
  <c r="E446" i="8"/>
  <c r="B450" i="8"/>
  <c r="E443" i="8"/>
  <c r="G450" i="8"/>
  <c r="B445" i="8"/>
  <c r="E450" i="8"/>
  <c r="B448" i="8"/>
  <c r="K445" i="8"/>
  <c r="C447" i="8"/>
  <c r="H448" i="8"/>
  <c r="F447" i="8"/>
  <c r="D443" i="8"/>
  <c r="H446" i="8"/>
  <c r="K443" i="8"/>
  <c r="D444" i="8"/>
  <c r="F444" i="8"/>
  <c r="J450" i="8"/>
  <c r="G449" i="8"/>
  <c r="H450" i="8"/>
  <c r="D445" i="8"/>
  <c r="I444" i="8"/>
  <c r="I449" i="8"/>
  <c r="B444" i="8"/>
  <c r="F443" i="8"/>
  <c r="J443" i="8"/>
  <c r="D446" i="8"/>
  <c r="K446" i="8"/>
  <c r="H443" i="8"/>
  <c r="C449" i="8"/>
  <c r="J446" i="8"/>
  <c r="H447" i="8"/>
  <c r="E449" i="8"/>
  <c r="F445" i="8"/>
  <c r="H445" i="8"/>
  <c r="J447" i="8"/>
  <c r="B443" i="8"/>
  <c r="E447" i="8"/>
  <c r="B446" i="8"/>
  <c r="J449" i="8"/>
  <c r="B416" i="8"/>
  <c r="B452" i="8" a="1"/>
  <c r="B454" i="8"/>
  <c r="I454" i="8"/>
  <c r="G454" i="8"/>
  <c r="K456" i="8"/>
  <c r="H452" i="8"/>
  <c r="H456" i="8"/>
  <c r="B452" i="8"/>
  <c r="F452" i="8"/>
  <c r="B457" i="8"/>
  <c r="C457" i="8"/>
  <c r="F453" i="8"/>
  <c r="H453" i="8"/>
  <c r="D458" i="8"/>
  <c r="G452" i="8"/>
  <c r="E459" i="8"/>
  <c r="B459" i="8"/>
  <c r="C454" i="8"/>
  <c r="C458" i="8"/>
  <c r="D455" i="8"/>
  <c r="E453" i="8"/>
  <c r="G422" i="8"/>
  <c r="K418" i="8"/>
  <c r="J420" i="8"/>
  <c r="B417" i="8"/>
  <c r="F420" i="8"/>
  <c r="H421" i="8"/>
  <c r="C420" i="8"/>
  <c r="H422" i="8"/>
  <c r="D417" i="8"/>
  <c r="B425" i="8" a="1"/>
  <c r="H426" i="8"/>
  <c r="B425" i="8"/>
  <c r="F427" i="8"/>
  <c r="F425" i="8"/>
  <c r="B428" i="8"/>
  <c r="D432" i="8"/>
  <c r="C427" i="8"/>
  <c r="H427" i="8"/>
  <c r="B429" i="8"/>
  <c r="D426" i="8"/>
  <c r="E429" i="8"/>
  <c r="I426" i="8"/>
  <c r="C429" i="8"/>
  <c r="K431" i="8"/>
  <c r="K425" i="8"/>
  <c r="B432" i="8"/>
  <c r="D429" i="8"/>
  <c r="F429" i="8"/>
  <c r="G425" i="8"/>
  <c r="H428" i="8"/>
  <c r="J429" i="8"/>
  <c r="D427" i="8"/>
  <c r="J430" i="8"/>
  <c r="I425" i="8"/>
  <c r="B426" i="8"/>
  <c r="K430" i="8"/>
  <c r="B431" i="8"/>
  <c r="D430" i="8"/>
  <c r="J426" i="8"/>
  <c r="G427" i="8"/>
  <c r="E428" i="8"/>
  <c r="I430" i="8"/>
  <c r="H429" i="8"/>
  <c r="H431" i="8"/>
  <c r="G431" i="8"/>
  <c r="H432" i="8"/>
  <c r="C431" i="8"/>
  <c r="I427" i="8"/>
  <c r="B427" i="8"/>
  <c r="D428" i="8"/>
  <c r="G426" i="8"/>
  <c r="C428" i="8"/>
  <c r="E426" i="8"/>
  <c r="J428" i="8"/>
  <c r="J431" i="8"/>
  <c r="F430" i="8"/>
  <c r="E427" i="8"/>
  <c r="I428" i="8"/>
  <c r="I432" i="8"/>
  <c r="C432" i="8"/>
  <c r="K432" i="8"/>
  <c r="B430" i="8"/>
  <c r="G429" i="8"/>
  <c r="D425" i="8"/>
  <c r="K429" i="8"/>
  <c r="K428" i="8"/>
  <c r="F426" i="8"/>
  <c r="G432" i="8"/>
  <c r="H394" i="8"/>
  <c r="D423" i="8"/>
  <c r="D420" i="8"/>
  <c r="J419" i="8"/>
  <c r="B420" i="8"/>
  <c r="G420" i="8"/>
  <c r="J422" i="8"/>
  <c r="D416" i="8"/>
  <c r="K417" i="8"/>
  <c r="G419" i="8"/>
  <c r="K419" i="8"/>
  <c r="F419" i="8"/>
  <c r="K423" i="8"/>
  <c r="B419" i="8"/>
  <c r="G423" i="8"/>
  <c r="F423" i="8"/>
  <c r="J417" i="8"/>
  <c r="F422" i="8"/>
  <c r="I423" i="8"/>
  <c r="K416" i="8"/>
  <c r="E420" i="8"/>
  <c r="B470" i="8" a="1"/>
  <c r="J418" i="8"/>
  <c r="F421" i="8"/>
  <c r="C416" i="8"/>
  <c r="K422" i="8"/>
  <c r="H423" i="8"/>
  <c r="H418" i="8"/>
  <c r="I422" i="8"/>
  <c r="I417" i="8"/>
  <c r="K421" i="8"/>
  <c r="E421" i="8"/>
  <c r="E419" i="8"/>
  <c r="B422" i="8"/>
  <c r="E422" i="8"/>
  <c r="I420" i="8"/>
  <c r="C423" i="8"/>
  <c r="D421" i="8"/>
  <c r="J423" i="8"/>
  <c r="I419" i="8"/>
  <c r="G421" i="8"/>
  <c r="I421" i="8"/>
  <c r="C120" i="7"/>
  <c r="B488" i="8" a="1"/>
  <c r="B413" i="8"/>
  <c r="C419" i="8"/>
  <c r="J416" i="8"/>
  <c r="D418" i="8"/>
  <c r="C417" i="8"/>
  <c r="H419" i="8"/>
  <c r="F418" i="8"/>
  <c r="G417" i="8"/>
  <c r="E418" i="8"/>
  <c r="E416" i="8"/>
  <c r="I416" i="8"/>
  <c r="I431" i="8"/>
  <c r="E425" i="8"/>
  <c r="J438" i="8"/>
  <c r="J425" i="8"/>
  <c r="C430" i="8"/>
  <c r="B479" i="8" a="1"/>
  <c r="G438" i="8"/>
  <c r="D434" i="8"/>
  <c r="G434" i="8"/>
  <c r="B542" i="8" a="1"/>
  <c r="K545" i="8"/>
  <c r="E545" i="8"/>
  <c r="E547" i="8"/>
  <c r="F548" i="8"/>
  <c r="F546" i="8"/>
  <c r="C543" i="8"/>
  <c r="C547" i="8"/>
  <c r="H542" i="8"/>
  <c r="I543" i="8"/>
  <c r="G547" i="8"/>
  <c r="K542" i="8"/>
  <c r="F544" i="8"/>
  <c r="H546" i="8"/>
  <c r="C546" i="8"/>
  <c r="H545" i="8"/>
  <c r="E546" i="8"/>
  <c r="J546" i="8"/>
  <c r="D542" i="8"/>
  <c r="C542" i="8"/>
  <c r="H548" i="8"/>
  <c r="D544" i="8"/>
  <c r="I546" i="8"/>
  <c r="E544" i="8"/>
  <c r="I545" i="8"/>
  <c r="B542" i="8"/>
  <c r="G546" i="8"/>
  <c r="E542" i="8"/>
  <c r="I542" i="8"/>
  <c r="I544" i="8"/>
  <c r="D548" i="8"/>
  <c r="G544" i="8"/>
  <c r="K547" i="8"/>
  <c r="K546" i="8"/>
  <c r="G549" i="8"/>
  <c r="F547" i="8"/>
  <c r="C549" i="8"/>
  <c r="B545" i="8"/>
  <c r="D546" i="8"/>
  <c r="C545" i="8"/>
  <c r="K543" i="8"/>
  <c r="F549" i="8"/>
  <c r="K544" i="8"/>
  <c r="G542" i="8"/>
  <c r="J543" i="8"/>
  <c r="B543" i="8"/>
  <c r="E549" i="8"/>
  <c r="B546" i="8"/>
  <c r="F542" i="8"/>
  <c r="J547" i="8"/>
  <c r="I549" i="8"/>
  <c r="F545" i="8"/>
  <c r="C548" i="8"/>
  <c r="J548" i="8"/>
  <c r="K548" i="8"/>
  <c r="E548" i="8"/>
  <c r="J542" i="8"/>
  <c r="B549" i="8"/>
  <c r="H436" i="8"/>
  <c r="E431" i="8"/>
  <c r="J432" i="8"/>
  <c r="F432" i="8"/>
  <c r="J436" i="8"/>
  <c r="B560" i="8" a="1"/>
  <c r="I562" i="8"/>
  <c r="F561" i="8"/>
  <c r="H564" i="8"/>
  <c r="H561" i="8"/>
  <c r="C566" i="8"/>
  <c r="K564" i="8"/>
  <c r="C562" i="8"/>
  <c r="D566" i="8"/>
  <c r="B562" i="8"/>
  <c r="B565" i="8"/>
  <c r="B567" i="8"/>
  <c r="G560" i="8"/>
  <c r="F560" i="8"/>
  <c r="G562" i="8"/>
  <c r="D563" i="8"/>
  <c r="E567" i="8"/>
  <c r="B560" i="8"/>
  <c r="B551" i="8" a="1"/>
  <c r="C557" i="8"/>
  <c r="G553" i="8"/>
  <c r="J558" i="8"/>
  <c r="D551" i="8"/>
  <c r="K556" i="8"/>
  <c r="D553" i="8"/>
  <c r="J551" i="8"/>
  <c r="J557" i="8"/>
  <c r="E557" i="8"/>
  <c r="C551" i="8"/>
  <c r="D555" i="8"/>
  <c r="D557" i="8"/>
  <c r="E558" i="8"/>
  <c r="F554" i="8"/>
  <c r="B555" i="8"/>
  <c r="H556" i="8"/>
  <c r="G558" i="8"/>
  <c r="I557" i="8"/>
  <c r="G551" i="8"/>
  <c r="J554" i="8"/>
  <c r="C554" i="8"/>
  <c r="I556" i="8"/>
  <c r="C556" i="8"/>
  <c r="C552" i="8"/>
  <c r="I555" i="8"/>
  <c r="J553" i="8"/>
  <c r="B552" i="8"/>
  <c r="J556" i="8"/>
  <c r="I551" i="8"/>
  <c r="F555" i="8"/>
  <c r="F553" i="8"/>
  <c r="D552" i="8"/>
  <c r="B551" i="8"/>
  <c r="G556" i="8"/>
  <c r="B553" i="8"/>
  <c r="K557" i="8"/>
  <c r="G555" i="8"/>
  <c r="C553" i="8"/>
  <c r="F558" i="8"/>
  <c r="G557" i="8"/>
  <c r="I553" i="8"/>
  <c r="H551" i="8"/>
  <c r="D558" i="8"/>
  <c r="I554" i="8"/>
  <c r="K558" i="8"/>
  <c r="I558" i="8"/>
  <c r="E554" i="8"/>
  <c r="D556" i="8"/>
  <c r="K551" i="8"/>
  <c r="K554" i="8"/>
  <c r="E555" i="8"/>
  <c r="E553" i="8"/>
  <c r="F557" i="8"/>
  <c r="H557" i="8"/>
  <c r="H552" i="8"/>
  <c r="D554" i="8"/>
  <c r="F552" i="8"/>
  <c r="B558" i="8"/>
  <c r="G552" i="8"/>
  <c r="K555" i="8"/>
  <c r="B556" i="8"/>
  <c r="E551" i="8"/>
  <c r="G554" i="8"/>
  <c r="H558" i="8"/>
  <c r="C425" i="8"/>
  <c r="H425" i="8"/>
  <c r="G430" i="8"/>
  <c r="J457" i="8"/>
  <c r="E448" i="8"/>
  <c r="B436" i="8"/>
  <c r="B440" i="8"/>
  <c r="B533" i="8" a="1"/>
  <c r="G533" i="8"/>
  <c r="J539" i="8"/>
  <c r="B533" i="8"/>
  <c r="H536" i="8"/>
  <c r="K536" i="8"/>
  <c r="H534" i="8"/>
  <c r="F537" i="8"/>
  <c r="J533" i="8"/>
  <c r="D534" i="8"/>
  <c r="G534" i="8"/>
  <c r="K539" i="8"/>
  <c r="F535" i="8"/>
  <c r="C535" i="8"/>
  <c r="C538" i="8"/>
  <c r="C539" i="8"/>
  <c r="H537" i="8"/>
  <c r="I536" i="8"/>
  <c r="B538" i="8"/>
  <c r="E534" i="8"/>
  <c r="C540" i="8"/>
  <c r="H535" i="8"/>
  <c r="K537" i="8"/>
  <c r="G540" i="8"/>
  <c r="J540" i="8"/>
  <c r="H539" i="8"/>
  <c r="I540" i="8"/>
  <c r="I534" i="8"/>
  <c r="K538" i="8"/>
  <c r="F534" i="8"/>
  <c r="E535" i="8"/>
  <c r="J538" i="8"/>
  <c r="B536" i="8"/>
  <c r="F538" i="8"/>
  <c r="E537" i="8"/>
  <c r="E539" i="8"/>
  <c r="D535" i="8"/>
  <c r="H533" i="8"/>
  <c r="B540" i="8"/>
  <c r="D538" i="8"/>
  <c r="G539" i="8"/>
  <c r="G537" i="8"/>
  <c r="B535" i="8"/>
  <c r="B537" i="8"/>
  <c r="E536" i="8"/>
  <c r="C533" i="8"/>
  <c r="E533" i="8"/>
  <c r="B539" i="8"/>
  <c r="I538" i="8"/>
  <c r="G535" i="8"/>
  <c r="I539" i="8"/>
  <c r="D533" i="8"/>
  <c r="F540" i="8"/>
  <c r="F533" i="8"/>
  <c r="D536" i="8"/>
  <c r="C536" i="8"/>
  <c r="G538" i="8"/>
  <c r="J534" i="8"/>
  <c r="E432" i="8"/>
  <c r="D431" i="8"/>
  <c r="F428" i="8"/>
  <c r="G440" i="8"/>
  <c r="I439" i="8"/>
  <c r="K441" i="8"/>
  <c r="F431" i="8"/>
  <c r="I429" i="8"/>
  <c r="K444" i="8"/>
  <c r="G435" i="8"/>
  <c r="H439" i="8"/>
  <c r="E435" i="8"/>
  <c r="J427" i="8"/>
  <c r="K426" i="8"/>
  <c r="F435" i="8"/>
  <c r="C426" i="8"/>
  <c r="K427" i="8"/>
  <c r="E430" i="8"/>
  <c r="G428" i="8"/>
  <c r="I440" i="8"/>
  <c r="G437" i="8"/>
  <c r="D437" i="8"/>
  <c r="C558" i="8"/>
  <c r="C537" i="8"/>
  <c r="J536" i="8"/>
  <c r="E561" i="8"/>
  <c r="D540" i="8"/>
  <c r="H560" i="8"/>
  <c r="D549" i="8"/>
  <c r="K553" i="8"/>
  <c r="J549" i="8"/>
  <c r="H540" i="8"/>
  <c r="D537" i="8"/>
  <c r="H555" i="8"/>
  <c r="D543" i="8"/>
  <c r="J537" i="8"/>
  <c r="F551" i="8"/>
  <c r="H553" i="8"/>
  <c r="B534" i="8"/>
  <c r="K540" i="8"/>
  <c r="J552" i="8"/>
  <c r="F556" i="8"/>
  <c r="J545" i="8"/>
  <c r="K533" i="8"/>
  <c r="I533" i="8"/>
  <c r="I552" i="8"/>
  <c r="D547" i="8"/>
  <c r="C555" i="8"/>
  <c r="C544" i="8"/>
  <c r="I535" i="8"/>
  <c r="J555" i="8"/>
  <c r="B547" i="8"/>
  <c r="H549" i="8"/>
  <c r="H554" i="8"/>
  <c r="B554" i="8"/>
  <c r="E552" i="8"/>
  <c r="C565" i="8"/>
  <c r="H543" i="8"/>
  <c r="C184" i="38"/>
  <c r="C180" i="38"/>
  <c r="C182" i="38"/>
  <c r="C183" i="38"/>
  <c r="C177" i="8" a="1"/>
  <c r="C167" i="8" a="1"/>
  <c r="C157" i="8" a="1"/>
  <c r="C187" i="8" a="1"/>
  <c r="C183" i="8"/>
  <c r="C168" i="8"/>
  <c r="C172" i="8"/>
  <c r="C170" i="8"/>
  <c r="C171" i="8"/>
  <c r="C163" i="8"/>
  <c r="C158" i="8"/>
  <c r="C161" i="8"/>
  <c r="C159" i="8"/>
  <c r="C192" i="8"/>
  <c r="C194" i="8"/>
  <c r="C189" i="8"/>
  <c r="C193" i="8"/>
  <c r="C188" i="8"/>
  <c r="B542" i="38" a="1"/>
  <c r="H543" i="38"/>
  <c r="H543" i="39"/>
  <c r="I547" i="38"/>
  <c r="F548" i="38"/>
  <c r="F548" i="39"/>
  <c r="J544" i="38"/>
  <c r="J546" i="38"/>
  <c r="J546" i="39"/>
  <c r="I549" i="38"/>
  <c r="I549" i="39"/>
  <c r="B560" i="38" a="1"/>
  <c r="C565" i="38"/>
  <c r="C565" i="39"/>
  <c r="C562" i="38"/>
  <c r="C562" i="39"/>
  <c r="B551" i="38" a="1"/>
  <c r="E552" i="38"/>
  <c r="E552" i="39"/>
  <c r="B554" i="38"/>
  <c r="B554" i="39"/>
  <c r="H554" i="38"/>
  <c r="H554" i="39"/>
  <c r="D553" i="38"/>
  <c r="D553" i="39"/>
  <c r="F553" i="38"/>
  <c r="F553" i="39"/>
  <c r="B533" i="38" a="1"/>
  <c r="B533" i="38"/>
  <c r="B533" i="39"/>
  <c r="H534" i="38"/>
  <c r="H534" i="39"/>
  <c r="G534" i="38"/>
  <c r="G534" i="39"/>
  <c r="H535" i="38"/>
  <c r="H535" i="39"/>
  <c r="H549" i="38"/>
  <c r="H549" i="39"/>
  <c r="B547" i="38"/>
  <c r="B547" i="39"/>
  <c r="C547" i="38"/>
  <c r="C547" i="39"/>
  <c r="I546" i="38"/>
  <c r="I546" i="39"/>
  <c r="B565" i="38"/>
  <c r="B565" i="39"/>
  <c r="J555" i="38"/>
  <c r="J555" i="39"/>
  <c r="G553" i="38"/>
  <c r="G553" i="39"/>
  <c r="K556" i="38"/>
  <c r="K556" i="39"/>
  <c r="D555" i="38"/>
  <c r="D555" i="39"/>
  <c r="E558" i="38"/>
  <c r="E558" i="39"/>
  <c r="G551" i="38"/>
  <c r="G551" i="39"/>
  <c r="I551" i="38"/>
  <c r="I551" i="39"/>
  <c r="G557" i="38"/>
  <c r="G557" i="39"/>
  <c r="I558" i="38"/>
  <c r="I558" i="39"/>
  <c r="F552" i="38"/>
  <c r="F552" i="39"/>
  <c r="I535" i="38"/>
  <c r="I535" i="39"/>
  <c r="J539" i="38"/>
  <c r="J539" i="39"/>
  <c r="D534" i="38"/>
  <c r="D534" i="39"/>
  <c r="C540" i="38"/>
  <c r="C540" i="39"/>
  <c r="I537" i="38"/>
  <c r="B539" i="38"/>
  <c r="B539" i="39"/>
  <c r="C544" i="38"/>
  <c r="C544" i="39"/>
  <c r="E547" i="38"/>
  <c r="E547" i="39"/>
  <c r="C543" i="38"/>
  <c r="C543" i="39"/>
  <c r="G543" i="38"/>
  <c r="K564" i="38"/>
  <c r="K564" i="39"/>
  <c r="C555" i="38"/>
  <c r="C555" i="39"/>
  <c r="C557" i="38"/>
  <c r="C557" i="39"/>
  <c r="C551" i="38"/>
  <c r="C551" i="39"/>
  <c r="C552" i="38"/>
  <c r="C552" i="39"/>
  <c r="C187" i="8"/>
  <c r="C190" i="8"/>
  <c r="C191" i="8"/>
  <c r="C195" i="8"/>
  <c r="C177" i="8"/>
  <c r="D547" i="38"/>
  <c r="D547" i="39"/>
  <c r="E543" i="38"/>
  <c r="B548" i="38"/>
  <c r="I544" i="38"/>
  <c r="I544" i="39"/>
  <c r="J547" i="38"/>
  <c r="J547" i="39"/>
  <c r="I552" i="38"/>
  <c r="I552" i="39"/>
  <c r="F558" i="38"/>
  <c r="F558" i="39"/>
  <c r="I533" i="38"/>
  <c r="I533" i="39"/>
  <c r="E538" i="38"/>
  <c r="K533" i="38"/>
  <c r="K533" i="39"/>
  <c r="K534" i="38"/>
  <c r="H537" i="38"/>
  <c r="H537" i="39"/>
  <c r="I540" i="38"/>
  <c r="I540" i="39"/>
  <c r="G537" i="38"/>
  <c r="G537" i="39"/>
  <c r="J545" i="38"/>
  <c r="J545" i="39"/>
  <c r="K549" i="38"/>
  <c r="K547" i="38"/>
  <c r="K547" i="39"/>
  <c r="K544" i="38"/>
  <c r="K544" i="39"/>
  <c r="F542" i="38"/>
  <c r="F542" i="39"/>
  <c r="H561" i="38"/>
  <c r="H561" i="39"/>
  <c r="F556" i="38"/>
  <c r="F556" i="39"/>
  <c r="J552" i="38"/>
  <c r="J552" i="39"/>
  <c r="G558" i="38"/>
  <c r="G558" i="39"/>
  <c r="E540" i="38"/>
  <c r="K540" i="38"/>
  <c r="K540" i="39"/>
  <c r="B534" i="38"/>
  <c r="B534" i="39"/>
  <c r="C534" i="38"/>
  <c r="C539" i="38"/>
  <c r="C539" i="39"/>
  <c r="J540" i="38"/>
  <c r="J540" i="39"/>
  <c r="E535" i="38"/>
  <c r="E535" i="39"/>
  <c r="E537" i="38"/>
  <c r="E537" i="39"/>
  <c r="H533" i="38"/>
  <c r="H533" i="39"/>
  <c r="B544" i="38"/>
  <c r="E545" i="38"/>
  <c r="E545" i="39"/>
  <c r="F546" i="38"/>
  <c r="F546" i="39"/>
  <c r="H542" i="38"/>
  <c r="H542" i="39"/>
  <c r="F544" i="38"/>
  <c r="F544" i="39"/>
  <c r="H545" i="38"/>
  <c r="H545" i="39"/>
  <c r="H548" i="38"/>
  <c r="H548" i="39"/>
  <c r="G544" i="38"/>
  <c r="G544" i="39"/>
  <c r="C549" i="38"/>
  <c r="C549" i="39"/>
  <c r="B549" i="38"/>
  <c r="B549" i="39"/>
  <c r="B562" i="38"/>
  <c r="B562" i="39"/>
  <c r="B567" i="38"/>
  <c r="B567" i="39"/>
  <c r="D563" i="38"/>
  <c r="D563" i="39"/>
  <c r="H553" i="38"/>
  <c r="H553" i="39"/>
  <c r="F551" i="38"/>
  <c r="F551" i="39"/>
  <c r="J557" i="38"/>
  <c r="J557" i="39"/>
  <c r="H556" i="38"/>
  <c r="H556" i="39"/>
  <c r="B552" i="38"/>
  <c r="B552" i="39"/>
  <c r="K551" i="38"/>
  <c r="K551" i="39"/>
  <c r="J537" i="38"/>
  <c r="J537" i="39"/>
  <c r="F536" i="38"/>
  <c r="K536" i="38"/>
  <c r="K536" i="39"/>
  <c r="G540" i="38"/>
  <c r="G540" i="39"/>
  <c r="H539" i="38"/>
  <c r="H539" i="39"/>
  <c r="C533" i="38"/>
  <c r="C533" i="39"/>
  <c r="D543" i="38"/>
  <c r="D543" i="39"/>
  <c r="C542" i="38"/>
  <c r="C542" i="39"/>
  <c r="I545" i="38"/>
  <c r="I545" i="39"/>
  <c r="I542" i="38"/>
  <c r="I542" i="39"/>
  <c r="G542" i="38"/>
  <c r="G542" i="39"/>
  <c r="G562" i="38"/>
  <c r="G562" i="39"/>
  <c r="H555" i="38"/>
  <c r="H555" i="39"/>
  <c r="J551" i="38"/>
  <c r="J551" i="39"/>
  <c r="I556" i="38"/>
  <c r="I556" i="39"/>
  <c r="H557" i="38"/>
  <c r="H557" i="39"/>
  <c r="D537" i="38"/>
  <c r="D537" i="39"/>
  <c r="H540" i="38"/>
  <c r="H540" i="39"/>
  <c r="I536" i="38"/>
  <c r="I536" i="39"/>
  <c r="J549" i="38"/>
  <c r="J549" i="39"/>
  <c r="K542" i="38"/>
  <c r="K542" i="39"/>
  <c r="D542" i="38"/>
  <c r="D542" i="39"/>
  <c r="C545" i="38"/>
  <c r="C545" i="39"/>
  <c r="H547" i="38"/>
  <c r="K553" i="38"/>
  <c r="K553" i="39"/>
  <c r="F555" i="38"/>
  <c r="F555" i="39"/>
  <c r="D552" i="38"/>
  <c r="D552" i="39"/>
  <c r="E544" i="38"/>
  <c r="E544" i="39"/>
  <c r="H551" i="38"/>
  <c r="H551" i="39"/>
  <c r="F554" i="38"/>
  <c r="F554" i="39"/>
  <c r="I555" i="38"/>
  <c r="I555" i="39"/>
  <c r="K555" i="38"/>
  <c r="K555" i="39"/>
  <c r="G549" i="38"/>
  <c r="G549" i="39"/>
  <c r="D546" i="38"/>
  <c r="D546" i="39"/>
  <c r="D549" i="38"/>
  <c r="D549" i="39"/>
  <c r="G547" i="38"/>
  <c r="G547" i="39"/>
  <c r="B542" i="38"/>
  <c r="B542" i="39"/>
  <c r="H560" i="38"/>
  <c r="H560" i="39"/>
  <c r="D566" i="38"/>
  <c r="D566" i="39"/>
  <c r="D540" i="38"/>
  <c r="D540" i="39"/>
  <c r="F537" i="38"/>
  <c r="F537" i="39"/>
  <c r="K539" i="38"/>
  <c r="K539" i="39"/>
  <c r="G548" i="38"/>
  <c r="E561" i="38"/>
  <c r="E561" i="39"/>
  <c r="H564" i="38"/>
  <c r="H564" i="39"/>
  <c r="J536" i="38"/>
  <c r="J536" i="39"/>
  <c r="C537" i="38"/>
  <c r="C537" i="39"/>
  <c r="F547" i="38"/>
  <c r="F547" i="39"/>
  <c r="B556" i="38"/>
  <c r="B556" i="39"/>
  <c r="J538" i="38"/>
  <c r="J538" i="39"/>
  <c r="I534" i="38"/>
  <c r="I534" i="39"/>
  <c r="C535" i="38"/>
  <c r="C535" i="39"/>
  <c r="G546" i="38"/>
  <c r="G546" i="39"/>
  <c r="J558" i="38"/>
  <c r="J558" i="39"/>
  <c r="J554" i="38"/>
  <c r="J554" i="39"/>
  <c r="D538" i="38"/>
  <c r="D538" i="39"/>
  <c r="B537" i="38"/>
  <c r="B537" i="39"/>
  <c r="E567" i="38"/>
  <c r="E567" i="39"/>
  <c r="D557" i="38"/>
  <c r="D557" i="39"/>
  <c r="C536" i="38"/>
  <c r="C536" i="39"/>
  <c r="F560" i="38"/>
  <c r="F560" i="39"/>
  <c r="K554" i="38"/>
  <c r="K554" i="39"/>
  <c r="I539" i="38"/>
  <c r="I539" i="39"/>
  <c r="J553" i="38"/>
  <c r="J553" i="39"/>
  <c r="K535" i="38"/>
  <c r="J556" i="38"/>
  <c r="J556" i="39"/>
  <c r="C558" i="38"/>
  <c r="C558" i="39"/>
  <c r="G536" i="38"/>
  <c r="K546" i="38"/>
  <c r="K546" i="39"/>
  <c r="C538" i="38"/>
  <c r="C538" i="39"/>
  <c r="B434" i="38" a="1"/>
  <c r="D437" i="38"/>
  <c r="D437" i="39"/>
  <c r="G437" i="38"/>
  <c r="G437" i="39"/>
  <c r="I440" i="38"/>
  <c r="I440" i="39"/>
  <c r="I434" i="38"/>
  <c r="I434" i="39"/>
  <c r="E440" i="38"/>
  <c r="E440" i="39"/>
  <c r="H441" i="38"/>
  <c r="H441" i="39"/>
  <c r="B443" i="38" a="1"/>
  <c r="G445" i="38"/>
  <c r="G445" i="39"/>
  <c r="G444" i="38"/>
  <c r="G444" i="39"/>
  <c r="K447" i="38"/>
  <c r="K447" i="39"/>
  <c r="C446" i="38"/>
  <c r="C446" i="39"/>
  <c r="G449" i="38"/>
  <c r="G449" i="39"/>
  <c r="K446" i="38"/>
  <c r="K446" i="39"/>
  <c r="B452" i="38" a="1"/>
  <c r="F457" i="38"/>
  <c r="J454" i="38"/>
  <c r="H452" i="38"/>
  <c r="H452" i="39"/>
  <c r="H457" i="38"/>
  <c r="H455" i="38"/>
  <c r="B425" i="38" a="1"/>
  <c r="G428" i="38"/>
  <c r="G428" i="39"/>
  <c r="E430" i="38"/>
  <c r="E430" i="39"/>
  <c r="K427" i="38"/>
  <c r="K427" i="39"/>
  <c r="C426" i="38"/>
  <c r="C426" i="39"/>
  <c r="I425" i="38"/>
  <c r="I425" i="39"/>
  <c r="C431" i="38"/>
  <c r="C431" i="39"/>
  <c r="C167" i="8"/>
  <c r="C169" i="8"/>
  <c r="C173" i="8"/>
  <c r="C174" i="8"/>
  <c r="C175" i="8"/>
  <c r="F435" i="38"/>
  <c r="F435" i="39"/>
  <c r="H434" i="38"/>
  <c r="H434" i="39"/>
  <c r="C438" i="38"/>
  <c r="C438" i="39"/>
  <c r="K439" i="38"/>
  <c r="K439" i="39"/>
  <c r="I436" i="38"/>
  <c r="I436" i="39"/>
  <c r="I450" i="38"/>
  <c r="I450" i="39"/>
  <c r="F449" i="38"/>
  <c r="F449" i="39"/>
  <c r="J448" i="38"/>
  <c r="J448" i="39"/>
  <c r="C443" i="38"/>
  <c r="C443" i="39"/>
  <c r="E446" i="38"/>
  <c r="E446" i="39"/>
  <c r="J450" i="38"/>
  <c r="J450" i="39"/>
  <c r="C449" i="38"/>
  <c r="C449" i="39"/>
  <c r="D454" i="38"/>
  <c r="K456" i="38"/>
  <c r="K456" i="39"/>
  <c r="B456" i="38"/>
  <c r="K426" i="38"/>
  <c r="K426" i="39"/>
  <c r="J427" i="38"/>
  <c r="J427" i="39"/>
  <c r="C429" i="38"/>
  <c r="C429" i="39"/>
  <c r="E435" i="38"/>
  <c r="E435" i="39"/>
  <c r="H439" i="38"/>
  <c r="H439" i="39"/>
  <c r="G435" i="38"/>
  <c r="G435" i="39"/>
  <c r="G436" i="38"/>
  <c r="G436" i="39"/>
  <c r="J439" i="38"/>
  <c r="J439" i="39"/>
  <c r="F440" i="38"/>
  <c r="F440" i="39"/>
  <c r="H438" i="38"/>
  <c r="H438" i="39"/>
  <c r="K444" i="38"/>
  <c r="K444" i="39"/>
  <c r="C444" i="38"/>
  <c r="C444" i="39"/>
  <c r="C450" i="38"/>
  <c r="C450" i="39"/>
  <c r="E444" i="38"/>
  <c r="E444" i="39"/>
  <c r="H449" i="38"/>
  <c r="H449" i="39"/>
  <c r="J444" i="38"/>
  <c r="J444" i="39"/>
  <c r="F450" i="38"/>
  <c r="F450" i="39"/>
  <c r="D443" i="38"/>
  <c r="D443" i="39"/>
  <c r="F444" i="38"/>
  <c r="F444" i="39"/>
  <c r="K452" i="38"/>
  <c r="G455" i="38"/>
  <c r="H454" i="38"/>
  <c r="C457" i="38"/>
  <c r="C457" i="39"/>
  <c r="C453" i="38"/>
  <c r="I429" i="38"/>
  <c r="I429" i="39"/>
  <c r="F431" i="38"/>
  <c r="F431" i="39"/>
  <c r="B427" i="38"/>
  <c r="B427" i="39"/>
  <c r="C157" i="8"/>
  <c r="C160" i="8"/>
  <c r="C162" i="8"/>
  <c r="C164" i="8"/>
  <c r="C165" i="8"/>
  <c r="K441" i="38"/>
  <c r="K441" i="39"/>
  <c r="I439" i="38"/>
  <c r="I439" i="39"/>
  <c r="G440" i="38"/>
  <c r="G440" i="39"/>
  <c r="B435" i="38"/>
  <c r="B435" i="39"/>
  <c r="F436" i="38"/>
  <c r="F436" i="39"/>
  <c r="H437" i="38"/>
  <c r="H437" i="39"/>
  <c r="D440" i="38"/>
  <c r="D440" i="39"/>
  <c r="J445" i="38"/>
  <c r="J445" i="39"/>
  <c r="F446" i="38"/>
  <c r="F446" i="39"/>
  <c r="E445" i="38"/>
  <c r="E445" i="39"/>
  <c r="I445" i="38"/>
  <c r="I445" i="39"/>
  <c r="H448" i="38"/>
  <c r="H448" i="39"/>
  <c r="F447" i="38"/>
  <c r="F447" i="39"/>
  <c r="H443" i="38"/>
  <c r="H443" i="39"/>
  <c r="D457" i="38"/>
  <c r="I458" i="38"/>
  <c r="J459" i="38"/>
  <c r="F452" i="38"/>
  <c r="F452" i="39"/>
  <c r="F453" i="38"/>
  <c r="F453" i="39"/>
  <c r="J456" i="38"/>
  <c r="F428" i="38"/>
  <c r="F428" i="39"/>
  <c r="D431" i="38"/>
  <c r="D431" i="39"/>
  <c r="E432" i="38"/>
  <c r="E432" i="39"/>
  <c r="B428" i="38"/>
  <c r="B428" i="39"/>
  <c r="I426" i="38"/>
  <c r="I426" i="39"/>
  <c r="F426" i="38"/>
  <c r="F426" i="39"/>
  <c r="J534" i="38"/>
  <c r="J534" i="39"/>
  <c r="G538" i="38"/>
  <c r="G538" i="39"/>
  <c r="F539" i="38"/>
  <c r="D536" i="38"/>
  <c r="D536" i="39"/>
  <c r="F533" i="38"/>
  <c r="F533" i="39"/>
  <c r="F540" i="38"/>
  <c r="F540" i="39"/>
  <c r="D533" i="38"/>
  <c r="D533" i="39"/>
  <c r="J535" i="38"/>
  <c r="G535" i="38"/>
  <c r="G535" i="39"/>
  <c r="I538" i="38"/>
  <c r="I538" i="39"/>
  <c r="E533" i="38"/>
  <c r="E533" i="39"/>
  <c r="E536" i="38"/>
  <c r="E536" i="39"/>
  <c r="B535" i="38"/>
  <c r="B535" i="39"/>
  <c r="G539" i="38"/>
  <c r="G539" i="39"/>
  <c r="B540" i="38"/>
  <c r="B540" i="39"/>
  <c r="D535" i="38"/>
  <c r="D535" i="39"/>
  <c r="E539" i="38"/>
  <c r="E539" i="39"/>
  <c r="F538" i="38"/>
  <c r="F538" i="39"/>
  <c r="B536" i="38"/>
  <c r="B536" i="39"/>
  <c r="F534" i="38"/>
  <c r="F534" i="39"/>
  <c r="K538" i="38"/>
  <c r="K538" i="39"/>
  <c r="D539" i="38"/>
  <c r="K537" i="38"/>
  <c r="K537" i="39"/>
  <c r="E534" i="38"/>
  <c r="E534" i="39"/>
  <c r="B538" i="38"/>
  <c r="B538" i="39"/>
  <c r="F535" i="38"/>
  <c r="F535" i="39"/>
  <c r="J533" i="38"/>
  <c r="J533" i="39"/>
  <c r="H536" i="38"/>
  <c r="H536" i="39"/>
  <c r="G533" i="38"/>
  <c r="G533" i="39"/>
  <c r="B425" i="38"/>
  <c r="B425" i="39"/>
  <c r="B440" i="38"/>
  <c r="B440" i="39"/>
  <c r="B436" i="38"/>
  <c r="B436" i="39"/>
  <c r="I435" i="38"/>
  <c r="I435" i="39"/>
  <c r="D438" i="38"/>
  <c r="D438" i="39"/>
  <c r="C436" i="38"/>
  <c r="C436" i="39"/>
  <c r="E436" i="38"/>
  <c r="E436" i="39"/>
  <c r="E448" i="38"/>
  <c r="E448" i="39"/>
  <c r="D448" i="38"/>
  <c r="D448" i="39"/>
  <c r="C445" i="38"/>
  <c r="C445" i="39"/>
  <c r="G448" i="38"/>
  <c r="G448" i="39"/>
  <c r="G446" i="38"/>
  <c r="G446" i="39"/>
  <c r="G450" i="38"/>
  <c r="G450" i="39"/>
  <c r="J457" i="38"/>
  <c r="J457" i="39"/>
  <c r="K459" i="38"/>
  <c r="G456" i="38"/>
  <c r="C458" i="38"/>
  <c r="C458" i="39"/>
  <c r="G430" i="38"/>
  <c r="G430" i="39"/>
  <c r="H425" i="38"/>
  <c r="H425" i="39"/>
  <c r="C425" i="38"/>
  <c r="C425" i="39"/>
  <c r="F425" i="38"/>
  <c r="F425" i="39"/>
  <c r="B429" i="38"/>
  <c r="B429" i="39"/>
  <c r="E429" i="38"/>
  <c r="E429" i="39"/>
  <c r="H429" i="38"/>
  <c r="H429" i="39"/>
  <c r="G431" i="38"/>
  <c r="G431" i="39"/>
  <c r="H558" i="38"/>
  <c r="H558" i="39"/>
  <c r="G554" i="38"/>
  <c r="G554" i="39"/>
  <c r="E556" i="38"/>
  <c r="E551" i="38"/>
  <c r="E551" i="39"/>
  <c r="G552" i="38"/>
  <c r="G552" i="39"/>
  <c r="B558" i="38"/>
  <c r="B558" i="39"/>
  <c r="D554" i="38"/>
  <c r="D554" i="39"/>
  <c r="H552" i="38"/>
  <c r="H552" i="39"/>
  <c r="F557" i="38"/>
  <c r="F557" i="39"/>
  <c r="E553" i="38"/>
  <c r="E553" i="39"/>
  <c r="E555" i="38"/>
  <c r="E555" i="39"/>
  <c r="D556" i="38"/>
  <c r="D556" i="39"/>
  <c r="E554" i="38"/>
  <c r="E554" i="39"/>
  <c r="K558" i="38"/>
  <c r="K558" i="39"/>
  <c r="I554" i="38"/>
  <c r="I554" i="39"/>
  <c r="D558" i="38"/>
  <c r="D558" i="39"/>
  <c r="I553" i="38"/>
  <c r="I553" i="39"/>
  <c r="C553" i="38"/>
  <c r="C553" i="39"/>
  <c r="G555" i="38"/>
  <c r="G555" i="39"/>
  <c r="K557" i="38"/>
  <c r="K557" i="39"/>
  <c r="B553" i="38"/>
  <c r="B553" i="39"/>
  <c r="G556" i="38"/>
  <c r="G556" i="39"/>
  <c r="B551" i="38"/>
  <c r="B551" i="39"/>
  <c r="C556" i="38"/>
  <c r="C556" i="39"/>
  <c r="K552" i="38"/>
  <c r="C554" i="38"/>
  <c r="C554" i="39"/>
  <c r="I557" i="38"/>
  <c r="I557" i="39"/>
  <c r="B555" i="38"/>
  <c r="B555" i="39"/>
  <c r="E557" i="38"/>
  <c r="E557" i="39"/>
  <c r="D551" i="38"/>
  <c r="D551" i="39"/>
  <c r="B443" i="38"/>
  <c r="B443" i="39"/>
  <c r="B560" i="38"/>
  <c r="B560" i="39"/>
  <c r="G560" i="38"/>
  <c r="G560" i="39"/>
  <c r="J565" i="38"/>
  <c r="C566" i="38"/>
  <c r="C566" i="39"/>
  <c r="F561" i="38"/>
  <c r="F561" i="39"/>
  <c r="I562" i="38"/>
  <c r="I562" i="39"/>
  <c r="B452" i="38"/>
  <c r="B452" i="39"/>
  <c r="J436" i="38"/>
  <c r="J436" i="39"/>
  <c r="F434" i="38"/>
  <c r="F434" i="39"/>
  <c r="K434" i="38"/>
  <c r="K434" i="39"/>
  <c r="G441" i="38"/>
  <c r="G441" i="39"/>
  <c r="K436" i="38"/>
  <c r="K436" i="39"/>
  <c r="I447" i="38"/>
  <c r="I447" i="39"/>
  <c r="G447" i="38"/>
  <c r="G447" i="39"/>
  <c r="D450" i="38"/>
  <c r="D450" i="39"/>
  <c r="I448" i="38"/>
  <c r="I448" i="39"/>
  <c r="B449" i="38"/>
  <c r="G454" i="38"/>
  <c r="G454" i="39"/>
  <c r="E456" i="38"/>
  <c r="F432" i="38"/>
  <c r="F432" i="39"/>
  <c r="J432" i="38"/>
  <c r="J432" i="39"/>
  <c r="E431" i="38"/>
  <c r="E431" i="39"/>
  <c r="F427" i="38"/>
  <c r="F427" i="39"/>
  <c r="H427" i="38"/>
  <c r="H427" i="39"/>
  <c r="D426" i="38"/>
  <c r="D426" i="39"/>
  <c r="J429" i="38"/>
  <c r="J429" i="39"/>
  <c r="K430" i="38"/>
  <c r="K430" i="39"/>
  <c r="I427" i="38"/>
  <c r="I427" i="39"/>
  <c r="H436" i="38"/>
  <c r="H436" i="39"/>
  <c r="J437" i="38"/>
  <c r="J437" i="39"/>
  <c r="H435" i="38"/>
  <c r="H435" i="39"/>
  <c r="H440" i="38"/>
  <c r="H440" i="39"/>
  <c r="K437" i="38"/>
  <c r="K437" i="39"/>
  <c r="K448" i="38"/>
  <c r="K448" i="39"/>
  <c r="F443" i="38"/>
  <c r="F443" i="39"/>
  <c r="I459" i="38"/>
  <c r="I452" i="38"/>
  <c r="I548" i="38"/>
  <c r="J542" i="38"/>
  <c r="J542" i="39"/>
  <c r="E548" i="38"/>
  <c r="E548" i="39"/>
  <c r="F543" i="38"/>
  <c r="H544" i="38"/>
  <c r="K548" i="38"/>
  <c r="K548" i="39"/>
  <c r="J548" i="38"/>
  <c r="J548" i="39"/>
  <c r="C548" i="38"/>
  <c r="C548" i="39"/>
  <c r="F545" i="38"/>
  <c r="F545" i="39"/>
  <c r="B546" i="38"/>
  <c r="B546" i="39"/>
  <c r="E549" i="38"/>
  <c r="E549" i="39"/>
  <c r="B543" i="38"/>
  <c r="B543" i="39"/>
  <c r="D545" i="38"/>
  <c r="J543" i="38"/>
  <c r="J543" i="39"/>
  <c r="G545" i="38"/>
  <c r="F549" i="38"/>
  <c r="F549" i="39"/>
  <c r="K543" i="38"/>
  <c r="K543" i="39"/>
  <c r="B545" i="38"/>
  <c r="B545" i="39"/>
  <c r="D548" i="38"/>
  <c r="D548" i="39"/>
  <c r="E542" i="38"/>
  <c r="E542" i="39"/>
  <c r="D544" i="38"/>
  <c r="D544" i="39"/>
  <c r="E546" i="38"/>
  <c r="E546" i="39"/>
  <c r="C546" i="38"/>
  <c r="C546" i="39"/>
  <c r="H546" i="38"/>
  <c r="H546" i="39"/>
  <c r="I543" i="38"/>
  <c r="I543" i="39"/>
  <c r="K545" i="38"/>
  <c r="K545" i="39"/>
  <c r="B434" i="38"/>
  <c r="B434" i="39"/>
  <c r="G434" i="38"/>
  <c r="G434" i="39"/>
  <c r="D434" i="38"/>
  <c r="D434" i="39"/>
  <c r="G438" i="38"/>
  <c r="G438" i="39"/>
  <c r="J441" i="38"/>
  <c r="J441" i="39"/>
  <c r="E437" i="38"/>
  <c r="E437" i="39"/>
  <c r="B439" i="38"/>
  <c r="B439" i="39"/>
  <c r="G443" i="38"/>
  <c r="G443" i="39"/>
  <c r="C448" i="38"/>
  <c r="C448" i="39"/>
  <c r="K449" i="38"/>
  <c r="K449" i="39"/>
  <c r="I446" i="38"/>
  <c r="I446" i="39"/>
  <c r="B450" i="38"/>
  <c r="B450" i="39"/>
  <c r="H446" i="38"/>
  <c r="H446" i="39"/>
  <c r="G457" i="38"/>
  <c r="F455" i="38"/>
  <c r="F454" i="38"/>
  <c r="C456" i="38"/>
  <c r="C430" i="38"/>
  <c r="C430" i="39"/>
  <c r="J425" i="38"/>
  <c r="J425" i="39"/>
  <c r="C427" i="38"/>
  <c r="C427" i="39"/>
  <c r="K425" i="38"/>
  <c r="K425" i="39"/>
  <c r="G425" i="38"/>
  <c r="G425" i="39"/>
  <c r="B426" i="38"/>
  <c r="B426" i="39"/>
  <c r="H431" i="38"/>
  <c r="H431" i="39"/>
  <c r="J431" i="38"/>
  <c r="J431" i="39"/>
  <c r="C455" i="38"/>
  <c r="E457" i="38"/>
  <c r="J452" i="38"/>
  <c r="J438" i="38"/>
  <c r="J438" i="39"/>
  <c r="F439" i="38"/>
  <c r="F439" i="39"/>
  <c r="D449" i="38"/>
  <c r="D449" i="39"/>
  <c r="C459" i="38"/>
  <c r="H447" i="38"/>
  <c r="H447" i="39"/>
  <c r="E425" i="38"/>
  <c r="E425" i="39"/>
  <c r="D432" i="38"/>
  <c r="D432" i="39"/>
  <c r="E443" i="38"/>
  <c r="E443" i="39"/>
  <c r="I431" i="38"/>
  <c r="I431" i="39"/>
  <c r="D458" i="38"/>
  <c r="D458" i="39"/>
  <c r="C439" i="38"/>
  <c r="C439" i="39"/>
  <c r="B455" i="38"/>
  <c r="E452" i="38"/>
  <c r="G458" i="38"/>
  <c r="I454" i="38"/>
  <c r="I454" i="39"/>
  <c r="E453" i="38"/>
  <c r="E453" i="39"/>
  <c r="H428" i="38"/>
  <c r="H428" i="39"/>
  <c r="G459" i="38"/>
  <c r="K431" i="38"/>
  <c r="K431" i="39"/>
  <c r="E426" i="38"/>
  <c r="E426" i="39"/>
  <c r="E458" i="38"/>
  <c r="B432" i="38"/>
  <c r="B432" i="39"/>
  <c r="I430" i="38"/>
  <c r="I430" i="39"/>
  <c r="E438" i="38"/>
  <c r="E438" i="39"/>
  <c r="B130" i="7" a="1"/>
  <c r="C130" i="7"/>
  <c r="B122" i="7" a="1"/>
  <c r="G432" i="38"/>
  <c r="G432" i="39"/>
  <c r="K428" i="38"/>
  <c r="K428" i="39"/>
  <c r="K429" i="38"/>
  <c r="K429" i="39"/>
  <c r="D425" i="38"/>
  <c r="D425" i="39"/>
  <c r="G429" i="38"/>
  <c r="G429" i="39"/>
  <c r="B430" i="38"/>
  <c r="B430" i="39"/>
  <c r="K432" i="38"/>
  <c r="K432" i="39"/>
  <c r="C432" i="38"/>
  <c r="C432" i="39"/>
  <c r="I432" i="38"/>
  <c r="I432" i="39"/>
  <c r="I428" i="38"/>
  <c r="I428" i="39"/>
  <c r="E427" i="38"/>
  <c r="E427" i="39"/>
  <c r="F430" i="38"/>
  <c r="F430" i="39"/>
  <c r="J428" i="38"/>
  <c r="J428" i="39"/>
  <c r="C428" i="38"/>
  <c r="C428" i="39"/>
  <c r="G426" i="38"/>
  <c r="G426" i="39"/>
  <c r="D428" i="38"/>
  <c r="D428" i="39"/>
  <c r="H430" i="38"/>
  <c r="H432" i="38"/>
  <c r="H432" i="39"/>
  <c r="E428" i="38"/>
  <c r="E428" i="39"/>
  <c r="G427" i="38"/>
  <c r="G427" i="39"/>
  <c r="J426" i="38"/>
  <c r="J426" i="39"/>
  <c r="D430" i="38"/>
  <c r="D430" i="39"/>
  <c r="B431" i="38"/>
  <c r="B431" i="39"/>
  <c r="J430" i="38"/>
  <c r="J430" i="39"/>
  <c r="D427" i="38"/>
  <c r="D427" i="39"/>
  <c r="F429" i="38"/>
  <c r="F429" i="39"/>
  <c r="D429" i="38"/>
  <c r="D429" i="39"/>
  <c r="H426" i="38"/>
  <c r="H426" i="39"/>
  <c r="B122" i="7"/>
  <c r="B122" i="35" a="1"/>
  <c r="B122" i="35"/>
  <c r="B122" i="37"/>
  <c r="E455" i="38"/>
  <c r="D453" i="38"/>
  <c r="D455" i="38"/>
  <c r="D455" i="39"/>
  <c r="I456" i="38"/>
  <c r="K454" i="38"/>
  <c r="J453" i="38"/>
  <c r="E454" i="38"/>
  <c r="D459" i="38"/>
  <c r="J458" i="38"/>
  <c r="C454" i="38"/>
  <c r="C454" i="39"/>
  <c r="B459" i="38"/>
  <c r="B459" i="39"/>
  <c r="F456" i="38"/>
  <c r="B453" i="38"/>
  <c r="F458" i="38"/>
  <c r="D452" i="38"/>
  <c r="K453" i="38"/>
  <c r="E459" i="38"/>
  <c r="E459" i="39"/>
  <c r="G452" i="38"/>
  <c r="G452" i="39"/>
  <c r="I453" i="38"/>
  <c r="H458" i="38"/>
  <c r="C452" i="38"/>
  <c r="K458" i="38"/>
  <c r="J455" i="38"/>
  <c r="H453" i="38"/>
  <c r="H453" i="39"/>
  <c r="B458" i="38"/>
  <c r="D456" i="38"/>
  <c r="K455" i="38"/>
  <c r="I455" i="38"/>
  <c r="G453" i="38"/>
  <c r="K457" i="38"/>
  <c r="B457" i="38"/>
  <c r="B457" i="39"/>
  <c r="H459" i="38"/>
  <c r="F459" i="38"/>
  <c r="H456" i="38"/>
  <c r="H456" i="39"/>
  <c r="I457" i="38"/>
  <c r="B454" i="38"/>
  <c r="B454" i="39"/>
  <c r="J449" i="38"/>
  <c r="J449" i="39"/>
  <c r="B446" i="38"/>
  <c r="B446" i="39"/>
  <c r="E447" i="38"/>
  <c r="E447" i="39"/>
  <c r="J447" i="38"/>
  <c r="J447" i="39"/>
  <c r="H445" i="38"/>
  <c r="H445" i="39"/>
  <c r="F445" i="38"/>
  <c r="F445" i="39"/>
  <c r="E449" i="38"/>
  <c r="E449" i="39"/>
  <c r="J446" i="38"/>
  <c r="J446" i="39"/>
  <c r="D446" i="38"/>
  <c r="D446" i="39"/>
  <c r="J443" i="38"/>
  <c r="J443" i="39"/>
  <c r="B444" i="38"/>
  <c r="B444" i="39"/>
  <c r="I449" i="38"/>
  <c r="I449" i="39"/>
  <c r="I444" i="38"/>
  <c r="I444" i="39"/>
  <c r="D445" i="38"/>
  <c r="D445" i="39"/>
  <c r="H450" i="38"/>
  <c r="H450" i="39"/>
  <c r="D444" i="38"/>
  <c r="D444" i="39"/>
  <c r="K443" i="38"/>
  <c r="K443" i="39"/>
  <c r="C447" i="38"/>
  <c r="C447" i="39"/>
  <c r="K445" i="38"/>
  <c r="K445" i="39"/>
  <c r="B448" i="38"/>
  <c r="B448" i="39"/>
  <c r="E450" i="38"/>
  <c r="E450" i="39"/>
  <c r="B445" i="38"/>
  <c r="B445" i="39"/>
  <c r="H444" i="38"/>
  <c r="H444" i="39"/>
  <c r="K450" i="38"/>
  <c r="K450" i="39"/>
  <c r="D447" i="38"/>
  <c r="D447" i="39"/>
  <c r="F448" i="38"/>
  <c r="F448" i="39"/>
  <c r="I443" i="38"/>
  <c r="I443" i="39"/>
  <c r="B447" i="38"/>
  <c r="B447" i="39"/>
  <c r="C195" i="39"/>
  <c r="B130" i="7"/>
  <c r="J435" i="38"/>
  <c r="J435" i="39"/>
  <c r="C441" i="38"/>
  <c r="C441" i="39"/>
  <c r="J434" i="38"/>
  <c r="J434" i="39"/>
  <c r="I438" i="38"/>
  <c r="I438" i="39"/>
  <c r="J440" i="38"/>
  <c r="J440" i="39"/>
  <c r="K438" i="38"/>
  <c r="K438" i="39"/>
  <c r="E439" i="38"/>
  <c r="E439" i="39"/>
  <c r="C435" i="38"/>
  <c r="C435" i="39"/>
  <c r="D439" i="38"/>
  <c r="D439" i="39"/>
  <c r="C437" i="38"/>
  <c r="C437" i="39"/>
  <c r="I441" i="38"/>
  <c r="I441" i="39"/>
  <c r="K435" i="38"/>
  <c r="K435" i="39"/>
  <c r="K440" i="38"/>
  <c r="K440" i="39"/>
  <c r="B437" i="38"/>
  <c r="B437" i="39"/>
  <c r="E441" i="38"/>
  <c r="E441" i="39"/>
  <c r="D441" i="38"/>
  <c r="D441" i="39"/>
  <c r="F441" i="38"/>
  <c r="F441" i="39"/>
  <c r="C434" i="38"/>
  <c r="C434" i="39"/>
  <c r="D436" i="38"/>
  <c r="D436" i="39"/>
  <c r="F437" i="38"/>
  <c r="F437" i="39"/>
  <c r="E434" i="38"/>
  <c r="E434" i="39"/>
  <c r="B438" i="38"/>
  <c r="B438" i="39"/>
  <c r="I437" i="38"/>
  <c r="I437" i="39"/>
  <c r="C440" i="38"/>
  <c r="C440" i="39"/>
  <c r="B441" i="38"/>
  <c r="B441" i="39"/>
  <c r="D435" i="38"/>
  <c r="D435" i="39"/>
  <c r="G439" i="38"/>
  <c r="G439" i="39"/>
  <c r="F438" i="38"/>
  <c r="F438" i="39"/>
  <c r="B344" i="38" a="1"/>
  <c r="F347" i="38"/>
  <c r="F347" i="39"/>
  <c r="B335" i="38" a="1"/>
  <c r="J342" i="38"/>
  <c r="J342" i="39"/>
  <c r="I345" i="38"/>
  <c r="I345" i="39"/>
  <c r="B326" i="38" a="1"/>
  <c r="G328" i="38"/>
  <c r="G328" i="39"/>
  <c r="E330" i="38"/>
  <c r="E330" i="39"/>
  <c r="E342" i="38"/>
  <c r="E342" i="39"/>
  <c r="B317" i="38" a="1"/>
  <c r="E317" i="38"/>
  <c r="E317" i="39"/>
  <c r="H322" i="38"/>
  <c r="H322" i="39"/>
  <c r="C347" i="38"/>
  <c r="C347" i="39"/>
  <c r="K324" i="38"/>
  <c r="K324" i="39"/>
  <c r="C340" i="38"/>
  <c r="C340" i="39"/>
  <c r="D345" i="38"/>
  <c r="D345" i="39"/>
  <c r="B347" i="38"/>
  <c r="B347" i="39"/>
  <c r="F345" i="38"/>
  <c r="F345" i="39"/>
  <c r="I351" i="38"/>
  <c r="I351" i="39"/>
  <c r="C327" i="38"/>
  <c r="G322" i="38"/>
  <c r="E349" i="38"/>
  <c r="I338" i="38"/>
  <c r="K330" i="38"/>
  <c r="K351" i="38"/>
  <c r="B332" i="38"/>
  <c r="J318" i="38"/>
  <c r="H319" i="38"/>
  <c r="B348" i="38"/>
  <c r="C348" i="38"/>
  <c r="H327" i="38"/>
  <c r="K326" i="38"/>
  <c r="I342" i="38"/>
  <c r="B333" i="38"/>
  <c r="B329" i="38"/>
  <c r="I347" i="38"/>
  <c r="C320" i="38"/>
  <c r="C319" i="38"/>
  <c r="K347" i="38"/>
  <c r="E322" i="38"/>
  <c r="B123" i="7"/>
  <c r="B123" i="35"/>
  <c r="B123" i="37"/>
  <c r="C122" i="7"/>
  <c r="B335" i="38"/>
  <c r="C164" i="39"/>
  <c r="G320" i="38"/>
  <c r="G320" i="39"/>
  <c r="C174" i="39"/>
  <c r="B129" i="7"/>
  <c r="B129" i="35"/>
  <c r="B129" i="37"/>
  <c r="C169" i="39"/>
  <c r="J328" i="38"/>
  <c r="J328" i="39"/>
  <c r="K327" i="38"/>
  <c r="K327" i="39"/>
  <c r="E348" i="38"/>
  <c r="E348" i="39"/>
  <c r="E328" i="38"/>
  <c r="E328" i="39"/>
  <c r="B327" i="38"/>
  <c r="B327" i="39"/>
  <c r="C345" i="38"/>
  <c r="C345" i="39"/>
  <c r="F331" i="38"/>
  <c r="F331" i="39"/>
  <c r="D336" i="38"/>
  <c r="D336" i="39"/>
  <c r="F349" i="38"/>
  <c r="F349" i="39"/>
  <c r="F324" i="38"/>
  <c r="F324" i="39"/>
  <c r="G330" i="38"/>
  <c r="G330" i="39"/>
  <c r="G321" i="38"/>
  <c r="G321" i="39"/>
  <c r="D317" i="38"/>
  <c r="D317" i="39"/>
  <c r="F338" i="38"/>
  <c r="D318" i="38"/>
  <c r="K332" i="38"/>
  <c r="I335" i="38"/>
  <c r="J351" i="38"/>
  <c r="I349" i="38"/>
  <c r="D322" i="38"/>
  <c r="D344" i="38"/>
  <c r="G337" i="38"/>
  <c r="G324" i="38"/>
  <c r="H330" i="38"/>
  <c r="B349" i="38"/>
  <c r="G342" i="38"/>
  <c r="K335" i="38"/>
  <c r="I332" i="38"/>
  <c r="E333" i="38"/>
  <c r="J337" i="38"/>
  <c r="H333" i="38"/>
  <c r="G326" i="38"/>
  <c r="C351" i="38"/>
  <c r="D333" i="38"/>
  <c r="J336" i="38"/>
  <c r="G346" i="38"/>
  <c r="J326" i="38"/>
  <c r="C335" i="38"/>
  <c r="J349" i="38"/>
  <c r="F341" i="38"/>
  <c r="B125" i="7"/>
  <c r="C125" i="7"/>
  <c r="C124" i="7"/>
  <c r="B124" i="7"/>
  <c r="B124" i="35"/>
  <c r="B124" i="37"/>
  <c r="C324" i="38"/>
  <c r="C324" i="39"/>
  <c r="G339" i="38"/>
  <c r="G339" i="39"/>
  <c r="H345" i="38"/>
  <c r="H345" i="39"/>
  <c r="G340" i="38"/>
  <c r="G340" i="39"/>
  <c r="F320" i="38"/>
  <c r="F320" i="39"/>
  <c r="E321" i="38"/>
  <c r="E321" i="39"/>
  <c r="I323" i="38"/>
  <c r="I323" i="39"/>
  <c r="B351" i="38"/>
  <c r="B351" i="39"/>
  <c r="K318" i="38"/>
  <c r="K318" i="39"/>
  <c r="E344" i="38"/>
  <c r="E344" i="39"/>
  <c r="G348" i="38"/>
  <c r="G348" i="39"/>
  <c r="F335" i="38"/>
  <c r="C322" i="38"/>
  <c r="E338" i="38"/>
  <c r="D340" i="38"/>
  <c r="D331" i="38"/>
  <c r="B323" i="38"/>
  <c r="I330" i="38"/>
  <c r="C160" i="39"/>
  <c r="C190" i="39"/>
  <c r="B128" i="7"/>
  <c r="B326" i="38"/>
  <c r="D346" i="38"/>
  <c r="C331" i="38"/>
  <c r="G329" i="38"/>
  <c r="E329" i="38"/>
  <c r="B321" i="38"/>
  <c r="C182" i="8"/>
  <c r="C182" i="39"/>
  <c r="C127" i="7"/>
  <c r="C180" i="8"/>
  <c r="C180" i="39"/>
  <c r="B127" i="7"/>
  <c r="I318" i="38"/>
  <c r="I318" i="39"/>
  <c r="I333" i="38"/>
  <c r="I333" i="39"/>
  <c r="I328" i="38"/>
  <c r="I328" i="39"/>
  <c r="J333" i="38"/>
  <c r="J333" i="39"/>
  <c r="D339" i="38"/>
  <c r="D339" i="39"/>
  <c r="F332" i="38"/>
  <c r="F332" i="39"/>
  <c r="I339" i="38"/>
  <c r="I339" i="39"/>
  <c r="G332" i="38"/>
  <c r="G332" i="39"/>
  <c r="E332" i="38"/>
  <c r="E332" i="39"/>
  <c r="G345" i="38"/>
  <c r="G345" i="39"/>
  <c r="I322" i="38"/>
  <c r="I322" i="39"/>
  <c r="K350" i="38"/>
  <c r="K350" i="39"/>
  <c r="C337" i="38"/>
  <c r="C337" i="39"/>
  <c r="G336" i="38"/>
  <c r="G336" i="39"/>
  <c r="C341" i="38"/>
  <c r="C341" i="39"/>
  <c r="C339" i="38"/>
  <c r="C339" i="39"/>
  <c r="D338" i="38"/>
  <c r="E318" i="38"/>
  <c r="E318" i="39"/>
  <c r="F336" i="38"/>
  <c r="D323" i="38"/>
  <c r="B340" i="38"/>
  <c r="F327" i="38"/>
  <c r="H335" i="38"/>
  <c r="C346" i="38"/>
  <c r="F322" i="38"/>
  <c r="E323" i="38"/>
  <c r="H349" i="38"/>
  <c r="E341" i="38"/>
  <c r="B346" i="38"/>
  <c r="K333" i="38"/>
  <c r="K336" i="38"/>
  <c r="H341" i="38"/>
  <c r="G350" i="38"/>
  <c r="F318" i="38"/>
  <c r="G349" i="38"/>
  <c r="D335" i="38"/>
  <c r="I340" i="38"/>
  <c r="F321" i="38"/>
  <c r="E340" i="38"/>
  <c r="C128" i="7"/>
  <c r="C162" i="39"/>
  <c r="B344" i="38"/>
  <c r="B344" i="39"/>
  <c r="C184" i="8"/>
  <c r="C184" i="39"/>
  <c r="J340" i="38"/>
  <c r="J340" i="39"/>
  <c r="I317" i="38"/>
  <c r="I317" i="39"/>
  <c r="J319" i="38"/>
  <c r="J319" i="39"/>
  <c r="F330" i="38"/>
  <c r="F330" i="39"/>
  <c r="I329" i="38"/>
  <c r="I329" i="39"/>
  <c r="J323" i="38"/>
  <c r="J323" i="39"/>
  <c r="B342" i="38"/>
  <c r="B342" i="39"/>
  <c r="E351" i="38"/>
  <c r="E351" i="39"/>
  <c r="B328" i="38"/>
  <c r="B328" i="39"/>
  <c r="F326" i="38"/>
  <c r="F326" i="39"/>
  <c r="K319" i="38"/>
  <c r="K322" i="38"/>
  <c r="D347" i="38"/>
  <c r="J347" i="38"/>
  <c r="K349" i="38"/>
  <c r="I324" i="38"/>
  <c r="B320" i="38"/>
  <c r="G331" i="38"/>
  <c r="D321" i="38"/>
  <c r="F339" i="38"/>
  <c r="C317" i="38"/>
  <c r="C123" i="7"/>
  <c r="C191" i="39"/>
  <c r="B317" i="38"/>
  <c r="C165" i="39"/>
  <c r="C175" i="39"/>
  <c r="E337" i="38"/>
  <c r="E337" i="39"/>
  <c r="C321" i="38"/>
  <c r="C321" i="39"/>
  <c r="I336" i="38"/>
  <c r="I336" i="39"/>
  <c r="H317" i="38"/>
  <c r="H317" i="39"/>
  <c r="H337" i="38"/>
  <c r="H337" i="39"/>
  <c r="E345" i="38"/>
  <c r="E345" i="39"/>
  <c r="E326" i="38"/>
  <c r="E326" i="39"/>
  <c r="C330" i="38"/>
  <c r="C330" i="39"/>
  <c r="D351" i="38"/>
  <c r="D351" i="39"/>
  <c r="B345" i="38"/>
  <c r="E319" i="38"/>
  <c r="K320" i="38"/>
  <c r="I327" i="38"/>
  <c r="D342" i="38"/>
  <c r="D342" i="39"/>
  <c r="I337" i="38"/>
  <c r="I337" i="39"/>
  <c r="G323" i="38"/>
  <c r="G323" i="39"/>
  <c r="J330" i="38"/>
  <c r="J330" i="39"/>
  <c r="J321" i="38"/>
  <c r="H329" i="38"/>
  <c r="F329" i="38"/>
  <c r="D350" i="38"/>
  <c r="G333" i="38"/>
  <c r="G333" i="39"/>
  <c r="F351" i="38"/>
  <c r="F351" i="39"/>
  <c r="J331" i="38"/>
  <c r="J331" i="39"/>
  <c r="I341" i="38"/>
  <c r="I341" i="39"/>
  <c r="I326" i="38"/>
  <c r="I326" i="39"/>
  <c r="G318" i="38"/>
  <c r="G318" i="39"/>
  <c r="J350" i="38"/>
  <c r="J350" i="39"/>
  <c r="F328" i="38"/>
  <c r="E320" i="38"/>
  <c r="J335" i="38"/>
  <c r="B339" i="38"/>
  <c r="F340" i="38"/>
  <c r="F340" i="39"/>
  <c r="J322" i="38"/>
  <c r="J322" i="39"/>
  <c r="K341" i="38"/>
  <c r="K341" i="39"/>
  <c r="F323" i="38"/>
  <c r="F323" i="39"/>
  <c r="B331" i="38"/>
  <c r="B331" i="39"/>
  <c r="H344" i="38"/>
  <c r="H344" i="39"/>
  <c r="K321" i="38"/>
  <c r="K321" i="39"/>
  <c r="J344" i="38"/>
  <c r="J344" i="39"/>
  <c r="J341" i="38"/>
  <c r="J341" i="39"/>
  <c r="H339" i="38"/>
  <c r="H339" i="39"/>
  <c r="H338" i="38"/>
  <c r="H338" i="39"/>
  <c r="J332" i="38"/>
  <c r="J332" i="39"/>
  <c r="C349" i="38"/>
  <c r="E327" i="38"/>
  <c r="C332" i="38"/>
  <c r="H328" i="38"/>
  <c r="B350" i="38"/>
  <c r="B350" i="39"/>
  <c r="J345" i="38"/>
  <c r="J345" i="39"/>
  <c r="C328" i="38"/>
  <c r="C328" i="39"/>
  <c r="I321" i="38"/>
  <c r="I321" i="39"/>
  <c r="E331" i="38"/>
  <c r="D348" i="38"/>
  <c r="B319" i="38"/>
  <c r="K339" i="38"/>
  <c r="J348" i="38"/>
  <c r="K328" i="38"/>
  <c r="H336" i="38"/>
  <c r="H332" i="38"/>
  <c r="H331" i="38"/>
  <c r="C336" i="38"/>
  <c r="C336" i="39"/>
  <c r="D326" i="38"/>
  <c r="D326" i="39"/>
  <c r="B330" i="38"/>
  <c r="B330" i="39"/>
  <c r="G351" i="38"/>
  <c r="G351" i="39"/>
  <c r="D327" i="38"/>
  <c r="D327" i="39"/>
  <c r="I350" i="38"/>
  <c r="I350" i="39"/>
  <c r="G319" i="38"/>
  <c r="I331" i="38"/>
  <c r="C329" i="38"/>
  <c r="H346" i="38"/>
  <c r="J317" i="38"/>
  <c r="H318" i="38"/>
  <c r="G344" i="38"/>
  <c r="K346" i="38"/>
  <c r="C350" i="38"/>
  <c r="K323" i="38"/>
  <c r="J329" i="38"/>
  <c r="J329" i="39"/>
  <c r="F346" i="38"/>
  <c r="F346" i="39"/>
  <c r="H347" i="38"/>
  <c r="H347" i="39"/>
  <c r="J324" i="38"/>
  <c r="J324" i="39"/>
  <c r="F319" i="38"/>
  <c r="F319" i="39"/>
  <c r="C344" i="38"/>
  <c r="C344" i="39"/>
  <c r="H324" i="38"/>
  <c r="H324" i="39"/>
  <c r="J338" i="38"/>
  <c r="J338" i="39"/>
  <c r="D328" i="38"/>
  <c r="D328" i="39"/>
  <c r="E324" i="38"/>
  <c r="E324" i="39"/>
  <c r="J346" i="38"/>
  <c r="J346" i="39"/>
  <c r="D349" i="38"/>
  <c r="D349" i="39"/>
  <c r="K317" i="38"/>
  <c r="K317" i="39"/>
  <c r="K342" i="38"/>
  <c r="D319" i="38"/>
  <c r="D319" i="39"/>
  <c r="G338" i="38"/>
  <c r="G338" i="39"/>
  <c r="K331" i="38"/>
  <c r="K331" i="39"/>
  <c r="D341" i="38"/>
  <c r="D341" i="39"/>
  <c r="K345" i="38"/>
  <c r="K345" i="39"/>
  <c r="G341" i="38"/>
  <c r="B341" i="38"/>
  <c r="G317" i="38"/>
  <c r="I348" i="38"/>
  <c r="I320" i="38"/>
  <c r="J320" i="38"/>
  <c r="K340" i="38"/>
  <c r="F348" i="38"/>
  <c r="F350" i="38"/>
  <c r="E335" i="38"/>
  <c r="C326" i="38"/>
  <c r="F317" i="38"/>
  <c r="D330" i="38"/>
  <c r="H340" i="38"/>
  <c r="C338" i="38"/>
  <c r="E336" i="38"/>
  <c r="E336" i="39"/>
  <c r="K344" i="38"/>
  <c r="K344" i="39"/>
  <c r="B318" i="38"/>
  <c r="B318" i="39"/>
  <c r="D329" i="38"/>
  <c r="D329" i="39"/>
  <c r="H350" i="38"/>
  <c r="H350" i="39"/>
  <c r="B324" i="38"/>
  <c r="B324" i="39"/>
  <c r="K337" i="38"/>
  <c r="H321" i="38"/>
  <c r="D332" i="38"/>
  <c r="H323" i="38"/>
  <c r="H348" i="38"/>
  <c r="H348" i="39"/>
  <c r="B337" i="38"/>
  <c r="B337" i="39"/>
  <c r="K338" i="38"/>
  <c r="K338" i="39"/>
  <c r="J339" i="38"/>
  <c r="G347" i="38"/>
  <c r="G347" i="39"/>
  <c r="B336" i="38"/>
  <c r="E347" i="38"/>
  <c r="K348" i="38"/>
  <c r="H326" i="38"/>
  <c r="E350" i="38"/>
  <c r="G327" i="38"/>
  <c r="F344" i="38"/>
  <c r="H342" i="38"/>
  <c r="H351" i="38"/>
  <c r="F333" i="38"/>
  <c r="I346" i="38"/>
  <c r="B148" i="38" a="1"/>
  <c r="I152" i="38"/>
  <c r="I152" i="39"/>
  <c r="B139" i="38" a="1"/>
  <c r="F141" i="38"/>
  <c r="F141" i="39"/>
  <c r="B130" i="38" a="1"/>
  <c r="D132" i="38"/>
  <c r="D132" i="39"/>
  <c r="B121" i="38" a="1"/>
  <c r="E127" i="38"/>
  <c r="E127" i="39"/>
  <c r="H154" i="38"/>
  <c r="H154" i="39"/>
  <c r="J126" i="38"/>
  <c r="J126" i="39"/>
  <c r="E154" i="38"/>
  <c r="E154" i="39"/>
  <c r="C188" i="39"/>
  <c r="B128" i="38"/>
  <c r="B128" i="39"/>
  <c r="E145" i="38"/>
  <c r="E145" i="39"/>
  <c r="J152" i="38"/>
  <c r="J152" i="39"/>
  <c r="H140" i="38"/>
  <c r="H140" i="39"/>
  <c r="I137" i="38"/>
  <c r="I137" i="39"/>
  <c r="I125" i="38"/>
  <c r="I125" i="39"/>
  <c r="F150" i="38"/>
  <c r="F150" i="39"/>
  <c r="H143" i="38"/>
  <c r="H143" i="39"/>
  <c r="E133" i="38"/>
  <c r="E133" i="39"/>
  <c r="F140" i="38"/>
  <c r="F140" i="39"/>
  <c r="K132" i="38"/>
  <c r="K132" i="39"/>
  <c r="I127" i="38"/>
  <c r="I127" i="39"/>
  <c r="G128" i="38"/>
  <c r="G128" i="39"/>
  <c r="J140" i="38"/>
  <c r="J140" i="39"/>
  <c r="I319" i="38"/>
  <c r="B141" i="38"/>
  <c r="C193" i="39"/>
  <c r="C157" i="39"/>
  <c r="C126" i="7"/>
  <c r="D337" i="38"/>
  <c r="C318" i="38"/>
  <c r="D320" i="38"/>
  <c r="D124" i="38"/>
  <c r="D124" i="39"/>
  <c r="D154" i="38"/>
  <c r="D154" i="39"/>
  <c r="D151" i="38"/>
  <c r="D151" i="39"/>
  <c r="C152" i="38"/>
  <c r="C152" i="39"/>
  <c r="J143" i="38"/>
  <c r="J143" i="39"/>
  <c r="I153" i="38"/>
  <c r="I153" i="39"/>
  <c r="G124" i="38"/>
  <c r="G124" i="39"/>
  <c r="B338" i="38"/>
  <c r="C183" i="39"/>
  <c r="C173" i="39"/>
  <c r="B140" i="38"/>
  <c r="C333" i="38"/>
  <c r="E339" i="38"/>
  <c r="B152" i="38"/>
  <c r="B152" i="39"/>
  <c r="B143" i="38"/>
  <c r="J327" i="38"/>
  <c r="B146" i="38"/>
  <c r="B146" i="39"/>
  <c r="B132" i="38"/>
  <c r="B132" i="39"/>
  <c r="C159" i="39"/>
  <c r="E346" i="38"/>
  <c r="C171" i="39"/>
  <c r="F126" i="38"/>
  <c r="F126" i="39"/>
  <c r="K125" i="38"/>
  <c r="K125" i="39"/>
  <c r="H145" i="38"/>
  <c r="H145" i="39"/>
  <c r="K151" i="38"/>
  <c r="K151" i="39"/>
  <c r="I149" i="38"/>
  <c r="I149" i="39"/>
  <c r="F142" i="38"/>
  <c r="F142" i="39"/>
  <c r="H320" i="38"/>
  <c r="C161" i="39"/>
  <c r="F337" i="38"/>
  <c r="C189" i="39"/>
  <c r="I344" i="38"/>
  <c r="I344" i="39"/>
  <c r="D324" i="38"/>
  <c r="B322" i="38"/>
  <c r="K126" i="38"/>
  <c r="K126" i="39"/>
  <c r="K329" i="38"/>
  <c r="K329" i="39"/>
  <c r="C342" i="38"/>
  <c r="C323" i="38"/>
  <c r="C323" i="39"/>
  <c r="F342" i="38"/>
  <c r="G335" i="38"/>
  <c r="G335" i="39"/>
  <c r="C170" i="39"/>
  <c r="C158" i="39"/>
  <c r="C194" i="39"/>
  <c r="K137" i="38"/>
  <c r="K137" i="39"/>
  <c r="E143" i="38"/>
  <c r="E143" i="39"/>
  <c r="F135" i="38"/>
  <c r="F135" i="39"/>
  <c r="J134" i="38"/>
  <c r="J134" i="39"/>
  <c r="B151" i="38"/>
  <c r="B151" i="39"/>
  <c r="C172" i="39"/>
  <c r="B142" i="38"/>
  <c r="B142" i="39"/>
  <c r="B126" i="7"/>
  <c r="B126" i="35"/>
  <c r="B126" i="37"/>
  <c r="C168" i="39"/>
  <c r="C187" i="39"/>
  <c r="H151" i="38"/>
  <c r="H151" i="39"/>
  <c r="I132" i="38"/>
  <c r="I132" i="39"/>
  <c r="K152" i="38"/>
  <c r="K152" i="39"/>
  <c r="C136" i="38"/>
  <c r="C136" i="39"/>
  <c r="E128" i="38"/>
  <c r="E128" i="39"/>
  <c r="K122" i="38"/>
  <c r="K122" i="39"/>
  <c r="G154" i="38"/>
  <c r="G154" i="39"/>
  <c r="H125" i="38"/>
  <c r="H125" i="39"/>
  <c r="G152" i="38"/>
  <c r="G152" i="39"/>
  <c r="C177" i="39"/>
  <c r="C163" i="39"/>
  <c r="B126" i="38"/>
  <c r="B126" i="39"/>
  <c r="C129" i="7"/>
  <c r="B124" i="38"/>
  <c r="B124" i="39"/>
  <c r="B137" i="38"/>
  <c r="B137" i="39"/>
  <c r="B144" i="38"/>
  <c r="B144" i="39"/>
  <c r="C167" i="39"/>
  <c r="C192" i="39"/>
  <c r="J132" i="38"/>
  <c r="J132" i="39"/>
  <c r="E153" i="38"/>
  <c r="E153" i="39"/>
  <c r="E152" i="38"/>
  <c r="E152" i="39"/>
  <c r="J150" i="38"/>
  <c r="J150" i="39"/>
  <c r="I135" i="38"/>
  <c r="I135" i="39"/>
  <c r="F152" i="38"/>
  <c r="F152" i="39"/>
  <c r="C153" i="38"/>
  <c r="C153" i="39"/>
  <c r="C126" i="38"/>
  <c r="C126" i="39"/>
  <c r="I145" i="38"/>
  <c r="I145" i="39"/>
  <c r="G142" i="38"/>
  <c r="G142" i="39"/>
  <c r="C135" i="38"/>
  <c r="C135" i="39"/>
  <c r="G132" i="38"/>
  <c r="G132" i="39"/>
  <c r="I150" i="38"/>
  <c r="I150" i="39"/>
  <c r="K153" i="38"/>
  <c r="K153" i="39"/>
  <c r="F153" i="38"/>
  <c r="F153" i="39"/>
  <c r="F125" i="38"/>
  <c r="F125" i="39"/>
  <c r="H128" i="38"/>
  <c r="H128" i="39"/>
  <c r="D126" i="38"/>
  <c r="D126" i="39"/>
  <c r="F143" i="38"/>
  <c r="F143" i="39"/>
  <c r="I126" i="38"/>
  <c r="I126" i="39"/>
  <c r="G127" i="38"/>
  <c r="G127" i="39"/>
  <c r="D135" i="38"/>
  <c r="D135" i="39"/>
  <c r="J151" i="38"/>
  <c r="J151" i="39"/>
  <c r="F151" i="38"/>
  <c r="F151" i="39"/>
  <c r="F145" i="38"/>
  <c r="F145" i="39"/>
  <c r="G125" i="38"/>
  <c r="G125" i="39"/>
  <c r="J128" i="38"/>
  <c r="J128" i="39"/>
  <c r="H132" i="38"/>
  <c r="H132" i="39"/>
  <c r="D136" i="38"/>
  <c r="D136" i="39"/>
  <c r="J124" i="38"/>
  <c r="J124" i="39"/>
  <c r="D140" i="38"/>
  <c r="D140" i="39"/>
  <c r="D153" i="38"/>
  <c r="D153" i="39"/>
  <c r="I154" i="38"/>
  <c r="I154" i="39"/>
  <c r="G145" i="38"/>
  <c r="G145" i="39"/>
  <c r="C137" i="38"/>
  <c r="C137" i="39"/>
  <c r="J154" i="38"/>
  <c r="J154" i="39"/>
  <c r="D128" i="38"/>
  <c r="D128" i="39"/>
  <c r="K128" i="38"/>
  <c r="K128" i="39"/>
  <c r="K140" i="38"/>
  <c r="K140" i="39"/>
  <c r="I124" i="38"/>
  <c r="I124" i="39"/>
  <c r="C146" i="38"/>
  <c r="C146" i="39"/>
  <c r="G126" i="38"/>
  <c r="G126" i="39"/>
  <c r="K135" i="38"/>
  <c r="K135" i="39"/>
  <c r="H137" i="38"/>
  <c r="H137" i="39"/>
  <c r="F128" i="38"/>
  <c r="F128" i="39"/>
  <c r="E135" i="38"/>
  <c r="E135" i="39"/>
  <c r="K143" i="38"/>
  <c r="K143" i="39"/>
  <c r="E132" i="38"/>
  <c r="E132" i="39"/>
  <c r="I128" i="38"/>
  <c r="I128" i="39"/>
  <c r="J131" i="38"/>
  <c r="J131" i="39"/>
  <c r="D149" i="38"/>
  <c r="D149" i="39"/>
  <c r="I140" i="38"/>
  <c r="I140" i="39"/>
  <c r="I151" i="38"/>
  <c r="I151" i="39"/>
  <c r="J153" i="38"/>
  <c r="J153" i="39"/>
  <c r="D143" i="38"/>
  <c r="D143" i="39"/>
  <c r="C143" i="38"/>
  <c r="C143" i="39"/>
  <c r="J137" i="38"/>
  <c r="J137" i="39"/>
  <c r="G137" i="38"/>
  <c r="G137" i="39"/>
  <c r="E125" i="38"/>
  <c r="E125" i="39"/>
  <c r="E140" i="38"/>
  <c r="E140" i="39"/>
  <c r="C123" i="38"/>
  <c r="C123" i="39"/>
  <c r="K150" i="38"/>
  <c r="K150" i="39"/>
  <c r="C151" i="38"/>
  <c r="C151" i="39"/>
  <c r="K134" i="38"/>
  <c r="K134" i="39"/>
  <c r="C132" i="38"/>
  <c r="C132" i="39"/>
  <c r="D125" i="38"/>
  <c r="D125" i="39"/>
  <c r="D127" i="38"/>
  <c r="D127" i="39"/>
  <c r="J135" i="38"/>
  <c r="J135" i="39"/>
  <c r="C145" i="38"/>
  <c r="C145" i="39"/>
  <c r="H153" i="38"/>
  <c r="H153" i="39"/>
  <c r="H124" i="38"/>
  <c r="H124" i="39"/>
  <c r="C150" i="38"/>
  <c r="C150" i="39"/>
  <c r="C140" i="38"/>
  <c r="C140" i="39"/>
  <c r="D137" i="38"/>
  <c r="D137" i="39"/>
  <c r="F154" i="38"/>
  <c r="F154" i="39"/>
  <c r="C124" i="38"/>
  <c r="C124" i="39"/>
  <c r="K124" i="38"/>
  <c r="K124" i="39"/>
  <c r="H127" i="38"/>
  <c r="H127" i="39"/>
  <c r="E144" i="38"/>
  <c r="E144" i="39"/>
  <c r="H144" i="38"/>
  <c r="H144" i="39"/>
  <c r="C149" i="38"/>
  <c r="C149" i="39"/>
  <c r="C139" i="38"/>
  <c r="C139" i="39"/>
  <c r="K144" i="38"/>
  <c r="K144" i="39"/>
  <c r="J133" i="38"/>
  <c r="J133" i="39"/>
  <c r="J142" i="38"/>
  <c r="J142" i="39"/>
  <c r="F134" i="38"/>
  <c r="F134" i="39"/>
  <c r="G150" i="38"/>
  <c r="G150" i="39"/>
  <c r="H141" i="38"/>
  <c r="H141" i="39"/>
  <c r="H134" i="38"/>
  <c r="H134" i="39"/>
  <c r="K149" i="38"/>
  <c r="K149" i="39"/>
  <c r="F149" i="38"/>
  <c r="F149" i="39"/>
  <c r="E151" i="38"/>
  <c r="E151" i="39"/>
  <c r="G141" i="38"/>
  <c r="G141" i="39"/>
  <c r="J144" i="38"/>
  <c r="J144" i="39"/>
  <c r="C155" i="38"/>
  <c r="C155" i="39"/>
  <c r="I121" i="38"/>
  <c r="I121" i="39"/>
  <c r="B148" i="38"/>
  <c r="B148" i="39"/>
  <c r="B131" i="38"/>
  <c r="B131" i="39"/>
  <c r="B155" i="38"/>
  <c r="B155" i="39"/>
  <c r="B153" i="38"/>
  <c r="B153" i="39"/>
  <c r="B130" i="38"/>
  <c r="B130" i="39"/>
  <c r="G153" i="38"/>
  <c r="G153" i="39"/>
  <c r="G136" i="38"/>
  <c r="G136" i="39"/>
  <c r="K123" i="38"/>
  <c r="K123" i="39"/>
  <c r="G131" i="38"/>
  <c r="G131" i="39"/>
  <c r="K127" i="38"/>
  <c r="K127" i="39"/>
  <c r="G133" i="38"/>
  <c r="G133" i="39"/>
  <c r="E148" i="38"/>
  <c r="E148" i="39"/>
  <c r="D145" i="38"/>
  <c r="D145" i="39"/>
  <c r="I122" i="38"/>
  <c r="I122" i="39"/>
  <c r="E131" i="38"/>
  <c r="E131" i="39"/>
  <c r="C121" i="38"/>
  <c r="C121" i="39"/>
  <c r="E124" i="38"/>
  <c r="E124" i="39"/>
  <c r="H133" i="38"/>
  <c r="H133" i="39"/>
  <c r="D139" i="38"/>
  <c r="D139" i="39"/>
  <c r="J121" i="38"/>
  <c r="J121" i="39"/>
  <c r="K133" i="38"/>
  <c r="K133" i="39"/>
  <c r="K131" i="38"/>
  <c r="K131" i="39"/>
  <c r="B127" i="38"/>
  <c r="B127" i="39"/>
  <c r="B122" i="38"/>
  <c r="B122" i="39"/>
  <c r="B133" i="38"/>
  <c r="B133" i="39"/>
  <c r="H152" i="38"/>
  <c r="H152" i="39"/>
  <c r="H135" i="38"/>
  <c r="H135" i="39"/>
  <c r="K142" i="38"/>
  <c r="K142" i="39"/>
  <c r="H122" i="38"/>
  <c r="H122" i="39"/>
  <c r="B134" i="38"/>
  <c r="B134" i="39"/>
  <c r="B150" i="38"/>
  <c r="B150" i="39"/>
  <c r="H150" i="38"/>
  <c r="H150" i="39"/>
  <c r="J146" i="38"/>
  <c r="J146" i="39"/>
  <c r="I141" i="38"/>
  <c r="I141" i="39"/>
  <c r="H146" i="38"/>
  <c r="H146" i="39"/>
  <c r="H149" i="38"/>
  <c r="H149" i="39"/>
  <c r="I144" i="38"/>
  <c r="I144" i="39"/>
  <c r="C141" i="38"/>
  <c r="C141" i="39"/>
  <c r="F137" i="38"/>
  <c r="F137" i="39"/>
  <c r="D144" i="38"/>
  <c r="D144" i="39"/>
  <c r="I131" i="38"/>
  <c r="I131" i="39"/>
  <c r="I148" i="38"/>
  <c r="I148" i="39"/>
  <c r="F121" i="38"/>
  <c r="F121" i="39"/>
  <c r="I146" i="38"/>
  <c r="I146" i="39"/>
  <c r="F155" i="38"/>
  <c r="F155" i="39"/>
  <c r="G139" i="38"/>
  <c r="G139" i="39"/>
  <c r="I133" i="38"/>
  <c r="I133" i="39"/>
  <c r="B123" i="38"/>
  <c r="B123" i="39"/>
  <c r="B121" i="38"/>
  <c r="B121" i="39"/>
  <c r="B154" i="38"/>
  <c r="B154" i="39"/>
  <c r="H126" i="38"/>
  <c r="H126" i="39"/>
  <c r="I123" i="38"/>
  <c r="I123" i="39"/>
  <c r="G135" i="38"/>
  <c r="G135" i="39"/>
  <c r="I142" i="38"/>
  <c r="I142" i="39"/>
  <c r="C142" i="38"/>
  <c r="C142" i="39"/>
  <c r="J122" i="38"/>
  <c r="J122" i="39"/>
  <c r="D150" i="38"/>
  <c r="D150" i="39"/>
  <c r="F144" i="38"/>
  <c r="F144" i="39"/>
  <c r="H148" i="38"/>
  <c r="H148" i="39"/>
  <c r="G121" i="38"/>
  <c r="G121" i="39"/>
  <c r="J155" i="38"/>
  <c r="J155" i="39"/>
  <c r="G148" i="38"/>
  <c r="G148" i="39"/>
  <c r="H131" i="38"/>
  <c r="H131" i="39"/>
  <c r="F122" i="38"/>
  <c r="F122" i="39"/>
  <c r="J141" i="38"/>
  <c r="J141" i="39"/>
  <c r="F148" i="38"/>
  <c r="F148" i="39"/>
  <c r="K146" i="38"/>
  <c r="K146" i="39"/>
  <c r="I139" i="38"/>
  <c r="I139" i="39"/>
  <c r="E155" i="38"/>
  <c r="E155" i="39"/>
  <c r="E122" i="38"/>
  <c r="E122" i="39"/>
  <c r="B125" i="38"/>
  <c r="B125" i="39"/>
  <c r="B139" i="38"/>
  <c r="B139" i="39"/>
  <c r="B149" i="38"/>
  <c r="B149" i="39"/>
  <c r="G140" i="38"/>
  <c r="G140" i="39"/>
  <c r="D146" i="38"/>
  <c r="D146" i="39"/>
  <c r="F136" i="38"/>
  <c r="F136" i="39"/>
  <c r="J148" i="38"/>
  <c r="J148" i="39"/>
  <c r="K130" i="38"/>
  <c r="K130" i="39"/>
  <c r="B135" i="38"/>
  <c r="B135" i="39"/>
  <c r="B136" i="38"/>
  <c r="B136" i="39"/>
  <c r="B145" i="38"/>
  <c r="B145" i="39"/>
  <c r="E150" i="38"/>
  <c r="E150" i="39"/>
  <c r="I143" i="38"/>
  <c r="I143" i="39"/>
  <c r="C133" i="38"/>
  <c r="C133" i="39"/>
  <c r="E146" i="38"/>
  <c r="E146" i="39"/>
  <c r="C127" i="38"/>
  <c r="C127" i="39"/>
  <c r="D148" i="38"/>
  <c r="D148" i="39"/>
  <c r="D152" i="38"/>
  <c r="D152" i="39"/>
  <c r="C125" i="38"/>
  <c r="C125" i="39"/>
  <c r="D121" i="38"/>
  <c r="D121" i="39"/>
  <c r="D122" i="38"/>
  <c r="D122" i="39"/>
  <c r="F133" i="38"/>
  <c r="F133" i="39"/>
  <c r="H136" i="38"/>
  <c r="H136" i="39"/>
  <c r="K148" i="38"/>
  <c r="K148" i="39"/>
  <c r="G143" i="38"/>
  <c r="G143" i="39"/>
  <c r="D133" i="38"/>
  <c r="D133" i="39"/>
  <c r="J123" i="38"/>
  <c r="J123" i="39"/>
  <c r="D130" i="38"/>
  <c r="D130" i="39"/>
  <c r="F124" i="38"/>
  <c r="F124" i="39"/>
  <c r="D142" i="38"/>
  <c r="D142" i="39"/>
  <c r="J145" i="38"/>
  <c r="J149" i="38"/>
  <c r="J149" i="39"/>
  <c r="G149" i="38"/>
  <c r="G149" i="39"/>
  <c r="I155" i="38"/>
  <c r="I155" i="39"/>
  <c r="H142" i="38"/>
  <c r="H142" i="39"/>
  <c r="C148" i="38"/>
  <c r="C148" i="39"/>
  <c r="E141" i="38"/>
  <c r="E141" i="39"/>
  <c r="E130" i="38"/>
  <c r="E130" i="39"/>
  <c r="C131" i="38"/>
  <c r="C131" i="39"/>
  <c r="D123" i="38"/>
  <c r="D123" i="39"/>
  <c r="H155" i="38"/>
  <c r="H155" i="39"/>
  <c r="F146" i="38"/>
  <c r="F146" i="39"/>
  <c r="D141" i="38"/>
  <c r="D141" i="39"/>
  <c r="G134" i="38"/>
  <c r="G134" i="39"/>
  <c r="K136" i="38"/>
  <c r="K136" i="39"/>
  <c r="C122" i="38"/>
  <c r="C122" i="39"/>
  <c r="I134" i="38"/>
  <c r="I134" i="39"/>
  <c r="G130" i="38"/>
  <c r="G130" i="39"/>
  <c r="K139" i="38"/>
  <c r="K139" i="39"/>
  <c r="D131" i="38"/>
  <c r="D131" i="39"/>
  <c r="J130" i="38"/>
  <c r="J130" i="39"/>
  <c r="K121" i="38"/>
  <c r="K121" i="39"/>
  <c r="E126" i="38"/>
  <c r="E126" i="39"/>
  <c r="E134" i="38"/>
  <c r="E134" i="39"/>
  <c r="C128" i="38"/>
  <c r="C128" i="39"/>
  <c r="C134" i="38"/>
  <c r="C134" i="39"/>
  <c r="F123" i="38"/>
  <c r="F123" i="39"/>
  <c r="K145" i="38"/>
  <c r="K145" i="39"/>
  <c r="K154" i="38"/>
  <c r="K154" i="39"/>
  <c r="F131" i="38"/>
  <c r="F131" i="39"/>
  <c r="E149" i="38"/>
  <c r="E149" i="39"/>
  <c r="E137" i="38"/>
  <c r="E137" i="39"/>
  <c r="C154" i="38"/>
  <c r="C154" i="39"/>
  <c r="K141" i="38"/>
  <c r="K141" i="39"/>
  <c r="I130" i="38"/>
  <c r="I130" i="39"/>
  <c r="C144" i="38"/>
  <c r="C144" i="39"/>
  <c r="I136" i="38"/>
  <c r="I136" i="39"/>
  <c r="C130" i="38"/>
  <c r="C130" i="39"/>
  <c r="F139" i="38"/>
  <c r="F139" i="39"/>
  <c r="F130" i="38"/>
  <c r="F130" i="39"/>
  <c r="H123" i="38"/>
  <c r="H123" i="39"/>
  <c r="G151" i="38"/>
  <c r="G151" i="39"/>
  <c r="J136" i="38"/>
  <c r="J136" i="39"/>
  <c r="G155" i="38"/>
  <c r="G155" i="39"/>
  <c r="J139" i="38"/>
  <c r="J139" i="39"/>
  <c r="E123" i="38"/>
  <c r="E123" i="39"/>
  <c r="E136" i="38"/>
  <c r="E136" i="39"/>
  <c r="E121" i="38"/>
  <c r="E121" i="39"/>
  <c r="D134" i="38"/>
  <c r="D134" i="39"/>
  <c r="H139" i="38"/>
  <c r="H139" i="39"/>
  <c r="G146" i="38"/>
  <c r="G146" i="39"/>
  <c r="F132" i="38"/>
  <c r="F132" i="39"/>
  <c r="F127" i="38"/>
  <c r="F127" i="39"/>
  <c r="H121" i="38"/>
  <c r="H121" i="39"/>
  <c r="J125" i="38"/>
  <c r="J125" i="39"/>
  <c r="J127" i="38"/>
  <c r="J127" i="39"/>
  <c r="D155" i="38"/>
  <c r="D155" i="39"/>
  <c r="E139" i="38"/>
  <c r="E139" i="39"/>
  <c r="H130" i="38"/>
  <c r="H130" i="39"/>
  <c r="K155" i="38"/>
  <c r="K155" i="39"/>
  <c r="E142" i="38"/>
  <c r="E142" i="39"/>
  <c r="G123" i="38"/>
  <c r="G123" i="39"/>
  <c r="G122" i="38"/>
  <c r="G122" i="39"/>
  <c r="G144" i="38"/>
  <c r="G144" i="39"/>
  <c r="D177" i="8"/>
  <c r="E177" i="8"/>
  <c r="F177" i="8"/>
  <c r="G177" i="8"/>
  <c r="H177" i="8"/>
  <c r="I177" i="8"/>
  <c r="J177" i="8"/>
  <c r="K177" i="8"/>
  <c r="B140" i="8"/>
  <c r="C178" i="8"/>
  <c r="D178" i="8"/>
  <c r="E178" i="8"/>
  <c r="F178" i="8"/>
  <c r="G178" i="8"/>
  <c r="H178" i="8"/>
  <c r="I178" i="8"/>
  <c r="J178" i="8"/>
  <c r="K178" i="8"/>
  <c r="B141" i="8"/>
  <c r="C179" i="8"/>
  <c r="D179" i="8"/>
  <c r="E179" i="8"/>
  <c r="F179" i="8"/>
  <c r="G179" i="8"/>
  <c r="H179" i="8"/>
  <c r="I179" i="8"/>
  <c r="J179" i="8"/>
  <c r="K179" i="8"/>
  <c r="D180" i="8"/>
  <c r="E180" i="8"/>
  <c r="F180" i="8"/>
  <c r="G180" i="8"/>
  <c r="H180" i="8"/>
  <c r="I180" i="8"/>
  <c r="J180" i="8"/>
  <c r="K180" i="8"/>
  <c r="B143" i="8"/>
  <c r="C181" i="8"/>
  <c r="D181" i="8"/>
  <c r="E181" i="8"/>
  <c r="F181" i="8"/>
  <c r="G181" i="8"/>
  <c r="H181" i="8"/>
  <c r="I181" i="8"/>
  <c r="J181" i="8"/>
  <c r="K181" i="8"/>
  <c r="D182" i="8"/>
  <c r="E182" i="8"/>
  <c r="F182" i="8"/>
  <c r="G182" i="8"/>
  <c r="H182" i="8"/>
  <c r="I182" i="8"/>
  <c r="J182" i="8"/>
  <c r="K182" i="8"/>
  <c r="D183" i="8"/>
  <c r="E183" i="8"/>
  <c r="F183" i="8"/>
  <c r="G183" i="8"/>
  <c r="H183" i="8"/>
  <c r="I183" i="8"/>
  <c r="J183" i="8"/>
  <c r="J145" i="8"/>
  <c r="K183" i="8"/>
  <c r="D184" i="8"/>
  <c r="E184" i="8"/>
  <c r="F184" i="8"/>
  <c r="G184" i="8"/>
  <c r="H184" i="8"/>
  <c r="I184" i="8"/>
  <c r="J184" i="8"/>
  <c r="K184" i="8"/>
  <c r="K185" i="8"/>
  <c r="K220" i="8"/>
  <c r="K219" i="8"/>
  <c r="K215" i="8"/>
  <c r="K218" i="8"/>
  <c r="K221" i="8"/>
  <c r="K216" i="8"/>
  <c r="K217" i="8"/>
  <c r="K222" i="8"/>
  <c r="D187" i="8"/>
  <c r="E187" i="8"/>
  <c r="F187" i="8"/>
  <c r="G187" i="8"/>
  <c r="H187" i="8"/>
  <c r="I187" i="8"/>
  <c r="J187" i="8"/>
  <c r="K187" i="8"/>
  <c r="D188" i="8"/>
  <c r="E188" i="8"/>
  <c r="F188" i="8"/>
  <c r="G188" i="8"/>
  <c r="H188" i="8"/>
  <c r="I188" i="8"/>
  <c r="J188" i="8"/>
  <c r="K188" i="8"/>
  <c r="D189" i="8"/>
  <c r="E189" i="8"/>
  <c r="F189" i="8"/>
  <c r="G189" i="8"/>
  <c r="H189" i="8"/>
  <c r="I189" i="8"/>
  <c r="J189" i="8"/>
  <c r="K189" i="8"/>
  <c r="D190" i="8"/>
  <c r="E190" i="8"/>
  <c r="F190" i="8"/>
  <c r="G190" i="8"/>
  <c r="H190" i="8"/>
  <c r="I190" i="8"/>
  <c r="J190" i="8"/>
  <c r="K190" i="8"/>
  <c r="D191" i="8"/>
  <c r="E191" i="8"/>
  <c r="F191" i="8"/>
  <c r="G191" i="8"/>
  <c r="H191" i="8"/>
  <c r="I191" i="8"/>
  <c r="J191" i="8"/>
  <c r="K191" i="8"/>
  <c r="D192" i="8"/>
  <c r="E192" i="8"/>
  <c r="F192" i="8"/>
  <c r="G192" i="8"/>
  <c r="H192" i="8"/>
  <c r="I192" i="8"/>
  <c r="J192" i="8"/>
  <c r="K192" i="8"/>
  <c r="D193" i="8"/>
  <c r="E193" i="8"/>
  <c r="F193" i="8"/>
  <c r="G193" i="8"/>
  <c r="H193" i="8"/>
  <c r="I193" i="8"/>
  <c r="J193" i="8"/>
  <c r="K193" i="8"/>
  <c r="D194" i="8"/>
  <c r="E194" i="8"/>
  <c r="F194" i="8"/>
  <c r="G194" i="8"/>
  <c r="H194" i="8"/>
  <c r="I194" i="8"/>
  <c r="J194" i="8"/>
  <c r="K194" i="8"/>
  <c r="K195" i="8"/>
  <c r="K231" i="8"/>
  <c r="D167" i="8"/>
  <c r="E167" i="8"/>
  <c r="F167" i="8"/>
  <c r="G167" i="8"/>
  <c r="H167" i="8"/>
  <c r="I167" i="8"/>
  <c r="J167" i="8"/>
  <c r="K167" i="8"/>
  <c r="D168" i="8"/>
  <c r="E168" i="8"/>
  <c r="F168" i="8"/>
  <c r="G168" i="8"/>
  <c r="H168" i="8"/>
  <c r="I168" i="8"/>
  <c r="J168" i="8"/>
  <c r="K168" i="8"/>
  <c r="D169" i="8"/>
  <c r="E169" i="8"/>
  <c r="F169" i="8"/>
  <c r="G169" i="8"/>
  <c r="H169" i="8"/>
  <c r="I169" i="8"/>
  <c r="J169" i="8"/>
  <c r="K169" i="8"/>
  <c r="D170" i="8"/>
  <c r="E170" i="8"/>
  <c r="F170" i="8"/>
  <c r="G170" i="8"/>
  <c r="H170" i="8"/>
  <c r="I170" i="8"/>
  <c r="J170" i="8"/>
  <c r="K170" i="8"/>
  <c r="D171" i="8"/>
  <c r="E171" i="8"/>
  <c r="F171" i="8"/>
  <c r="G171" i="8"/>
  <c r="H171" i="8"/>
  <c r="I171" i="8"/>
  <c r="J171" i="8"/>
  <c r="K171" i="8"/>
  <c r="D172" i="8"/>
  <c r="E172" i="8"/>
  <c r="F172" i="8"/>
  <c r="G172" i="8"/>
  <c r="H172" i="8"/>
  <c r="I172" i="8"/>
  <c r="J172" i="8"/>
  <c r="K172" i="8"/>
  <c r="D173" i="8"/>
  <c r="E173" i="8"/>
  <c r="F173" i="8"/>
  <c r="G173" i="8"/>
  <c r="H173" i="8"/>
  <c r="I173" i="8"/>
  <c r="J173" i="8"/>
  <c r="K173" i="8"/>
  <c r="D174" i="8"/>
  <c r="E174" i="8"/>
  <c r="F174" i="8"/>
  <c r="G174" i="8"/>
  <c r="H174" i="8"/>
  <c r="I174" i="8"/>
  <c r="J174" i="8"/>
  <c r="K174" i="8"/>
  <c r="K175" i="8"/>
  <c r="K211" i="8"/>
  <c r="K213" i="8"/>
  <c r="K177" i="38"/>
  <c r="K178" i="38"/>
  <c r="K179" i="38"/>
  <c r="K180" i="38"/>
  <c r="K181" i="38"/>
  <c r="K182" i="38"/>
  <c r="K183" i="38"/>
  <c r="K184" i="38"/>
  <c r="K185" i="38"/>
  <c r="K185" i="39"/>
  <c r="D157" i="8"/>
  <c r="E157" i="8"/>
  <c r="F157" i="8"/>
  <c r="G157" i="8"/>
  <c r="H157" i="8"/>
  <c r="I157" i="8"/>
  <c r="J157" i="8"/>
  <c r="K157" i="8"/>
  <c r="D158" i="8"/>
  <c r="E158" i="8"/>
  <c r="F158" i="8"/>
  <c r="G158" i="8"/>
  <c r="H158" i="8"/>
  <c r="I158" i="8"/>
  <c r="J158" i="8"/>
  <c r="K158" i="8"/>
  <c r="D159" i="8"/>
  <c r="E159" i="8"/>
  <c r="F159" i="8"/>
  <c r="G159" i="8"/>
  <c r="H159" i="8"/>
  <c r="I159" i="8"/>
  <c r="J159" i="8"/>
  <c r="K159" i="8"/>
  <c r="D160" i="8"/>
  <c r="E160" i="8"/>
  <c r="F160" i="8"/>
  <c r="G160" i="8"/>
  <c r="H160" i="8"/>
  <c r="I160" i="8"/>
  <c r="J160" i="8"/>
  <c r="K160" i="8"/>
  <c r="D161" i="8"/>
  <c r="E161" i="8"/>
  <c r="F161" i="8"/>
  <c r="G161" i="8"/>
  <c r="H161" i="8"/>
  <c r="I161" i="8"/>
  <c r="J161" i="8"/>
  <c r="K161" i="8"/>
  <c r="D162" i="8"/>
  <c r="E162" i="8"/>
  <c r="F162" i="8"/>
  <c r="G162" i="8"/>
  <c r="H162" i="8"/>
  <c r="I162" i="8"/>
  <c r="J162" i="8"/>
  <c r="K162" i="8"/>
  <c r="D163" i="8"/>
  <c r="E163" i="8"/>
  <c r="F163" i="8"/>
  <c r="G163" i="8"/>
  <c r="H163" i="8"/>
  <c r="I163" i="8"/>
  <c r="J163" i="8"/>
  <c r="K163" i="8"/>
  <c r="D164" i="8"/>
  <c r="E164" i="8"/>
  <c r="F164" i="8"/>
  <c r="G164" i="8"/>
  <c r="H164" i="8"/>
  <c r="I164" i="8"/>
  <c r="J164" i="8"/>
  <c r="K164" i="8"/>
  <c r="K165" i="8"/>
  <c r="K198" i="8"/>
  <c r="K224" i="8"/>
  <c r="K208" i="8"/>
  <c r="K227" i="8"/>
  <c r="K226" i="8"/>
  <c r="K203" i="8"/>
  <c r="K197" i="8"/>
  <c r="K200" i="8"/>
  <c r="K201" i="8"/>
  <c r="K210" i="8"/>
  <c r="K206" i="8"/>
  <c r="K204" i="8"/>
  <c r="K228" i="8"/>
  <c r="K225" i="8"/>
  <c r="K209" i="8"/>
  <c r="K230" i="8"/>
  <c r="K212" i="8"/>
  <c r="K199" i="8"/>
  <c r="K202" i="8"/>
  <c r="K207" i="8"/>
  <c r="K229" i="8"/>
  <c r="K167" i="38"/>
  <c r="K168" i="38"/>
  <c r="K169" i="38"/>
  <c r="K170" i="38"/>
  <c r="K171" i="38"/>
  <c r="K172" i="38"/>
  <c r="K173" i="38"/>
  <c r="K174" i="38"/>
  <c r="K175" i="38"/>
  <c r="K175" i="39"/>
  <c r="K187" i="38"/>
  <c r="K188" i="38"/>
  <c r="K189" i="38"/>
  <c r="K190" i="38"/>
  <c r="K191" i="38"/>
  <c r="K192" i="38"/>
  <c r="K193" i="38"/>
  <c r="K194" i="38"/>
  <c r="K195" i="38"/>
  <c r="K195" i="39"/>
  <c r="K162" i="38"/>
  <c r="K162" i="39"/>
  <c r="J165" i="8"/>
  <c r="J202" i="8"/>
  <c r="J197" i="8"/>
  <c r="J185" i="8"/>
  <c r="J222" i="8"/>
  <c r="J175" i="8"/>
  <c r="J207" i="8"/>
  <c r="K157" i="38"/>
  <c r="K158" i="38"/>
  <c r="K159" i="38"/>
  <c r="K160" i="38"/>
  <c r="K161" i="38"/>
  <c r="K163" i="38"/>
  <c r="K164" i="38"/>
  <c r="K165" i="38"/>
  <c r="K165" i="39"/>
  <c r="J195" i="8"/>
  <c r="J228" i="8"/>
  <c r="J231" i="8"/>
  <c r="J203" i="8"/>
  <c r="J221" i="8"/>
  <c r="J209" i="8"/>
  <c r="K178" i="39"/>
  <c r="K180" i="39"/>
  <c r="J225" i="8"/>
  <c r="J229" i="8"/>
  <c r="J199" i="8"/>
  <c r="J220" i="8"/>
  <c r="J208" i="8"/>
  <c r="J211" i="8"/>
  <c r="K182" i="39"/>
  <c r="K164" i="39"/>
  <c r="K190" i="39"/>
  <c r="K181" i="39"/>
  <c r="J224" i="8"/>
  <c r="J198" i="8"/>
  <c r="J217" i="8"/>
  <c r="J216" i="8"/>
  <c r="J213" i="8"/>
  <c r="J230" i="8"/>
  <c r="J204" i="8"/>
  <c r="J201" i="8"/>
  <c r="J218" i="8"/>
  <c r="J219" i="8"/>
  <c r="J212" i="8"/>
  <c r="K191" i="39"/>
  <c r="J227" i="8"/>
  <c r="J210" i="8"/>
  <c r="J206" i="8"/>
  <c r="J226" i="8"/>
  <c r="J200" i="8"/>
  <c r="J215" i="8"/>
  <c r="K160" i="39"/>
  <c r="K174" i="39"/>
  <c r="K159" i="39"/>
  <c r="K189" i="39"/>
  <c r="I195" i="8"/>
  <c r="I226" i="8"/>
  <c r="H185" i="8"/>
  <c r="H218" i="8"/>
  <c r="I175" i="8"/>
  <c r="I208" i="8"/>
  <c r="I165" i="8"/>
  <c r="I200" i="8"/>
  <c r="J180" i="38"/>
  <c r="J180" i="39"/>
  <c r="K177" i="39"/>
  <c r="H195" i="8"/>
  <c r="H226" i="8"/>
  <c r="J190" i="38"/>
  <c r="J190" i="39"/>
  <c r="K167" i="39"/>
  <c r="J178" i="38"/>
  <c r="J178" i="39"/>
  <c r="K194" i="39"/>
  <c r="I225" i="8"/>
  <c r="I185" i="8"/>
  <c r="I215" i="8"/>
  <c r="I217" i="8"/>
  <c r="H221" i="8"/>
  <c r="J174" i="38"/>
  <c r="J174" i="39"/>
  <c r="H165" i="8"/>
  <c r="H201" i="8"/>
  <c r="H204" i="8"/>
  <c r="I210" i="8"/>
  <c r="H175" i="8"/>
  <c r="H207" i="8"/>
  <c r="H210" i="8"/>
  <c r="H229" i="8"/>
  <c r="J179" i="38"/>
  <c r="J179" i="39"/>
  <c r="K179" i="39"/>
  <c r="H212" i="8"/>
  <c r="I228" i="8"/>
  <c r="I227" i="8"/>
  <c r="J181" i="38"/>
  <c r="J181" i="39"/>
  <c r="I211" i="8"/>
  <c r="I198" i="8"/>
  <c r="H225" i="8"/>
  <c r="I224" i="8"/>
  <c r="J164" i="38"/>
  <c r="J164" i="39"/>
  <c r="H219" i="8"/>
  <c r="H217" i="8"/>
  <c r="H199" i="8"/>
  <c r="H197" i="8"/>
  <c r="I206" i="8"/>
  <c r="I197" i="8"/>
  <c r="H211" i="8"/>
  <c r="H227" i="8"/>
  <c r="K192" i="39"/>
  <c r="I221" i="8"/>
  <c r="I219" i="8"/>
  <c r="H222" i="8"/>
  <c r="H200" i="8"/>
  <c r="K157" i="39"/>
  <c r="I212" i="8"/>
  <c r="I201" i="8"/>
  <c r="H231" i="8"/>
  <c r="J169" i="38"/>
  <c r="J169" i="39"/>
  <c r="K169" i="39"/>
  <c r="J182" i="38"/>
  <c r="J182" i="39"/>
  <c r="I199" i="8"/>
  <c r="J162" i="38"/>
  <c r="J162" i="39"/>
  <c r="H208" i="8"/>
  <c r="H209" i="8"/>
  <c r="I230" i="8"/>
  <c r="I229" i="8"/>
  <c r="I218" i="8"/>
  <c r="J191" i="38"/>
  <c r="J191" i="39"/>
  <c r="H215" i="8"/>
  <c r="H230" i="8"/>
  <c r="H224" i="8"/>
  <c r="K173" i="39"/>
  <c r="K187" i="39"/>
  <c r="I220" i="8"/>
  <c r="H220" i="8"/>
  <c r="H198" i="8"/>
  <c r="H203" i="8"/>
  <c r="J160" i="38"/>
  <c r="J160" i="39"/>
  <c r="I207" i="8"/>
  <c r="I209" i="8"/>
  <c r="I204" i="8"/>
  <c r="H206" i="8"/>
  <c r="J184" i="38"/>
  <c r="J184" i="39"/>
  <c r="K184" i="39"/>
  <c r="I231" i="8"/>
  <c r="I216" i="8"/>
  <c r="I222" i="8"/>
  <c r="H216" i="8"/>
  <c r="H202" i="8"/>
  <c r="I213" i="8"/>
  <c r="I202" i="8"/>
  <c r="I203" i="8"/>
  <c r="H213" i="8"/>
  <c r="H228" i="8"/>
  <c r="J167" i="38"/>
  <c r="J168" i="38"/>
  <c r="J170" i="38"/>
  <c r="J171" i="38"/>
  <c r="J172" i="38"/>
  <c r="J173" i="38"/>
  <c r="J175" i="38"/>
  <c r="J175" i="39"/>
  <c r="J177" i="38"/>
  <c r="J183" i="38"/>
  <c r="J185" i="38"/>
  <c r="J185" i="39"/>
  <c r="J157" i="38"/>
  <c r="J158" i="38"/>
  <c r="J159" i="38"/>
  <c r="J161" i="38"/>
  <c r="J163" i="38"/>
  <c r="J165" i="38"/>
  <c r="J165" i="39"/>
  <c r="J187" i="38"/>
  <c r="J188" i="38"/>
  <c r="J189" i="38"/>
  <c r="J192" i="38"/>
  <c r="J193" i="38"/>
  <c r="J194" i="38"/>
  <c r="J195" i="38"/>
  <c r="J195" i="39"/>
  <c r="K163" i="39"/>
  <c r="K193" i="39"/>
  <c r="K171" i="39"/>
  <c r="K158" i="39"/>
  <c r="K170" i="39"/>
  <c r="K161" i="39"/>
  <c r="K188" i="39"/>
  <c r="J188" i="39"/>
  <c r="J161" i="39"/>
  <c r="G165" i="8"/>
  <c r="G198" i="8"/>
  <c r="G195" i="8"/>
  <c r="G224" i="8"/>
  <c r="G227" i="8"/>
  <c r="G185" i="8"/>
  <c r="G219" i="8"/>
  <c r="I178" i="38"/>
  <c r="I178" i="39"/>
  <c r="G197" i="8"/>
  <c r="I169" i="38"/>
  <c r="I169" i="39"/>
  <c r="J163" i="39"/>
  <c r="G221" i="8"/>
  <c r="J167" i="39"/>
  <c r="I190" i="38"/>
  <c r="I190" i="39"/>
  <c r="J170" i="39"/>
  <c r="H187" i="38"/>
  <c r="H188" i="38"/>
  <c r="H189" i="38"/>
  <c r="H190" i="38"/>
  <c r="H191" i="38"/>
  <c r="H192" i="38"/>
  <c r="H193" i="38"/>
  <c r="H194" i="38"/>
  <c r="H195" i="38"/>
  <c r="H195" i="39"/>
  <c r="J177" i="39"/>
  <c r="G201" i="8"/>
  <c r="I184" i="38"/>
  <c r="I184" i="39"/>
  <c r="H167" i="38"/>
  <c r="H168" i="38"/>
  <c r="H169" i="38"/>
  <c r="H170" i="38"/>
  <c r="H171" i="38"/>
  <c r="H172" i="38"/>
  <c r="H173" i="38"/>
  <c r="H174" i="38"/>
  <c r="H175" i="38"/>
  <c r="H175" i="39"/>
  <c r="G231" i="8"/>
  <c r="G230" i="8"/>
  <c r="J173" i="39"/>
  <c r="J158" i="39"/>
  <c r="I180" i="38"/>
  <c r="I180" i="39"/>
  <c r="I179" i="38"/>
  <c r="I179" i="39"/>
  <c r="I162" i="38"/>
  <c r="I162" i="39"/>
  <c r="I157" i="38"/>
  <c r="I158" i="38"/>
  <c r="I159" i="38"/>
  <c r="I160" i="38"/>
  <c r="I161" i="38"/>
  <c r="I163" i="38"/>
  <c r="I164" i="38"/>
  <c r="I165" i="38"/>
  <c r="I165" i="39"/>
  <c r="G229" i="8"/>
  <c r="G217" i="8"/>
  <c r="I182" i="38"/>
  <c r="I182" i="39"/>
  <c r="G218" i="8"/>
  <c r="G215" i="8"/>
  <c r="I167" i="38"/>
  <c r="I168" i="38"/>
  <c r="I170" i="38"/>
  <c r="I171" i="38"/>
  <c r="I172" i="38"/>
  <c r="I173" i="38"/>
  <c r="I174" i="38"/>
  <c r="I175" i="38"/>
  <c r="I175" i="39"/>
  <c r="J192" i="39"/>
  <c r="J171" i="39"/>
  <c r="J157" i="39"/>
  <c r="J193" i="39"/>
  <c r="G202" i="8"/>
  <c r="J189" i="39"/>
  <c r="G225" i="8"/>
  <c r="G216" i="8"/>
  <c r="G220" i="8"/>
  <c r="I160" i="39"/>
  <c r="H157" i="38"/>
  <c r="H158" i="38"/>
  <c r="H159" i="38"/>
  <c r="H160" i="38"/>
  <c r="H161" i="38"/>
  <c r="H162" i="38"/>
  <c r="H163" i="38"/>
  <c r="H164" i="38"/>
  <c r="H165" i="38"/>
  <c r="H165" i="39"/>
  <c r="K183" i="39"/>
  <c r="J183" i="39"/>
  <c r="G199" i="8"/>
  <c r="G228" i="8"/>
  <c r="G222" i="8"/>
  <c r="I174" i="39"/>
  <c r="J194" i="39"/>
  <c r="H177" i="38"/>
  <c r="H178" i="38"/>
  <c r="H179" i="38"/>
  <c r="H180" i="38"/>
  <c r="H181" i="38"/>
  <c r="H182" i="38"/>
  <c r="H183" i="38"/>
  <c r="H184" i="38"/>
  <c r="H185" i="38"/>
  <c r="H185" i="39"/>
  <c r="G200" i="8"/>
  <c r="I191" i="38"/>
  <c r="I191" i="39"/>
  <c r="I177" i="38"/>
  <c r="I181" i="38"/>
  <c r="I183" i="38"/>
  <c r="I185" i="38"/>
  <c r="I185" i="39"/>
  <c r="G204" i="8"/>
  <c r="G203" i="8"/>
  <c r="I181" i="39"/>
  <c r="G226" i="8"/>
  <c r="K172" i="39"/>
  <c r="J172" i="39"/>
  <c r="J187" i="39"/>
  <c r="I164" i="39"/>
  <c r="K168" i="39"/>
  <c r="J168" i="39"/>
  <c r="J159" i="39"/>
  <c r="I187" i="38"/>
  <c r="I188" i="38"/>
  <c r="I189" i="38"/>
  <c r="I192" i="38"/>
  <c r="I193" i="38"/>
  <c r="I194" i="38"/>
  <c r="I195" i="38"/>
  <c r="I195" i="39"/>
  <c r="G175" i="8"/>
  <c r="G211" i="8"/>
  <c r="I193" i="39"/>
  <c r="I157" i="39"/>
  <c r="I177" i="39"/>
  <c r="F185" i="8"/>
  <c r="F216" i="8"/>
  <c r="H191" i="39"/>
  <c r="H162" i="39"/>
  <c r="F221" i="8"/>
  <c r="G210" i="8"/>
  <c r="I171" i="39"/>
  <c r="H160" i="39"/>
  <c r="I170" i="39"/>
  <c r="I194" i="39"/>
  <c r="I192" i="39"/>
  <c r="F218" i="8"/>
  <c r="F222" i="8"/>
  <c r="I159" i="39"/>
  <c r="I168" i="39"/>
  <c r="H190" i="39"/>
  <c r="F215" i="8"/>
  <c r="H179" i="39"/>
  <c r="H164" i="39"/>
  <c r="G209" i="8"/>
  <c r="H178" i="39"/>
  <c r="I167" i="39"/>
  <c r="I187" i="39"/>
  <c r="H180" i="39"/>
  <c r="I172" i="39"/>
  <c r="F220" i="8"/>
  <c r="I158" i="39"/>
  <c r="H174" i="39"/>
  <c r="G177" i="38"/>
  <c r="G178" i="38"/>
  <c r="G179" i="38"/>
  <c r="G180" i="38"/>
  <c r="G181" i="38"/>
  <c r="G182" i="38"/>
  <c r="G183" i="38"/>
  <c r="G184" i="38"/>
  <c r="G185" i="38"/>
  <c r="G185" i="39"/>
  <c r="F217" i="8"/>
  <c r="I173" i="39"/>
  <c r="G187" i="38"/>
  <c r="G188" i="38"/>
  <c r="G189" i="38"/>
  <c r="G190" i="38"/>
  <c r="G191" i="38"/>
  <c r="G192" i="38"/>
  <c r="G193" i="38"/>
  <c r="G194" i="38"/>
  <c r="G195" i="38"/>
  <c r="G195" i="39"/>
  <c r="G207" i="8"/>
  <c r="H184" i="39"/>
  <c r="I189" i="39"/>
  <c r="H181" i="39"/>
  <c r="H182" i="39"/>
  <c r="F219" i="8"/>
  <c r="G208" i="8"/>
  <c r="I163" i="39"/>
  <c r="G206" i="8"/>
  <c r="H169" i="39"/>
  <c r="G157" i="38"/>
  <c r="G158" i="38"/>
  <c r="G159" i="38"/>
  <c r="G160" i="38"/>
  <c r="G161" i="38"/>
  <c r="G162" i="38"/>
  <c r="G163" i="38"/>
  <c r="G164" i="38"/>
  <c r="G165" i="38"/>
  <c r="G165" i="39"/>
  <c r="I161" i="39"/>
  <c r="I183" i="39"/>
  <c r="G212" i="8"/>
  <c r="G213" i="8"/>
  <c r="I188" i="39"/>
  <c r="F165" i="8"/>
  <c r="F197" i="8"/>
  <c r="F202" i="8"/>
  <c r="F203" i="8"/>
  <c r="F195" i="8"/>
  <c r="F226" i="8"/>
  <c r="F231" i="8"/>
  <c r="E175" i="8"/>
  <c r="E210" i="8"/>
  <c r="H183" i="39"/>
  <c r="H188" i="39"/>
  <c r="G174" i="38"/>
  <c r="G174" i="39"/>
  <c r="F198" i="8"/>
  <c r="F200" i="8"/>
  <c r="F224" i="8"/>
  <c r="F229" i="8"/>
  <c r="H159" i="39"/>
  <c r="H158" i="39"/>
  <c r="E211" i="8"/>
  <c r="E206" i="8"/>
  <c r="H173" i="39"/>
  <c r="F175" i="8"/>
  <c r="F211" i="8"/>
  <c r="F177" i="38"/>
  <c r="F178" i="38"/>
  <c r="F179" i="38"/>
  <c r="F180" i="38"/>
  <c r="F181" i="38"/>
  <c r="F182" i="38"/>
  <c r="F183" i="38"/>
  <c r="F184" i="38"/>
  <c r="F185" i="38"/>
  <c r="F185" i="39"/>
  <c r="H192" i="39"/>
  <c r="G182" i="39"/>
  <c r="E207" i="8"/>
  <c r="G181" i="39"/>
  <c r="G164" i="39"/>
  <c r="H172" i="39"/>
  <c r="H161" i="39"/>
  <c r="F208" i="8"/>
  <c r="H194" i="39"/>
  <c r="G180" i="39"/>
  <c r="G179" i="39"/>
  <c r="F230" i="8"/>
  <c r="E208" i="8"/>
  <c r="H189" i="39"/>
  <c r="H177" i="39"/>
  <c r="H170" i="39"/>
  <c r="F207" i="8"/>
  <c r="H187" i="39"/>
  <c r="G190" i="39"/>
  <c r="F201" i="8"/>
  <c r="F225" i="8"/>
  <c r="H168" i="39"/>
  <c r="H167" i="39"/>
  <c r="F210" i="8"/>
  <c r="G169" i="38"/>
  <c r="G169" i="39"/>
  <c r="G160" i="39"/>
  <c r="H157" i="39"/>
  <c r="F204" i="8"/>
  <c r="E212" i="8"/>
  <c r="H163" i="39"/>
  <c r="F213" i="8"/>
  <c r="G162" i="39"/>
  <c r="E209" i="8"/>
  <c r="H193" i="39"/>
  <c r="F206" i="8"/>
  <c r="F209" i="8"/>
  <c r="F199" i="8"/>
  <c r="F227" i="8"/>
  <c r="F228" i="8"/>
  <c r="E213" i="8"/>
  <c r="G178" i="39"/>
  <c r="H171" i="39"/>
  <c r="F212" i="8"/>
  <c r="G191" i="39"/>
  <c r="G184" i="39"/>
  <c r="G167" i="38"/>
  <c r="G168" i="38"/>
  <c r="G170" i="38"/>
  <c r="G171" i="38"/>
  <c r="G172" i="38"/>
  <c r="G173" i="38"/>
  <c r="G175" i="38"/>
  <c r="G175" i="39"/>
  <c r="H459" i="8"/>
  <c r="H567" i="8"/>
  <c r="H567" i="38"/>
  <c r="H567" i="39"/>
  <c r="D195" i="8"/>
  <c r="D226" i="8"/>
  <c r="G157" i="39"/>
  <c r="E195" i="8"/>
  <c r="E225" i="8"/>
  <c r="E230" i="8"/>
  <c r="F190" i="38"/>
  <c r="F190" i="39"/>
  <c r="F184" i="39"/>
  <c r="F179" i="39"/>
  <c r="E165" i="8"/>
  <c r="E199" i="8"/>
  <c r="E201" i="8"/>
  <c r="F160" i="38"/>
  <c r="F160" i="39"/>
  <c r="G192" i="39"/>
  <c r="D175" i="8"/>
  <c r="D211" i="8"/>
  <c r="E185" i="8"/>
  <c r="E216" i="8"/>
  <c r="B455" i="8"/>
  <c r="B563" i="8"/>
  <c r="B563" i="38"/>
  <c r="B563" i="39"/>
  <c r="I452" i="8"/>
  <c r="I560" i="8"/>
  <c r="I560" i="38"/>
  <c r="I560" i="39"/>
  <c r="F458" i="8"/>
  <c r="F566" i="8"/>
  <c r="F566" i="38"/>
  <c r="F566" i="39"/>
  <c r="J452" i="8"/>
  <c r="J560" i="8"/>
  <c r="J560" i="38"/>
  <c r="J560" i="39"/>
  <c r="D225" i="8"/>
  <c r="F180" i="39"/>
  <c r="E197" i="8"/>
  <c r="D212" i="8"/>
  <c r="E219" i="8"/>
  <c r="F169" i="38"/>
  <c r="F169" i="39"/>
  <c r="F191" i="38"/>
  <c r="F191" i="39"/>
  <c r="K457" i="8"/>
  <c r="K565" i="8"/>
  <c r="K565" i="38"/>
  <c r="K565" i="39"/>
  <c r="E454" i="8"/>
  <c r="E562" i="8"/>
  <c r="E562" i="38"/>
  <c r="E562" i="39"/>
  <c r="D459" i="8"/>
  <c r="D567" i="8"/>
  <c r="D567" i="38"/>
  <c r="D567" i="39"/>
  <c r="G455" i="8"/>
  <c r="G563" i="8"/>
  <c r="G563" i="38"/>
  <c r="G563" i="39"/>
  <c r="F456" i="8"/>
  <c r="F564" i="8"/>
  <c r="F564" i="38"/>
  <c r="F564" i="39"/>
  <c r="E228" i="8"/>
  <c r="G187" i="39"/>
  <c r="F162" i="38"/>
  <c r="F162" i="39"/>
  <c r="F174" i="38"/>
  <c r="F174" i="39"/>
  <c r="D206" i="8"/>
  <c r="G188" i="39"/>
  <c r="G194" i="39"/>
  <c r="F167" i="38"/>
  <c r="F168" i="38"/>
  <c r="F170" i="38"/>
  <c r="F171" i="38"/>
  <c r="F172" i="38"/>
  <c r="F173" i="38"/>
  <c r="F175" i="38"/>
  <c r="F175" i="39"/>
  <c r="G170" i="39"/>
  <c r="G171" i="39"/>
  <c r="C452" i="8"/>
  <c r="C560" i="8"/>
  <c r="C560" i="38"/>
  <c r="C560" i="39"/>
  <c r="I453" i="8"/>
  <c r="I561" i="8"/>
  <c r="I561" i="38"/>
  <c r="I561" i="39"/>
  <c r="F457" i="8"/>
  <c r="F565" i="8"/>
  <c r="F565" i="38"/>
  <c r="F565" i="39"/>
  <c r="I455" i="8"/>
  <c r="I563" i="8"/>
  <c r="I563" i="38"/>
  <c r="I563" i="39"/>
  <c r="G161" i="39"/>
  <c r="G177" i="39"/>
  <c r="E203" i="8"/>
  <c r="E200" i="8"/>
  <c r="D208" i="8"/>
  <c r="D213" i="8"/>
  <c r="E221" i="8"/>
  <c r="G172" i="39"/>
  <c r="G189" i="39"/>
  <c r="G193" i="39"/>
  <c r="F164" i="38"/>
  <c r="F164" i="39"/>
  <c r="G167" i="39"/>
  <c r="G163" i="39"/>
  <c r="H458" i="8"/>
  <c r="H566" i="8"/>
  <c r="H566" i="38"/>
  <c r="H566" i="39"/>
  <c r="F459" i="8"/>
  <c r="F567" i="8"/>
  <c r="F567" i="38"/>
  <c r="F567" i="39"/>
  <c r="K455" i="8"/>
  <c r="K563" i="8"/>
  <c r="K563" i="38"/>
  <c r="K563" i="39"/>
  <c r="I456" i="8"/>
  <c r="I564" i="8"/>
  <c r="I564" i="38"/>
  <c r="I564" i="39"/>
  <c r="G453" i="8"/>
  <c r="G561" i="8"/>
  <c r="G561" i="38"/>
  <c r="G561" i="39"/>
  <c r="G458" i="8"/>
  <c r="G566" i="8"/>
  <c r="G566" i="38"/>
  <c r="G566" i="39"/>
  <c r="D224" i="8"/>
  <c r="F178" i="39"/>
  <c r="G173" i="39"/>
  <c r="D210" i="8"/>
  <c r="E220" i="8"/>
  <c r="E215" i="8"/>
  <c r="C459" i="8"/>
  <c r="C567" i="8"/>
  <c r="C567" i="38"/>
  <c r="C567" i="39"/>
  <c r="D231" i="8"/>
  <c r="E227" i="8"/>
  <c r="G183" i="39"/>
  <c r="F181" i="39"/>
  <c r="E204" i="8"/>
  <c r="E218" i="8"/>
  <c r="E167" i="38"/>
  <c r="E168" i="38"/>
  <c r="E169" i="38"/>
  <c r="E170" i="38"/>
  <c r="E171" i="38"/>
  <c r="E172" i="38"/>
  <c r="E173" i="38"/>
  <c r="E174" i="38"/>
  <c r="E175" i="38"/>
  <c r="E175" i="39"/>
  <c r="G158" i="39"/>
  <c r="F182" i="39"/>
  <c r="K453" i="8"/>
  <c r="K561" i="8"/>
  <c r="K561" i="38"/>
  <c r="K561" i="39"/>
  <c r="J459" i="8"/>
  <c r="J567" i="8"/>
  <c r="J567" i="38"/>
  <c r="J567" i="39"/>
  <c r="K459" i="8"/>
  <c r="K567" i="8"/>
  <c r="K567" i="38"/>
  <c r="K567" i="39"/>
  <c r="D227" i="8"/>
  <c r="D230" i="8"/>
  <c r="E224" i="8"/>
  <c r="E229" i="8"/>
  <c r="G159" i="39"/>
  <c r="E198" i="8"/>
  <c r="D207" i="8"/>
  <c r="E217" i="8"/>
  <c r="G168" i="39"/>
  <c r="F454" i="8"/>
  <c r="F562" i="8"/>
  <c r="F562" i="38"/>
  <c r="F562" i="39"/>
  <c r="C456" i="8"/>
  <c r="C564" i="8"/>
  <c r="C564" i="38"/>
  <c r="C564" i="39"/>
  <c r="C453" i="8"/>
  <c r="C561" i="8"/>
  <c r="C561" i="38"/>
  <c r="C561" i="39"/>
  <c r="D228" i="8"/>
  <c r="D229" i="8"/>
  <c r="E226" i="8"/>
  <c r="E231" i="8"/>
  <c r="E202" i="8"/>
  <c r="D209" i="8"/>
  <c r="E222" i="8"/>
  <c r="F187" i="38"/>
  <c r="F188" i="38"/>
  <c r="F189" i="38"/>
  <c r="F192" i="38"/>
  <c r="F193" i="38"/>
  <c r="F194" i="38"/>
  <c r="F195" i="38"/>
  <c r="F195" i="39"/>
  <c r="F157" i="38"/>
  <c r="F158" i="38"/>
  <c r="F159" i="38"/>
  <c r="F161" i="38"/>
  <c r="F163" i="38"/>
  <c r="F165" i="38"/>
  <c r="F165" i="39"/>
  <c r="K452" i="8"/>
  <c r="K560" i="8"/>
  <c r="K560" i="38"/>
  <c r="K560" i="39"/>
  <c r="I457" i="8"/>
  <c r="I565" i="8"/>
  <c r="I565" i="38"/>
  <c r="I565" i="39"/>
  <c r="H430" i="8"/>
  <c r="H538" i="8"/>
  <c r="H538" i="38"/>
  <c r="H538" i="39"/>
  <c r="C455" i="8"/>
  <c r="C563" i="8"/>
  <c r="C563" i="38"/>
  <c r="C563" i="39"/>
  <c r="J456" i="8"/>
  <c r="J564" i="8"/>
  <c r="J564" i="38"/>
  <c r="J564" i="39"/>
  <c r="E457" i="8"/>
  <c r="E565" i="8"/>
  <c r="E565" i="38"/>
  <c r="E565" i="39"/>
  <c r="B453" i="8"/>
  <c r="B561" i="8"/>
  <c r="B561" i="38"/>
  <c r="B561" i="39"/>
  <c r="D457" i="8"/>
  <c r="D565" i="8"/>
  <c r="D565" i="38"/>
  <c r="D565" i="39"/>
  <c r="D456" i="8"/>
  <c r="D564" i="8"/>
  <c r="D564" i="38"/>
  <c r="D564" i="39"/>
  <c r="E456" i="8"/>
  <c r="E564" i="8"/>
  <c r="E564" i="38"/>
  <c r="E564" i="39"/>
  <c r="D453" i="8"/>
  <c r="D561" i="8"/>
  <c r="D561" i="38"/>
  <c r="D561" i="39"/>
  <c r="H454" i="8"/>
  <c r="H562" i="8"/>
  <c r="H562" i="38"/>
  <c r="H562" i="39"/>
  <c r="F171" i="39"/>
  <c r="F170" i="39"/>
  <c r="F193" i="39"/>
  <c r="C185" i="8"/>
  <c r="C221" i="8"/>
  <c r="C222" i="8"/>
  <c r="F189" i="39"/>
  <c r="F163" i="39"/>
  <c r="F167" i="39"/>
  <c r="F168" i="39"/>
  <c r="E191" i="38"/>
  <c r="E191" i="39"/>
  <c r="F194" i="39"/>
  <c r="E182" i="38"/>
  <c r="E182" i="39"/>
  <c r="C215" i="8"/>
  <c r="C218" i="8"/>
  <c r="E169" i="39"/>
  <c r="F158" i="39"/>
  <c r="D165" i="8"/>
  <c r="D204" i="8"/>
  <c r="E164" i="38"/>
  <c r="E164" i="39"/>
  <c r="C220" i="8"/>
  <c r="D185" i="8"/>
  <c r="D222" i="8"/>
  <c r="D221" i="8"/>
  <c r="F172" i="39"/>
  <c r="D202" i="8"/>
  <c r="D201" i="8"/>
  <c r="D203" i="8"/>
  <c r="E177" i="38"/>
  <c r="E178" i="38"/>
  <c r="E179" i="38"/>
  <c r="E180" i="38"/>
  <c r="E181" i="38"/>
  <c r="E183" i="38"/>
  <c r="E184" i="38"/>
  <c r="E185" i="38"/>
  <c r="E185" i="39"/>
  <c r="F188" i="39"/>
  <c r="D199" i="8"/>
  <c r="D167" i="38"/>
  <c r="D168" i="38"/>
  <c r="D169" i="38"/>
  <c r="D170" i="38"/>
  <c r="D171" i="38"/>
  <c r="D172" i="38"/>
  <c r="D173" i="38"/>
  <c r="D174" i="38"/>
  <c r="D175" i="38"/>
  <c r="D175" i="39"/>
  <c r="D215" i="8"/>
  <c r="D217" i="8"/>
  <c r="F192" i="39"/>
  <c r="B449" i="8"/>
  <c r="B557" i="8"/>
  <c r="B557" i="38"/>
  <c r="B557" i="39"/>
  <c r="G457" i="8"/>
  <c r="G565" i="8"/>
  <c r="G565" i="38"/>
  <c r="G565" i="39"/>
  <c r="G456" i="8"/>
  <c r="G564" i="8"/>
  <c r="G564" i="38"/>
  <c r="G564" i="39"/>
  <c r="B456" i="8"/>
  <c r="B564" i="8"/>
  <c r="B564" i="38"/>
  <c r="B564" i="39"/>
  <c r="I459" i="8"/>
  <c r="I567" i="8"/>
  <c r="I567" i="38"/>
  <c r="I567" i="39"/>
  <c r="E455" i="8"/>
  <c r="E563" i="8"/>
  <c r="E563" i="38"/>
  <c r="E563" i="39"/>
  <c r="E452" i="8"/>
  <c r="E560" i="8"/>
  <c r="E560" i="38"/>
  <c r="E560" i="39"/>
  <c r="H455" i="8"/>
  <c r="H563" i="8"/>
  <c r="H563" i="38"/>
  <c r="H563" i="39"/>
  <c r="K454" i="8"/>
  <c r="K562" i="8"/>
  <c r="K562" i="38"/>
  <c r="K562" i="39"/>
  <c r="G459" i="8"/>
  <c r="G567" i="8"/>
  <c r="G567" i="38"/>
  <c r="G567" i="39"/>
  <c r="F455" i="8"/>
  <c r="F563" i="8"/>
  <c r="F563" i="38"/>
  <c r="F563" i="39"/>
  <c r="J455" i="8"/>
  <c r="J563" i="8"/>
  <c r="J563" i="38"/>
  <c r="J563" i="39"/>
  <c r="J453" i="8"/>
  <c r="J561" i="8"/>
  <c r="J561" i="38"/>
  <c r="J561" i="39"/>
  <c r="J454" i="8"/>
  <c r="J562" i="8"/>
  <c r="J562" i="38"/>
  <c r="J562" i="39"/>
  <c r="H457" i="8"/>
  <c r="H565" i="8"/>
  <c r="H565" i="38"/>
  <c r="H565" i="39"/>
  <c r="I458" i="8"/>
  <c r="I566" i="8"/>
  <c r="I566" i="38"/>
  <c r="I566" i="39"/>
  <c r="E458" i="8"/>
  <c r="E566" i="8"/>
  <c r="E566" i="38"/>
  <c r="E566" i="39"/>
  <c r="D452" i="8"/>
  <c r="D560" i="8"/>
  <c r="D560" i="38"/>
  <c r="D560" i="39"/>
  <c r="B458" i="8"/>
  <c r="B566" i="8"/>
  <c r="B566" i="38"/>
  <c r="B566" i="39"/>
  <c r="D454" i="8"/>
  <c r="D562" i="8"/>
  <c r="D562" i="38"/>
  <c r="D562" i="39"/>
  <c r="K458" i="8"/>
  <c r="K566" i="8"/>
  <c r="K566" i="38"/>
  <c r="K566" i="39"/>
  <c r="C217" i="8"/>
  <c r="E160" i="38"/>
  <c r="E160" i="39"/>
  <c r="E157" i="38"/>
  <c r="E158" i="38"/>
  <c r="E159" i="38"/>
  <c r="E161" i="38"/>
  <c r="E162" i="38"/>
  <c r="E163" i="38"/>
  <c r="E165" i="38"/>
  <c r="E165" i="39"/>
  <c r="D218" i="8"/>
  <c r="E174" i="39"/>
  <c r="E162" i="39"/>
  <c r="F159" i="39"/>
  <c r="E181" i="39"/>
  <c r="F177" i="39"/>
  <c r="C219" i="8"/>
  <c r="F187" i="39"/>
  <c r="F183" i="39"/>
  <c r="E179" i="39"/>
  <c r="D197" i="8"/>
  <c r="D220" i="8"/>
  <c r="E184" i="39"/>
  <c r="F161" i="39"/>
  <c r="D216" i="8"/>
  <c r="D219" i="8"/>
  <c r="E180" i="39"/>
  <c r="F173" i="39"/>
  <c r="C216" i="8"/>
  <c r="E190" i="38"/>
  <c r="E190" i="39"/>
  <c r="E187" i="38"/>
  <c r="E188" i="38"/>
  <c r="E189" i="38"/>
  <c r="E192" i="38"/>
  <c r="E193" i="38"/>
  <c r="E194" i="38"/>
  <c r="E195" i="38"/>
  <c r="E195" i="39"/>
  <c r="D200" i="8"/>
  <c r="D198" i="8"/>
  <c r="F157" i="39"/>
  <c r="E178" i="39"/>
  <c r="D187" i="38"/>
  <c r="D188" i="38"/>
  <c r="D189" i="38"/>
  <c r="D190" i="38"/>
  <c r="D191" i="38"/>
  <c r="D192" i="38"/>
  <c r="D193" i="38"/>
  <c r="D194" i="38"/>
  <c r="D195" i="38"/>
  <c r="D195" i="39"/>
  <c r="D177" i="38"/>
  <c r="D178" i="38"/>
  <c r="D179" i="38"/>
  <c r="D180" i="38"/>
  <c r="D181" i="38"/>
  <c r="D182" i="38"/>
  <c r="D183" i="38"/>
  <c r="D184" i="38"/>
  <c r="D185" i="38"/>
  <c r="D185" i="39"/>
  <c r="D178" i="39"/>
  <c r="G22" i="7"/>
  <c r="G32" i="7"/>
  <c r="G42" i="7"/>
  <c r="G52" i="7"/>
  <c r="G62" i="7"/>
  <c r="G72" i="7"/>
  <c r="G82" i="7"/>
  <c r="G92" i="7"/>
  <c r="G102" i="7"/>
  <c r="G112" i="7"/>
  <c r="E111" i="6"/>
  <c r="F111" i="6"/>
  <c r="G111" i="6"/>
  <c r="H111" i="6"/>
  <c r="G23" i="7"/>
  <c r="G33" i="7"/>
  <c r="G43" i="7"/>
  <c r="G53" i="7"/>
  <c r="G63" i="7"/>
  <c r="G73" i="7"/>
  <c r="G83" i="7"/>
  <c r="G93" i="7"/>
  <c r="G103" i="7"/>
  <c r="G113" i="7"/>
  <c r="E112" i="6"/>
  <c r="F112" i="6"/>
  <c r="G112" i="6"/>
  <c r="H112" i="6"/>
  <c r="G24" i="7"/>
  <c r="G34" i="7"/>
  <c r="G44" i="7"/>
  <c r="G54" i="7"/>
  <c r="G64" i="7"/>
  <c r="G74" i="7"/>
  <c r="G84" i="7"/>
  <c r="G94" i="7"/>
  <c r="G104" i="7"/>
  <c r="G114" i="7"/>
  <c r="E113" i="6"/>
  <c r="F113" i="6"/>
  <c r="G113" i="6"/>
  <c r="H113" i="6"/>
  <c r="G25" i="7"/>
  <c r="G35" i="7"/>
  <c r="G45" i="7"/>
  <c r="G55" i="7"/>
  <c r="G65" i="7"/>
  <c r="G75" i="7"/>
  <c r="G85" i="7"/>
  <c r="G95" i="7"/>
  <c r="G105" i="7"/>
  <c r="G115" i="7"/>
  <c r="E114" i="6"/>
  <c r="F114" i="6"/>
  <c r="G114" i="6"/>
  <c r="H114" i="6"/>
  <c r="G26" i="7"/>
  <c r="G36" i="7"/>
  <c r="G46" i="7"/>
  <c r="G56" i="7"/>
  <c r="G66" i="7"/>
  <c r="G76" i="7"/>
  <c r="G86" i="7"/>
  <c r="G96" i="7"/>
  <c r="G106" i="7"/>
  <c r="G116" i="7"/>
  <c r="E115" i="6"/>
  <c r="F115" i="6"/>
  <c r="G115" i="6"/>
  <c r="H115" i="6"/>
  <c r="G27" i="7"/>
  <c r="G37" i="7"/>
  <c r="G47" i="7"/>
  <c r="G57" i="7"/>
  <c r="G67" i="7"/>
  <c r="G77" i="7"/>
  <c r="G87" i="7"/>
  <c r="G97" i="7"/>
  <c r="G107" i="7"/>
  <c r="G117" i="7"/>
  <c r="E116" i="6"/>
  <c r="F116" i="6"/>
  <c r="G116" i="6"/>
  <c r="H116" i="6"/>
  <c r="G28" i="7"/>
  <c r="G38" i="7"/>
  <c r="G48" i="7"/>
  <c r="G58" i="7"/>
  <c r="G68" i="7"/>
  <c r="G78" i="7"/>
  <c r="G88" i="7"/>
  <c r="G98" i="7"/>
  <c r="G108" i="7"/>
  <c r="G118" i="7"/>
  <c r="E117" i="6"/>
  <c r="F117" i="6"/>
  <c r="G117" i="6"/>
  <c r="H117" i="6"/>
  <c r="G29" i="7"/>
  <c r="G39" i="7"/>
  <c r="G49" i="7"/>
  <c r="G59" i="7"/>
  <c r="G69" i="7"/>
  <c r="G79" i="7"/>
  <c r="G89" i="7"/>
  <c r="G99" i="7"/>
  <c r="G109" i="7"/>
  <c r="G119" i="7"/>
  <c r="G120" i="7"/>
  <c r="E122" i="6"/>
  <c r="F122" i="6"/>
  <c r="G122" i="6"/>
  <c r="H122" i="6"/>
  <c r="E123" i="6"/>
  <c r="F123" i="6"/>
  <c r="G123" i="6"/>
  <c r="H123" i="6"/>
  <c r="E124" i="6"/>
  <c r="F124" i="6"/>
  <c r="G124" i="6"/>
  <c r="H124" i="6"/>
  <c r="E125" i="6"/>
  <c r="F125" i="6"/>
  <c r="G125" i="6"/>
  <c r="H125" i="6"/>
  <c r="E126" i="6"/>
  <c r="F126" i="6"/>
  <c r="G126" i="6"/>
  <c r="H126" i="6"/>
  <c r="E127" i="6"/>
  <c r="F127" i="6"/>
  <c r="G127" i="6"/>
  <c r="H127" i="6"/>
  <c r="E128" i="6"/>
  <c r="F128" i="6"/>
  <c r="G128" i="6"/>
  <c r="H128" i="6"/>
  <c r="H129" i="6"/>
  <c r="G130" i="7"/>
  <c r="E161" i="39"/>
  <c r="D164" i="38"/>
  <c r="D164" i="39"/>
  <c r="E157" i="39"/>
  <c r="I22" i="7"/>
  <c r="I32" i="7"/>
  <c r="I42" i="7"/>
  <c r="I52" i="7"/>
  <c r="I62" i="7"/>
  <c r="I72" i="7"/>
  <c r="I82" i="7"/>
  <c r="I92" i="7"/>
  <c r="I102" i="7"/>
  <c r="I112" i="7"/>
  <c r="I111" i="6"/>
  <c r="J111" i="6"/>
  <c r="I23" i="7"/>
  <c r="I33" i="7"/>
  <c r="I43" i="7"/>
  <c r="I53" i="7"/>
  <c r="I63" i="7"/>
  <c r="I73" i="7"/>
  <c r="I83" i="7"/>
  <c r="I93" i="7"/>
  <c r="I103" i="7"/>
  <c r="I113" i="7"/>
  <c r="I112" i="6"/>
  <c r="J112" i="6"/>
  <c r="I24" i="7"/>
  <c r="I34" i="7"/>
  <c r="I44" i="7"/>
  <c r="I54" i="7"/>
  <c r="I64" i="7"/>
  <c r="I74" i="7"/>
  <c r="I84" i="7"/>
  <c r="I94" i="7"/>
  <c r="I104" i="7"/>
  <c r="I114" i="7"/>
  <c r="I113" i="6"/>
  <c r="J113" i="6"/>
  <c r="I25" i="7"/>
  <c r="I35" i="7"/>
  <c r="I45" i="7"/>
  <c r="I55" i="7"/>
  <c r="I65" i="7"/>
  <c r="I75" i="7"/>
  <c r="I85" i="7"/>
  <c r="I95" i="7"/>
  <c r="I105" i="7"/>
  <c r="I115" i="7"/>
  <c r="I114" i="6"/>
  <c r="J114" i="6"/>
  <c r="I26" i="7"/>
  <c r="I36" i="7"/>
  <c r="I46" i="7"/>
  <c r="I56" i="7"/>
  <c r="I66" i="7"/>
  <c r="I76" i="7"/>
  <c r="I86" i="7"/>
  <c r="I96" i="7"/>
  <c r="I106" i="7"/>
  <c r="I116" i="7"/>
  <c r="I115" i="6"/>
  <c r="J115" i="6"/>
  <c r="I27" i="7"/>
  <c r="I37" i="7"/>
  <c r="I47" i="7"/>
  <c r="I57" i="7"/>
  <c r="I67" i="7"/>
  <c r="I77" i="7"/>
  <c r="I87" i="7"/>
  <c r="I97" i="7"/>
  <c r="I107" i="7"/>
  <c r="I117" i="7"/>
  <c r="I116" i="6"/>
  <c r="J116" i="6"/>
  <c r="I28" i="7"/>
  <c r="I38" i="7"/>
  <c r="I48" i="7"/>
  <c r="I58" i="7"/>
  <c r="I68" i="7"/>
  <c r="I78" i="7"/>
  <c r="I88" i="7"/>
  <c r="I98" i="7"/>
  <c r="I108" i="7"/>
  <c r="I118" i="7"/>
  <c r="I117" i="6"/>
  <c r="J117" i="6"/>
  <c r="I29" i="7"/>
  <c r="I39" i="7"/>
  <c r="I49" i="7"/>
  <c r="I59" i="7"/>
  <c r="I69" i="7"/>
  <c r="I79" i="7"/>
  <c r="I89" i="7"/>
  <c r="I99" i="7"/>
  <c r="I109" i="7"/>
  <c r="I119" i="7"/>
  <c r="I120" i="7"/>
  <c r="I122" i="6"/>
  <c r="J122" i="6"/>
  <c r="I123" i="6"/>
  <c r="J123" i="6"/>
  <c r="I124" i="6"/>
  <c r="J124" i="6"/>
  <c r="I125" i="6"/>
  <c r="J125" i="6"/>
  <c r="I126" i="6"/>
  <c r="J126" i="6"/>
  <c r="I127" i="6"/>
  <c r="J127" i="6"/>
  <c r="I128" i="6"/>
  <c r="J128" i="6"/>
  <c r="J129" i="6"/>
  <c r="I130" i="7"/>
  <c r="D157" i="38"/>
  <c r="D158" i="38"/>
  <c r="D159" i="38"/>
  <c r="D160" i="38"/>
  <c r="D161" i="38"/>
  <c r="D162" i="38"/>
  <c r="D163" i="38"/>
  <c r="D165" i="38"/>
  <c r="D165" i="39"/>
  <c r="E183" i="39"/>
  <c r="E158" i="39"/>
  <c r="D181" i="39"/>
  <c r="E187" i="39"/>
  <c r="K22" i="7"/>
  <c r="K32" i="7"/>
  <c r="K42" i="7"/>
  <c r="K52" i="7"/>
  <c r="K62" i="7"/>
  <c r="K72" i="7"/>
  <c r="K82" i="7"/>
  <c r="K92" i="7"/>
  <c r="K102" i="7"/>
  <c r="K112" i="7"/>
  <c r="K111" i="6"/>
  <c r="L111" i="6"/>
  <c r="K23" i="7"/>
  <c r="K33" i="7"/>
  <c r="K43" i="7"/>
  <c r="K53" i="7"/>
  <c r="K63" i="7"/>
  <c r="K73" i="7"/>
  <c r="K83" i="7"/>
  <c r="K93" i="7"/>
  <c r="K103" i="7"/>
  <c r="K113" i="7"/>
  <c r="K112" i="6"/>
  <c r="L112" i="6"/>
  <c r="K24" i="7"/>
  <c r="K34" i="7"/>
  <c r="K44" i="7"/>
  <c r="K54" i="7"/>
  <c r="K64" i="7"/>
  <c r="K74" i="7"/>
  <c r="K84" i="7"/>
  <c r="K94" i="7"/>
  <c r="K104" i="7"/>
  <c r="K114" i="7"/>
  <c r="K113" i="6"/>
  <c r="L113" i="6"/>
  <c r="K25" i="7"/>
  <c r="K35" i="7"/>
  <c r="K45" i="7"/>
  <c r="K55" i="7"/>
  <c r="K65" i="7"/>
  <c r="K75" i="7"/>
  <c r="K85" i="7"/>
  <c r="K95" i="7"/>
  <c r="K105" i="7"/>
  <c r="K115" i="7"/>
  <c r="K114" i="6"/>
  <c r="L114" i="6"/>
  <c r="K26" i="7"/>
  <c r="K36" i="7"/>
  <c r="K46" i="7"/>
  <c r="K56" i="7"/>
  <c r="K66" i="7"/>
  <c r="K76" i="7"/>
  <c r="K86" i="7"/>
  <c r="K96" i="7"/>
  <c r="K106" i="7"/>
  <c r="K116" i="7"/>
  <c r="K115" i="6"/>
  <c r="L115" i="6"/>
  <c r="K27" i="7"/>
  <c r="K37" i="7"/>
  <c r="K47" i="7"/>
  <c r="K57" i="7"/>
  <c r="K67" i="7"/>
  <c r="K77" i="7"/>
  <c r="K87" i="7"/>
  <c r="K97" i="7"/>
  <c r="K107" i="7"/>
  <c r="K117" i="7"/>
  <c r="K116" i="6"/>
  <c r="L116" i="6"/>
  <c r="K28" i="7"/>
  <c r="K38" i="7"/>
  <c r="K48" i="7"/>
  <c r="K58" i="7"/>
  <c r="K68" i="7"/>
  <c r="K78" i="7"/>
  <c r="K88" i="7"/>
  <c r="K98" i="7"/>
  <c r="K108" i="7"/>
  <c r="K118" i="7"/>
  <c r="K117" i="6"/>
  <c r="L117" i="6"/>
  <c r="K29" i="7"/>
  <c r="K39" i="7"/>
  <c r="K49" i="7"/>
  <c r="K59" i="7"/>
  <c r="K69" i="7"/>
  <c r="K79" i="7"/>
  <c r="K89" i="7"/>
  <c r="K99" i="7"/>
  <c r="K109" i="7"/>
  <c r="K119" i="7"/>
  <c r="K120" i="7"/>
  <c r="K122" i="6"/>
  <c r="L122" i="6"/>
  <c r="K123" i="6"/>
  <c r="L123" i="6"/>
  <c r="K124" i="6"/>
  <c r="L124" i="6"/>
  <c r="K125" i="6"/>
  <c r="L125" i="6"/>
  <c r="K126" i="6"/>
  <c r="L126" i="6"/>
  <c r="K127" i="6"/>
  <c r="L127" i="6"/>
  <c r="K128" i="6"/>
  <c r="L128" i="6"/>
  <c r="L129" i="6"/>
  <c r="K130" i="7"/>
  <c r="D160" i="39"/>
  <c r="E188" i="39"/>
  <c r="D190" i="39"/>
  <c r="D169" i="39"/>
  <c r="E159" i="39"/>
  <c r="C178" i="38"/>
  <c r="C179" i="38"/>
  <c r="C181" i="38"/>
  <c r="C185" i="38"/>
  <c r="C185" i="39"/>
  <c r="F22" i="7"/>
  <c r="F32" i="7"/>
  <c r="F42" i="7"/>
  <c r="F52" i="7"/>
  <c r="F62" i="7"/>
  <c r="F72" i="7"/>
  <c r="F82" i="7"/>
  <c r="F92" i="7"/>
  <c r="F102" i="7"/>
  <c r="F112" i="7"/>
  <c r="F122" i="7"/>
  <c r="F22" i="35"/>
  <c r="F32" i="35"/>
  <c r="F42" i="35"/>
  <c r="F52" i="35"/>
  <c r="F62" i="35"/>
  <c r="F72" i="35"/>
  <c r="F82" i="35"/>
  <c r="F92" i="35"/>
  <c r="F102" i="35"/>
  <c r="F112" i="35"/>
  <c r="F122" i="35"/>
  <c r="F122" i="37"/>
  <c r="E173" i="39"/>
  <c r="E177" i="39"/>
  <c r="D162" i="39"/>
  <c r="E22" i="7"/>
  <c r="E32" i="7"/>
  <c r="E42" i="7"/>
  <c r="E52" i="7"/>
  <c r="E62" i="7"/>
  <c r="E72" i="7"/>
  <c r="E82" i="7"/>
  <c r="E92" i="7"/>
  <c r="E102" i="7"/>
  <c r="E112" i="7"/>
  <c r="E23" i="7"/>
  <c r="E33" i="7"/>
  <c r="E43" i="7"/>
  <c r="E53" i="7"/>
  <c r="E63" i="7"/>
  <c r="E73" i="7"/>
  <c r="E83" i="7"/>
  <c r="E93" i="7"/>
  <c r="E103" i="7"/>
  <c r="E113" i="7"/>
  <c r="E24" i="7"/>
  <c r="E34" i="7"/>
  <c r="E44" i="7"/>
  <c r="E54" i="7"/>
  <c r="E64" i="7"/>
  <c r="E74" i="7"/>
  <c r="E84" i="7"/>
  <c r="E94" i="7"/>
  <c r="E104" i="7"/>
  <c r="E114" i="7"/>
  <c r="E25" i="7"/>
  <c r="E35" i="7"/>
  <c r="E45" i="7"/>
  <c r="E55" i="7"/>
  <c r="E65" i="7"/>
  <c r="E75" i="7"/>
  <c r="E85" i="7"/>
  <c r="E95" i="7"/>
  <c r="E105" i="7"/>
  <c r="E115" i="7"/>
  <c r="E26" i="7"/>
  <c r="E36" i="7"/>
  <c r="E46" i="7"/>
  <c r="E56" i="7"/>
  <c r="E66" i="7"/>
  <c r="E76" i="7"/>
  <c r="E86" i="7"/>
  <c r="E96" i="7"/>
  <c r="E106" i="7"/>
  <c r="E116" i="7"/>
  <c r="E27" i="7"/>
  <c r="E37" i="7"/>
  <c r="E47" i="7"/>
  <c r="E57" i="7"/>
  <c r="E67" i="7"/>
  <c r="E77" i="7"/>
  <c r="E87" i="7"/>
  <c r="E97" i="7"/>
  <c r="E107" i="7"/>
  <c r="E117" i="7"/>
  <c r="E28" i="7"/>
  <c r="E38" i="7"/>
  <c r="E48" i="7"/>
  <c r="E58" i="7"/>
  <c r="E68" i="7"/>
  <c r="E78" i="7"/>
  <c r="E88" i="7"/>
  <c r="E98" i="7"/>
  <c r="E108" i="7"/>
  <c r="E118" i="7"/>
  <c r="E29" i="7"/>
  <c r="E39" i="7"/>
  <c r="E49" i="7"/>
  <c r="E59" i="7"/>
  <c r="E69" i="7"/>
  <c r="E79" i="7"/>
  <c r="E89" i="7"/>
  <c r="E99" i="7"/>
  <c r="E109" i="7"/>
  <c r="E119" i="7"/>
  <c r="E120" i="7"/>
  <c r="F129" i="6"/>
  <c r="E130" i="7"/>
  <c r="D182" i="39"/>
  <c r="H22" i="7"/>
  <c r="H32" i="7"/>
  <c r="H42" i="7"/>
  <c r="H52" i="7"/>
  <c r="H62" i="7"/>
  <c r="H72" i="7"/>
  <c r="H82" i="7"/>
  <c r="H92" i="7"/>
  <c r="H102" i="7"/>
  <c r="H112" i="7"/>
  <c r="H23" i="7"/>
  <c r="H33" i="7"/>
  <c r="H43" i="7"/>
  <c r="H53" i="7"/>
  <c r="H63" i="7"/>
  <c r="H73" i="7"/>
  <c r="H83" i="7"/>
  <c r="H93" i="7"/>
  <c r="H103" i="7"/>
  <c r="H113" i="7"/>
  <c r="H24" i="7"/>
  <c r="H34" i="7"/>
  <c r="H44" i="7"/>
  <c r="H54" i="7"/>
  <c r="H64" i="7"/>
  <c r="H74" i="7"/>
  <c r="H84" i="7"/>
  <c r="H94" i="7"/>
  <c r="H104" i="7"/>
  <c r="H114" i="7"/>
  <c r="H25" i="7"/>
  <c r="H35" i="7"/>
  <c r="H45" i="7"/>
  <c r="H55" i="7"/>
  <c r="H65" i="7"/>
  <c r="H75" i="7"/>
  <c r="H85" i="7"/>
  <c r="H95" i="7"/>
  <c r="H105" i="7"/>
  <c r="H115" i="7"/>
  <c r="H26" i="7"/>
  <c r="H36" i="7"/>
  <c r="H46" i="7"/>
  <c r="H56" i="7"/>
  <c r="H66" i="7"/>
  <c r="H76" i="7"/>
  <c r="H86" i="7"/>
  <c r="H96" i="7"/>
  <c r="H106" i="7"/>
  <c r="H116" i="7"/>
  <c r="H27" i="7"/>
  <c r="H37" i="7"/>
  <c r="H47" i="7"/>
  <c r="H57" i="7"/>
  <c r="H67" i="7"/>
  <c r="H77" i="7"/>
  <c r="H87" i="7"/>
  <c r="H97" i="7"/>
  <c r="H107" i="7"/>
  <c r="H117" i="7"/>
  <c r="H28" i="7"/>
  <c r="H38" i="7"/>
  <c r="H48" i="7"/>
  <c r="H58" i="7"/>
  <c r="H68" i="7"/>
  <c r="H78" i="7"/>
  <c r="H88" i="7"/>
  <c r="H98" i="7"/>
  <c r="H108" i="7"/>
  <c r="H118" i="7"/>
  <c r="H29" i="7"/>
  <c r="H39" i="7"/>
  <c r="H49" i="7"/>
  <c r="H59" i="7"/>
  <c r="H69" i="7"/>
  <c r="H79" i="7"/>
  <c r="H89" i="7"/>
  <c r="H99" i="7"/>
  <c r="H109" i="7"/>
  <c r="H119" i="7"/>
  <c r="H120" i="7"/>
  <c r="I129" i="6"/>
  <c r="H130" i="7"/>
  <c r="D179" i="39"/>
  <c r="E193" i="39"/>
  <c r="E194" i="39"/>
  <c r="F23" i="7"/>
  <c r="F33" i="7"/>
  <c r="F43" i="7"/>
  <c r="F53" i="7"/>
  <c r="F63" i="7"/>
  <c r="F73" i="7"/>
  <c r="F83" i="7"/>
  <c r="F93" i="7"/>
  <c r="F103" i="7"/>
  <c r="F113" i="7"/>
  <c r="F24" i="7"/>
  <c r="F34" i="7"/>
  <c r="F44" i="7"/>
  <c r="F54" i="7"/>
  <c r="F64" i="7"/>
  <c r="F74" i="7"/>
  <c r="F84" i="7"/>
  <c r="F94" i="7"/>
  <c r="F104" i="7"/>
  <c r="F114" i="7"/>
  <c r="F25" i="7"/>
  <c r="F35" i="7"/>
  <c r="F45" i="7"/>
  <c r="F55" i="7"/>
  <c r="F65" i="7"/>
  <c r="F75" i="7"/>
  <c r="F85" i="7"/>
  <c r="F95" i="7"/>
  <c r="F105" i="7"/>
  <c r="F115" i="7"/>
  <c r="F26" i="7"/>
  <c r="F36" i="7"/>
  <c r="F46" i="7"/>
  <c r="F56" i="7"/>
  <c r="F66" i="7"/>
  <c r="F76" i="7"/>
  <c r="F86" i="7"/>
  <c r="F96" i="7"/>
  <c r="F106" i="7"/>
  <c r="F116" i="7"/>
  <c r="F27" i="7"/>
  <c r="F37" i="7"/>
  <c r="F47" i="7"/>
  <c r="F57" i="7"/>
  <c r="F67" i="7"/>
  <c r="F77" i="7"/>
  <c r="F87" i="7"/>
  <c r="F97" i="7"/>
  <c r="F107" i="7"/>
  <c r="F117" i="7"/>
  <c r="F28" i="7"/>
  <c r="F38" i="7"/>
  <c r="F48" i="7"/>
  <c r="F58" i="7"/>
  <c r="F68" i="7"/>
  <c r="F78" i="7"/>
  <c r="F88" i="7"/>
  <c r="F98" i="7"/>
  <c r="F108" i="7"/>
  <c r="F118" i="7"/>
  <c r="F29" i="7"/>
  <c r="F39" i="7"/>
  <c r="F49" i="7"/>
  <c r="F59" i="7"/>
  <c r="F69" i="7"/>
  <c r="F79" i="7"/>
  <c r="F89" i="7"/>
  <c r="F99" i="7"/>
  <c r="F109" i="7"/>
  <c r="F119" i="7"/>
  <c r="F120" i="7"/>
  <c r="G129" i="6"/>
  <c r="F130" i="7"/>
  <c r="D191" i="39"/>
  <c r="E170" i="39"/>
  <c r="J22" i="7"/>
  <c r="J32" i="7"/>
  <c r="J42" i="7"/>
  <c r="J52" i="7"/>
  <c r="J62" i="7"/>
  <c r="J72" i="7"/>
  <c r="J82" i="7"/>
  <c r="J92" i="7"/>
  <c r="J102" i="7"/>
  <c r="J112" i="7"/>
  <c r="J23" i="7"/>
  <c r="J33" i="7"/>
  <c r="J43" i="7"/>
  <c r="J53" i="7"/>
  <c r="J63" i="7"/>
  <c r="J73" i="7"/>
  <c r="J83" i="7"/>
  <c r="J93" i="7"/>
  <c r="J103" i="7"/>
  <c r="J113" i="7"/>
  <c r="J24" i="7"/>
  <c r="J34" i="7"/>
  <c r="J44" i="7"/>
  <c r="J54" i="7"/>
  <c r="J64" i="7"/>
  <c r="J74" i="7"/>
  <c r="J84" i="7"/>
  <c r="J94" i="7"/>
  <c r="J104" i="7"/>
  <c r="J114" i="7"/>
  <c r="J25" i="7"/>
  <c r="J35" i="7"/>
  <c r="J45" i="7"/>
  <c r="J55" i="7"/>
  <c r="J65" i="7"/>
  <c r="J75" i="7"/>
  <c r="J85" i="7"/>
  <c r="J95" i="7"/>
  <c r="J105" i="7"/>
  <c r="J115" i="7"/>
  <c r="J26" i="7"/>
  <c r="J36" i="7"/>
  <c r="J46" i="7"/>
  <c r="J56" i="7"/>
  <c r="J66" i="7"/>
  <c r="J76" i="7"/>
  <c r="J86" i="7"/>
  <c r="J96" i="7"/>
  <c r="J106" i="7"/>
  <c r="J116" i="7"/>
  <c r="J27" i="7"/>
  <c r="J37" i="7"/>
  <c r="J47" i="7"/>
  <c r="J57" i="7"/>
  <c r="J67" i="7"/>
  <c r="J77" i="7"/>
  <c r="J87" i="7"/>
  <c r="J97" i="7"/>
  <c r="J107" i="7"/>
  <c r="J117" i="7"/>
  <c r="J28" i="7"/>
  <c r="J38" i="7"/>
  <c r="J48" i="7"/>
  <c r="J58" i="7"/>
  <c r="J68" i="7"/>
  <c r="J78" i="7"/>
  <c r="J88" i="7"/>
  <c r="J98" i="7"/>
  <c r="J108" i="7"/>
  <c r="J118" i="7"/>
  <c r="J29" i="7"/>
  <c r="J39" i="7"/>
  <c r="J49" i="7"/>
  <c r="J59" i="7"/>
  <c r="J69" i="7"/>
  <c r="J79" i="7"/>
  <c r="J89" i="7"/>
  <c r="J99" i="7"/>
  <c r="J109" i="7"/>
  <c r="J119" i="7"/>
  <c r="J120" i="7"/>
  <c r="K129" i="6"/>
  <c r="J130" i="7"/>
  <c r="D180" i="39"/>
  <c r="E122" i="7"/>
  <c r="E22" i="35"/>
  <c r="E32" i="35"/>
  <c r="E42" i="35"/>
  <c r="E52" i="35"/>
  <c r="E62" i="35"/>
  <c r="E72" i="35"/>
  <c r="E82" i="35"/>
  <c r="E92" i="35"/>
  <c r="E102" i="35"/>
  <c r="E112" i="35"/>
  <c r="E122" i="35"/>
  <c r="E122" i="37"/>
  <c r="D22" i="7"/>
  <c r="D32" i="7"/>
  <c r="D42" i="7"/>
  <c r="D52" i="7"/>
  <c r="D62" i="7"/>
  <c r="D72" i="7"/>
  <c r="D82" i="7"/>
  <c r="D92" i="7"/>
  <c r="D102" i="7"/>
  <c r="D112" i="7"/>
  <c r="D122" i="7"/>
  <c r="D22" i="35"/>
  <c r="D32" i="35"/>
  <c r="D42" i="35"/>
  <c r="D52" i="35"/>
  <c r="D62" i="35"/>
  <c r="D72" i="35"/>
  <c r="D82" i="35"/>
  <c r="D92" i="35"/>
  <c r="D102" i="35"/>
  <c r="D112" i="35"/>
  <c r="D122" i="35"/>
  <c r="D122" i="37"/>
  <c r="E171" i="39"/>
  <c r="E192" i="39"/>
  <c r="E163" i="39"/>
  <c r="E189" i="39"/>
  <c r="E172" i="39"/>
  <c r="D174" i="39"/>
  <c r="D184" i="39"/>
  <c r="E168" i="39"/>
  <c r="D23" i="7"/>
  <c r="D33" i="7"/>
  <c r="D43" i="7"/>
  <c r="D53" i="7"/>
  <c r="D63" i="7"/>
  <c r="D73" i="7"/>
  <c r="D83" i="7"/>
  <c r="D93" i="7"/>
  <c r="D103" i="7"/>
  <c r="D113" i="7"/>
  <c r="D24" i="7"/>
  <c r="D34" i="7"/>
  <c r="D44" i="7"/>
  <c r="D54" i="7"/>
  <c r="D64" i="7"/>
  <c r="D74" i="7"/>
  <c r="D84" i="7"/>
  <c r="D94" i="7"/>
  <c r="D104" i="7"/>
  <c r="D114" i="7"/>
  <c r="D25" i="7"/>
  <c r="D35" i="7"/>
  <c r="D45" i="7"/>
  <c r="D55" i="7"/>
  <c r="D65" i="7"/>
  <c r="D75" i="7"/>
  <c r="D85" i="7"/>
  <c r="D95" i="7"/>
  <c r="D105" i="7"/>
  <c r="D115" i="7"/>
  <c r="D26" i="7"/>
  <c r="D36" i="7"/>
  <c r="D46" i="7"/>
  <c r="D56" i="7"/>
  <c r="D66" i="7"/>
  <c r="D76" i="7"/>
  <c r="D86" i="7"/>
  <c r="D96" i="7"/>
  <c r="D106" i="7"/>
  <c r="D116" i="7"/>
  <c r="D27" i="7"/>
  <c r="D37" i="7"/>
  <c r="D47" i="7"/>
  <c r="D57" i="7"/>
  <c r="D67" i="7"/>
  <c r="D77" i="7"/>
  <c r="D87" i="7"/>
  <c r="D97" i="7"/>
  <c r="D107" i="7"/>
  <c r="D117" i="7"/>
  <c r="D28" i="7"/>
  <c r="D38" i="7"/>
  <c r="D48" i="7"/>
  <c r="D58" i="7"/>
  <c r="D68" i="7"/>
  <c r="D78" i="7"/>
  <c r="D88" i="7"/>
  <c r="D98" i="7"/>
  <c r="D108" i="7"/>
  <c r="D118" i="7"/>
  <c r="D29" i="7"/>
  <c r="D39" i="7"/>
  <c r="D49" i="7"/>
  <c r="D59" i="7"/>
  <c r="D69" i="7"/>
  <c r="D79" i="7"/>
  <c r="D89" i="7"/>
  <c r="D99" i="7"/>
  <c r="D109" i="7"/>
  <c r="D119" i="7"/>
  <c r="D120" i="7"/>
  <c r="E129" i="6"/>
  <c r="D130" i="7"/>
  <c r="E167" i="39"/>
  <c r="H122" i="7"/>
  <c r="H22" i="35"/>
  <c r="H32" i="35"/>
  <c r="H42" i="35"/>
  <c r="H52" i="35"/>
  <c r="H62" i="35"/>
  <c r="H72" i="35"/>
  <c r="H82" i="35"/>
  <c r="H92" i="35"/>
  <c r="H102" i="35"/>
  <c r="H112" i="35"/>
  <c r="H122" i="35"/>
  <c r="H122" i="37"/>
  <c r="J123" i="7"/>
  <c r="J23" i="35"/>
  <c r="J33" i="35"/>
  <c r="J43" i="35"/>
  <c r="J53" i="35"/>
  <c r="J63" i="35"/>
  <c r="J73" i="35"/>
  <c r="J83" i="35"/>
  <c r="J93" i="35"/>
  <c r="J103" i="35"/>
  <c r="J113" i="35"/>
  <c r="J123" i="35"/>
  <c r="J123" i="37"/>
  <c r="J124" i="7"/>
  <c r="J24" i="35"/>
  <c r="J34" i="35"/>
  <c r="J44" i="35"/>
  <c r="J54" i="35"/>
  <c r="J64" i="35"/>
  <c r="J74" i="35"/>
  <c r="J84" i="35"/>
  <c r="J94" i="35"/>
  <c r="J104" i="35"/>
  <c r="J114" i="35"/>
  <c r="J124" i="35"/>
  <c r="J124" i="37"/>
  <c r="D129" i="7"/>
  <c r="D29" i="35"/>
  <c r="D39" i="35"/>
  <c r="D49" i="35"/>
  <c r="D59" i="35"/>
  <c r="D69" i="35"/>
  <c r="D79" i="35"/>
  <c r="D89" i="35"/>
  <c r="D99" i="35"/>
  <c r="D109" i="35"/>
  <c r="D119" i="35"/>
  <c r="D129" i="35"/>
  <c r="D129" i="37"/>
  <c r="H126" i="7"/>
  <c r="H26" i="35"/>
  <c r="H36" i="35"/>
  <c r="H46" i="35"/>
  <c r="H56" i="35"/>
  <c r="H66" i="35"/>
  <c r="H76" i="35"/>
  <c r="H86" i="35"/>
  <c r="H96" i="35"/>
  <c r="H106" i="35"/>
  <c r="H116" i="35"/>
  <c r="H126" i="35"/>
  <c r="H126" i="37"/>
  <c r="E128" i="7"/>
  <c r="E28" i="35"/>
  <c r="E38" i="35"/>
  <c r="E48" i="35"/>
  <c r="E58" i="35"/>
  <c r="E68" i="35"/>
  <c r="E78" i="35"/>
  <c r="E88" i="35"/>
  <c r="E98" i="35"/>
  <c r="E108" i="35"/>
  <c r="E118" i="35"/>
  <c r="E128" i="35"/>
  <c r="E128" i="37"/>
  <c r="D158" i="39"/>
  <c r="D128" i="7"/>
  <c r="D28" i="35"/>
  <c r="D38" i="35"/>
  <c r="D48" i="35"/>
  <c r="D58" i="35"/>
  <c r="D68" i="35"/>
  <c r="D78" i="35"/>
  <c r="D88" i="35"/>
  <c r="D98" i="35"/>
  <c r="D108" i="35"/>
  <c r="D118" i="35"/>
  <c r="D128" i="35"/>
  <c r="D128" i="37"/>
  <c r="D123" i="7"/>
  <c r="D23" i="35"/>
  <c r="D33" i="35"/>
  <c r="D43" i="35"/>
  <c r="D53" i="35"/>
  <c r="D63" i="35"/>
  <c r="D73" i="35"/>
  <c r="D83" i="35"/>
  <c r="D93" i="35"/>
  <c r="D103" i="35"/>
  <c r="D113" i="35"/>
  <c r="D123" i="35"/>
  <c r="D123" i="37"/>
  <c r="D159" i="39"/>
  <c r="C181" i="39"/>
  <c r="D183" i="39"/>
  <c r="D157" i="39"/>
  <c r="C179" i="39"/>
  <c r="F123" i="7"/>
  <c r="F23" i="35"/>
  <c r="F33" i="35"/>
  <c r="F43" i="35"/>
  <c r="F53" i="35"/>
  <c r="F63" i="35"/>
  <c r="F73" i="35"/>
  <c r="F83" i="35"/>
  <c r="F93" i="35"/>
  <c r="F103" i="35"/>
  <c r="F113" i="35"/>
  <c r="F123" i="35"/>
  <c r="F123" i="37"/>
  <c r="D172" i="39"/>
  <c r="D194" i="39"/>
  <c r="D189" i="39"/>
  <c r="D161" i="39"/>
  <c r="D127" i="7"/>
  <c r="D27" i="35"/>
  <c r="D37" i="35"/>
  <c r="D47" i="35"/>
  <c r="D57" i="35"/>
  <c r="D67" i="35"/>
  <c r="D77" i="35"/>
  <c r="D87" i="35"/>
  <c r="D97" i="35"/>
  <c r="D107" i="35"/>
  <c r="D117" i="35"/>
  <c r="D127" i="35"/>
  <c r="D127" i="37"/>
  <c r="J125" i="7"/>
  <c r="J25" i="35"/>
  <c r="J35" i="35"/>
  <c r="J45" i="35"/>
  <c r="J55" i="35"/>
  <c r="J65" i="35"/>
  <c r="J75" i="35"/>
  <c r="J85" i="35"/>
  <c r="J95" i="35"/>
  <c r="J105" i="35"/>
  <c r="J115" i="35"/>
  <c r="J125" i="35"/>
  <c r="J125" i="37"/>
  <c r="D193" i="39"/>
  <c r="B115" i="35"/>
  <c r="B125" i="35"/>
  <c r="B125" i="37"/>
  <c r="J127" i="7"/>
  <c r="J27" i="35"/>
  <c r="J37" i="35"/>
  <c r="J47" i="35"/>
  <c r="J57" i="35"/>
  <c r="J67" i="35"/>
  <c r="J77" i="35"/>
  <c r="J87" i="35"/>
  <c r="J97" i="35"/>
  <c r="J107" i="35"/>
  <c r="J117" i="35"/>
  <c r="J127" i="35"/>
  <c r="J127" i="37"/>
  <c r="E124" i="7"/>
  <c r="E24" i="35"/>
  <c r="E34" i="35"/>
  <c r="E44" i="35"/>
  <c r="E54" i="35"/>
  <c r="E64" i="35"/>
  <c r="E74" i="35"/>
  <c r="E84" i="35"/>
  <c r="E94" i="35"/>
  <c r="E104" i="35"/>
  <c r="E114" i="35"/>
  <c r="E124" i="35"/>
  <c r="E124" i="37"/>
  <c r="D124" i="7"/>
  <c r="D24" i="35"/>
  <c r="D34" i="35"/>
  <c r="D44" i="35"/>
  <c r="D54" i="35"/>
  <c r="D64" i="35"/>
  <c r="D74" i="35"/>
  <c r="D84" i="35"/>
  <c r="D94" i="35"/>
  <c r="D104" i="35"/>
  <c r="D114" i="35"/>
  <c r="D124" i="35"/>
  <c r="D124" i="37"/>
  <c r="D167" i="39"/>
  <c r="D163" i="39"/>
  <c r="F129" i="7"/>
  <c r="F29" i="35"/>
  <c r="F39" i="35"/>
  <c r="F49" i="35"/>
  <c r="F59" i="35"/>
  <c r="F69" i="35"/>
  <c r="F79" i="35"/>
  <c r="F89" i="35"/>
  <c r="F99" i="35"/>
  <c r="F109" i="35"/>
  <c r="F119" i="35"/>
  <c r="F129" i="35"/>
  <c r="F129" i="37"/>
  <c r="B118" i="35"/>
  <c r="B128" i="35"/>
  <c r="B128" i="37"/>
  <c r="E129" i="7"/>
  <c r="E29" i="35"/>
  <c r="E39" i="35"/>
  <c r="E49" i="35"/>
  <c r="E59" i="35"/>
  <c r="E69" i="35"/>
  <c r="E79" i="35"/>
  <c r="E89" i="35"/>
  <c r="E99" i="35"/>
  <c r="E109" i="35"/>
  <c r="E119" i="35"/>
  <c r="E129" i="35"/>
  <c r="E129" i="37"/>
  <c r="J122" i="7"/>
  <c r="J22" i="35"/>
  <c r="J32" i="35"/>
  <c r="J42" i="35"/>
  <c r="J52" i="35"/>
  <c r="J62" i="35"/>
  <c r="J72" i="35"/>
  <c r="J82" i="35"/>
  <c r="J92" i="35"/>
  <c r="J102" i="35"/>
  <c r="J112" i="35"/>
  <c r="J122" i="35"/>
  <c r="J122" i="37"/>
  <c r="H127" i="7"/>
  <c r="H27" i="35"/>
  <c r="H37" i="35"/>
  <c r="H47" i="35"/>
  <c r="H57" i="35"/>
  <c r="H67" i="35"/>
  <c r="H77" i="35"/>
  <c r="H87" i="35"/>
  <c r="H97" i="35"/>
  <c r="H107" i="35"/>
  <c r="H117" i="35"/>
  <c r="H127" i="35"/>
  <c r="H127" i="37"/>
  <c r="B117" i="35"/>
  <c r="B127" i="35"/>
  <c r="B127" i="37"/>
  <c r="D126" i="7"/>
  <c r="D26" i="35"/>
  <c r="D36" i="35"/>
  <c r="D46" i="35"/>
  <c r="D56" i="35"/>
  <c r="D66" i="35"/>
  <c r="D76" i="35"/>
  <c r="D86" i="35"/>
  <c r="D96" i="35"/>
  <c r="D106" i="35"/>
  <c r="D116" i="35"/>
  <c r="D126" i="35"/>
  <c r="D126" i="37"/>
  <c r="D125" i="7"/>
  <c r="D25" i="35"/>
  <c r="D35" i="35"/>
  <c r="D45" i="35"/>
  <c r="D55" i="35"/>
  <c r="D65" i="35"/>
  <c r="D75" i="35"/>
  <c r="D85" i="35"/>
  <c r="D95" i="35"/>
  <c r="D105" i="35"/>
  <c r="D115" i="35"/>
  <c r="D125" i="35"/>
  <c r="D125" i="37"/>
  <c r="D168" i="39"/>
  <c r="F127" i="7"/>
  <c r="F27" i="35"/>
  <c r="F37" i="35"/>
  <c r="F47" i="35"/>
  <c r="F57" i="35"/>
  <c r="F67" i="35"/>
  <c r="F77" i="35"/>
  <c r="F87" i="35"/>
  <c r="F97" i="35"/>
  <c r="F107" i="35"/>
  <c r="F117" i="35"/>
  <c r="F127" i="35"/>
  <c r="F127" i="37"/>
  <c r="F124" i="7"/>
  <c r="F24" i="35"/>
  <c r="F34" i="35"/>
  <c r="F44" i="35"/>
  <c r="F54" i="35"/>
  <c r="F64" i="35"/>
  <c r="F74" i="35"/>
  <c r="F84" i="35"/>
  <c r="F94" i="35"/>
  <c r="F104" i="35"/>
  <c r="F114" i="35"/>
  <c r="F124" i="35"/>
  <c r="F124" i="37"/>
  <c r="F125" i="7"/>
  <c r="F25" i="35"/>
  <c r="F35" i="35"/>
  <c r="F45" i="35"/>
  <c r="F55" i="35"/>
  <c r="F65" i="35"/>
  <c r="F75" i="35"/>
  <c r="F85" i="35"/>
  <c r="F95" i="35"/>
  <c r="F105" i="35"/>
  <c r="F115" i="35"/>
  <c r="F125" i="35"/>
  <c r="F125" i="37"/>
  <c r="C178" i="39"/>
  <c r="D173" i="39"/>
  <c r="E127" i="7"/>
  <c r="E27" i="35"/>
  <c r="E37" i="35"/>
  <c r="E47" i="35"/>
  <c r="E57" i="35"/>
  <c r="E67" i="35"/>
  <c r="E77" i="35"/>
  <c r="E87" i="35"/>
  <c r="E97" i="35"/>
  <c r="E107" i="35"/>
  <c r="E117" i="35"/>
  <c r="E127" i="35"/>
  <c r="E127" i="37"/>
  <c r="H128" i="7"/>
  <c r="H28" i="35"/>
  <c r="H38" i="35"/>
  <c r="H48" i="35"/>
  <c r="H58" i="35"/>
  <c r="H68" i="35"/>
  <c r="H78" i="35"/>
  <c r="H88" i="35"/>
  <c r="H98" i="35"/>
  <c r="H108" i="35"/>
  <c r="H118" i="35"/>
  <c r="H128" i="35"/>
  <c r="H128" i="37"/>
  <c r="D170" i="39"/>
  <c r="D192" i="39"/>
  <c r="H123" i="7"/>
  <c r="H23" i="35"/>
  <c r="H33" i="35"/>
  <c r="H43" i="35"/>
  <c r="H53" i="35"/>
  <c r="H63" i="35"/>
  <c r="H73" i="35"/>
  <c r="H83" i="35"/>
  <c r="H93" i="35"/>
  <c r="H103" i="35"/>
  <c r="H113" i="35"/>
  <c r="H123" i="35"/>
  <c r="H123" i="37"/>
  <c r="F126" i="7"/>
  <c r="F26" i="35"/>
  <c r="F36" i="35"/>
  <c r="F46" i="35"/>
  <c r="F56" i="35"/>
  <c r="F66" i="35"/>
  <c r="F76" i="35"/>
  <c r="F86" i="35"/>
  <c r="F96" i="35"/>
  <c r="F106" i="35"/>
  <c r="F116" i="35"/>
  <c r="F126" i="35"/>
  <c r="F126" i="37"/>
  <c r="D177" i="39"/>
  <c r="D187" i="39"/>
  <c r="J126" i="7"/>
  <c r="J26" i="35"/>
  <c r="J36" i="35"/>
  <c r="J46" i="35"/>
  <c r="J56" i="35"/>
  <c r="J66" i="35"/>
  <c r="J76" i="35"/>
  <c r="J86" i="35"/>
  <c r="J96" i="35"/>
  <c r="J106" i="35"/>
  <c r="J116" i="35"/>
  <c r="J126" i="35"/>
  <c r="J126" i="37"/>
  <c r="D171" i="39"/>
  <c r="H124" i="7"/>
  <c r="H24" i="35"/>
  <c r="H34" i="35"/>
  <c r="H44" i="35"/>
  <c r="H54" i="35"/>
  <c r="H64" i="35"/>
  <c r="H74" i="35"/>
  <c r="H84" i="35"/>
  <c r="H94" i="35"/>
  <c r="H104" i="35"/>
  <c r="H114" i="35"/>
  <c r="H124" i="35"/>
  <c r="H124" i="37"/>
  <c r="H125" i="7"/>
  <c r="H25" i="35"/>
  <c r="H35" i="35"/>
  <c r="H45" i="35"/>
  <c r="H55" i="35"/>
  <c r="H65" i="35"/>
  <c r="H75" i="35"/>
  <c r="H85" i="35"/>
  <c r="H95" i="35"/>
  <c r="H105" i="35"/>
  <c r="H115" i="35"/>
  <c r="H125" i="35"/>
  <c r="H125" i="37"/>
  <c r="F128" i="7"/>
  <c r="F28" i="35"/>
  <c r="F38" i="35"/>
  <c r="F48" i="35"/>
  <c r="F58" i="35"/>
  <c r="F68" i="35"/>
  <c r="F78" i="35"/>
  <c r="F88" i="35"/>
  <c r="F98" i="35"/>
  <c r="F108" i="35"/>
  <c r="F118" i="35"/>
  <c r="F128" i="35"/>
  <c r="F128" i="37"/>
  <c r="D188" i="39"/>
  <c r="E126" i="7"/>
  <c r="E26" i="35"/>
  <c r="E36" i="35"/>
  <c r="E46" i="35"/>
  <c r="E56" i="35"/>
  <c r="E66" i="35"/>
  <c r="E76" i="35"/>
  <c r="E86" i="35"/>
  <c r="E96" i="35"/>
  <c r="E106" i="35"/>
  <c r="E116" i="35"/>
  <c r="E126" i="35"/>
  <c r="E126" i="37"/>
  <c r="J129" i="7"/>
  <c r="J29" i="35"/>
  <c r="J39" i="35"/>
  <c r="J49" i="35"/>
  <c r="J59" i="35"/>
  <c r="J69" i="35"/>
  <c r="J79" i="35"/>
  <c r="J89" i="35"/>
  <c r="J99" i="35"/>
  <c r="J109" i="35"/>
  <c r="J119" i="35"/>
  <c r="J129" i="35"/>
  <c r="J129" i="37"/>
  <c r="H129" i="7"/>
  <c r="H29" i="35"/>
  <c r="H39" i="35"/>
  <c r="H49" i="35"/>
  <c r="H59" i="35"/>
  <c r="H69" i="35"/>
  <c r="H79" i="35"/>
  <c r="H89" i="35"/>
  <c r="H99" i="35"/>
  <c r="H109" i="35"/>
  <c r="H119" i="35"/>
  <c r="H129" i="35"/>
  <c r="H129" i="37"/>
  <c r="E125" i="7"/>
  <c r="E25" i="35"/>
  <c r="E35" i="35"/>
  <c r="E45" i="35"/>
  <c r="E55" i="35"/>
  <c r="E65" i="35"/>
  <c r="E75" i="35"/>
  <c r="E85" i="35"/>
  <c r="E95" i="35"/>
  <c r="E105" i="35"/>
  <c r="E115" i="35"/>
  <c r="E125" i="35"/>
  <c r="E125" i="37"/>
  <c r="J128" i="7"/>
  <c r="J28" i="35"/>
  <c r="J38" i="35"/>
  <c r="J48" i="35"/>
  <c r="J58" i="35"/>
  <c r="J68" i="35"/>
  <c r="J78" i="35"/>
  <c r="J88" i="35"/>
  <c r="J98" i="35"/>
  <c r="J108" i="35"/>
  <c r="J118" i="35"/>
  <c r="J128" i="35"/>
  <c r="J128" i="37"/>
  <c r="E123" i="7"/>
  <c r="E23" i="35"/>
  <c r="E33" i="35"/>
  <c r="E43" i="35"/>
  <c r="E53" i="35"/>
  <c r="E63" i="35"/>
  <c r="E73" i="35"/>
  <c r="E83" i="35"/>
  <c r="E93" i="35"/>
  <c r="E103" i="35"/>
  <c r="E113" i="35"/>
  <c r="E123" i="35"/>
  <c r="E123" i="37"/>
  <c r="G55" i="35"/>
  <c r="G65" i="35"/>
  <c r="G75" i="35"/>
  <c r="G75" i="37"/>
  <c r="H77" i="37"/>
  <c r="G87" i="35"/>
  <c r="G97" i="35"/>
  <c r="G107" i="35"/>
  <c r="G107" i="37"/>
  <c r="I55" i="35"/>
  <c r="I65" i="35"/>
  <c r="I75" i="35"/>
  <c r="I75" i="37"/>
  <c r="H75" i="37"/>
  <c r="D107" i="37"/>
  <c r="D103" i="37"/>
  <c r="J107" i="37"/>
  <c r="I87" i="35"/>
  <c r="I97" i="35"/>
  <c r="I107" i="35"/>
  <c r="I107" i="37"/>
  <c r="G58" i="35"/>
  <c r="G68" i="35"/>
  <c r="G78" i="35"/>
  <c r="G78" i="37"/>
  <c r="J103" i="37"/>
  <c r="G89" i="35"/>
  <c r="G99" i="35"/>
  <c r="G109" i="35"/>
  <c r="G109" i="37"/>
  <c r="J145" i="39"/>
  <c r="H46" i="37"/>
  <c r="H79" i="37"/>
  <c r="I89" i="35"/>
  <c r="I99" i="35"/>
  <c r="I109" i="35"/>
  <c r="I109" i="37"/>
  <c r="G26" i="35"/>
  <c r="G36" i="35"/>
  <c r="G46" i="35"/>
  <c r="G46" i="37"/>
  <c r="J77" i="37"/>
  <c r="H73" i="37"/>
  <c r="E104" i="37"/>
  <c r="I53" i="35"/>
  <c r="I63" i="35"/>
  <c r="I73" i="35"/>
  <c r="I73" i="37"/>
  <c r="I84" i="35"/>
  <c r="I94" i="35"/>
  <c r="I104" i="35"/>
  <c r="I104" i="37"/>
  <c r="I57" i="35"/>
  <c r="I67" i="35"/>
  <c r="I77" i="35"/>
  <c r="I77" i="37"/>
  <c r="F108" i="37"/>
  <c r="F106" i="37"/>
  <c r="J106" i="37"/>
  <c r="G83" i="35"/>
  <c r="G93" i="35"/>
  <c r="G103" i="35"/>
  <c r="G103" i="37"/>
  <c r="J79" i="37"/>
  <c r="D108" i="37"/>
  <c r="E75" i="37"/>
  <c r="I56" i="35"/>
  <c r="I66" i="35"/>
  <c r="I76" i="35"/>
  <c r="I76" i="37"/>
  <c r="I54" i="35"/>
  <c r="I64" i="35"/>
  <c r="I74" i="35"/>
  <c r="I74" i="37"/>
  <c r="D106" i="37"/>
  <c r="H105" i="37"/>
  <c r="G84" i="35"/>
  <c r="G94" i="35"/>
  <c r="G104" i="35"/>
  <c r="G104" i="37"/>
  <c r="H106" i="37"/>
  <c r="E73" i="37"/>
  <c r="G57" i="35"/>
  <c r="G67" i="35"/>
  <c r="G77" i="35"/>
  <c r="G77" i="37"/>
  <c r="D78" i="37"/>
  <c r="K88" i="35"/>
  <c r="K98" i="35"/>
  <c r="K108" i="35"/>
  <c r="K108" i="37"/>
  <c r="E74" i="37"/>
  <c r="D47" i="37"/>
  <c r="G86" i="35"/>
  <c r="G96" i="35"/>
  <c r="G106" i="35"/>
  <c r="G106" i="37"/>
  <c r="E44" i="37"/>
  <c r="I88" i="35"/>
  <c r="I98" i="35"/>
  <c r="I108" i="35"/>
  <c r="I108" i="37"/>
  <c r="D109" i="37"/>
  <c r="D104" i="37"/>
  <c r="H78" i="37"/>
  <c r="I83" i="35"/>
  <c r="I93" i="35"/>
  <c r="I103" i="35"/>
  <c r="I103" i="37"/>
  <c r="J74" i="37"/>
  <c r="K55" i="35"/>
  <c r="K65" i="35"/>
  <c r="K75" i="35"/>
  <c r="K75" i="37"/>
  <c r="D77" i="37"/>
  <c r="K86" i="35"/>
  <c r="K96" i="35"/>
  <c r="K106" i="35"/>
  <c r="K106" i="37"/>
  <c r="K54" i="35"/>
  <c r="K64" i="35"/>
  <c r="K74" i="35"/>
  <c r="K74" i="37"/>
  <c r="H107" i="37"/>
  <c r="E78" i="37"/>
  <c r="G53" i="35"/>
  <c r="G63" i="35"/>
  <c r="G73" i="35"/>
  <c r="G73" i="37"/>
  <c r="K84" i="35"/>
  <c r="K94" i="35"/>
  <c r="K104" i="35"/>
  <c r="K104" i="37"/>
  <c r="F74" i="37"/>
  <c r="G85" i="35"/>
  <c r="G95" i="35"/>
  <c r="G105" i="35"/>
  <c r="G105" i="37"/>
  <c r="J76" i="37"/>
  <c r="H76" i="37"/>
  <c r="J78" i="37"/>
  <c r="F109" i="37"/>
  <c r="E76" i="37"/>
  <c r="D74" i="37"/>
  <c r="E105" i="37"/>
  <c r="K87" i="35"/>
  <c r="K97" i="35"/>
  <c r="K107" i="35"/>
  <c r="K107" i="37"/>
  <c r="F73" i="37"/>
  <c r="I85" i="35"/>
  <c r="I95" i="35"/>
  <c r="I105" i="35"/>
  <c r="I105" i="37"/>
  <c r="K53" i="35"/>
  <c r="K63" i="35"/>
  <c r="K73" i="35"/>
  <c r="K73" i="37"/>
  <c r="F105" i="37"/>
  <c r="I59" i="35"/>
  <c r="I69" i="35"/>
  <c r="I79" i="35"/>
  <c r="I79" i="37"/>
  <c r="J108" i="37"/>
  <c r="E79" i="37"/>
  <c r="G88" i="35"/>
  <c r="G98" i="35"/>
  <c r="G108" i="35"/>
  <c r="G108" i="37"/>
  <c r="H108" i="37"/>
  <c r="E45" i="37"/>
  <c r="H74" i="37"/>
  <c r="E43" i="37"/>
  <c r="J73" i="37"/>
  <c r="K83" i="35"/>
  <c r="K93" i="35"/>
  <c r="K103" i="35"/>
  <c r="K103" i="37"/>
  <c r="K85" i="35"/>
  <c r="K95" i="35"/>
  <c r="K105" i="35"/>
  <c r="K105" i="37"/>
  <c r="K89" i="35"/>
  <c r="K99" i="35"/>
  <c r="K109" i="35"/>
  <c r="K109" i="37"/>
  <c r="E108" i="37"/>
  <c r="H103" i="37"/>
  <c r="E107" i="37"/>
  <c r="D75" i="37"/>
  <c r="I86" i="35"/>
  <c r="I96" i="35"/>
  <c r="I106" i="35"/>
  <c r="I106" i="37"/>
  <c r="E77" i="37"/>
  <c r="E106" i="37"/>
  <c r="F75" i="37"/>
  <c r="D73" i="37"/>
  <c r="F103" i="37"/>
  <c r="E46" i="37"/>
  <c r="J104" i="37"/>
  <c r="F77" i="37"/>
  <c r="H104" i="37"/>
  <c r="F107" i="37"/>
  <c r="E109" i="37"/>
  <c r="F79" i="37"/>
  <c r="J109" i="37"/>
  <c r="G59" i="35"/>
  <c r="G69" i="35"/>
  <c r="G79" i="35"/>
  <c r="G79" i="37"/>
  <c r="D79" i="37"/>
  <c r="G56" i="35"/>
  <c r="G66" i="35"/>
  <c r="G76" i="35"/>
  <c r="G76" i="37"/>
  <c r="K59" i="35"/>
  <c r="K69" i="35"/>
  <c r="K79" i="35"/>
  <c r="K79" i="37"/>
  <c r="G54" i="35"/>
  <c r="G64" i="35"/>
  <c r="G74" i="35"/>
  <c r="G74" i="37"/>
  <c r="K56" i="35"/>
  <c r="K66" i="35"/>
  <c r="K76" i="35"/>
  <c r="K76" i="37"/>
  <c r="F76" i="37"/>
  <c r="I58" i="35"/>
  <c r="I68" i="35"/>
  <c r="I78" i="35"/>
  <c r="I78" i="37"/>
  <c r="H42" i="37"/>
  <c r="I26" i="35"/>
  <c r="I36" i="35"/>
  <c r="I46" i="35"/>
  <c r="I46" i="37"/>
  <c r="J43" i="37"/>
  <c r="G23" i="35"/>
  <c r="G33" i="35"/>
  <c r="G43" i="35"/>
  <c r="G43" i="37"/>
  <c r="C79" i="35"/>
  <c r="C109" i="35"/>
  <c r="C119" i="35"/>
  <c r="C129" i="35"/>
  <c r="C129" i="37"/>
  <c r="F102" i="37"/>
  <c r="H43" i="37"/>
  <c r="K22" i="35"/>
  <c r="K32" i="35"/>
  <c r="K42" i="35"/>
  <c r="K42" i="37"/>
  <c r="J47" i="37"/>
  <c r="F46" i="37"/>
  <c r="J118" i="37"/>
  <c r="G127" i="7"/>
  <c r="G27" i="35"/>
  <c r="G37" i="35"/>
  <c r="G47" i="35"/>
  <c r="G117" i="35"/>
  <c r="G127" i="35"/>
  <c r="G127" i="37"/>
  <c r="G117" i="37"/>
  <c r="E47" i="37"/>
  <c r="J44" i="37"/>
  <c r="H48" i="37"/>
  <c r="G28" i="35"/>
  <c r="G38" i="35"/>
  <c r="G48" i="35"/>
  <c r="G48" i="37"/>
  <c r="F49" i="37"/>
  <c r="J80" i="7"/>
  <c r="J80" i="35"/>
  <c r="J80" i="37"/>
  <c r="J72" i="37"/>
  <c r="E48" i="37"/>
  <c r="K29" i="35"/>
  <c r="K39" i="35"/>
  <c r="K49" i="35"/>
  <c r="K49" i="37"/>
  <c r="I52" i="35"/>
  <c r="I62" i="35"/>
  <c r="I72" i="35"/>
  <c r="I72" i="37"/>
  <c r="J102" i="37"/>
  <c r="E72" i="37"/>
  <c r="E80" i="7"/>
  <c r="E80" i="35"/>
  <c r="E80" i="37"/>
  <c r="G24" i="35"/>
  <c r="G34" i="35"/>
  <c r="G44" i="35"/>
  <c r="G44" i="37"/>
  <c r="F78" i="37"/>
  <c r="K27" i="35"/>
  <c r="K37" i="35"/>
  <c r="K47" i="35"/>
  <c r="K47" i="37"/>
  <c r="F47" i="37"/>
  <c r="E42" i="37"/>
  <c r="E50" i="7"/>
  <c r="E50" i="35"/>
  <c r="E50" i="37"/>
  <c r="E115" i="37"/>
  <c r="F44" i="37"/>
  <c r="H119" i="37"/>
  <c r="I24" i="35"/>
  <c r="I34" i="35"/>
  <c r="I44" i="35"/>
  <c r="I44" i="37"/>
  <c r="F342" i="8"/>
  <c r="F342" i="39"/>
  <c r="F72" i="37"/>
  <c r="I22" i="35"/>
  <c r="I32" i="35"/>
  <c r="I42" i="35"/>
  <c r="I42" i="37"/>
  <c r="K25" i="35"/>
  <c r="K35" i="35"/>
  <c r="K45" i="35"/>
  <c r="K45" i="37"/>
  <c r="D48" i="37"/>
  <c r="C342" i="8"/>
  <c r="C342" i="39"/>
  <c r="K82" i="35"/>
  <c r="K92" i="35"/>
  <c r="K102" i="35"/>
  <c r="K102" i="37"/>
  <c r="K110" i="7"/>
  <c r="K110" i="35"/>
  <c r="K110" i="37"/>
  <c r="D76" i="37"/>
  <c r="J105" i="37"/>
  <c r="F45" i="37"/>
  <c r="J119" i="37"/>
  <c r="B322" i="8"/>
  <c r="B322" i="39"/>
  <c r="D324" i="8"/>
  <c r="D324" i="39"/>
  <c r="F337" i="8"/>
  <c r="F337" i="39"/>
  <c r="G82" i="35"/>
  <c r="G92" i="35"/>
  <c r="G102" i="35"/>
  <c r="G102" i="37"/>
  <c r="G110" i="7"/>
  <c r="G110" i="35"/>
  <c r="G110" i="37"/>
  <c r="J50" i="7"/>
  <c r="J50" i="35"/>
  <c r="J50" i="37"/>
  <c r="J42" i="37"/>
  <c r="H80" i="7"/>
  <c r="H80" i="35"/>
  <c r="H80" i="37"/>
  <c r="H72" i="37"/>
  <c r="G22" i="35"/>
  <c r="G32" i="35"/>
  <c r="G42" i="35"/>
  <c r="G42" i="37"/>
  <c r="H320" i="8"/>
  <c r="H320" i="39"/>
  <c r="E102" i="37"/>
  <c r="E110" i="7"/>
  <c r="E110" i="35"/>
  <c r="E110" i="37"/>
  <c r="D43" i="37"/>
  <c r="D42" i="37"/>
  <c r="E346" i="8"/>
  <c r="E346" i="39"/>
  <c r="H47" i="37"/>
  <c r="I110" i="7"/>
  <c r="I82" i="35"/>
  <c r="I92" i="35"/>
  <c r="I102" i="35"/>
  <c r="I110" i="35"/>
  <c r="I110" i="37"/>
  <c r="I102" i="37"/>
  <c r="H44" i="37"/>
  <c r="J327" i="8"/>
  <c r="J327" i="39"/>
  <c r="B143" i="39"/>
  <c r="G52" i="35"/>
  <c r="G62" i="35"/>
  <c r="G72" i="35"/>
  <c r="G72" i="37"/>
  <c r="E339" i="8"/>
  <c r="E339" i="39"/>
  <c r="C333" i="8"/>
  <c r="C333" i="39"/>
  <c r="B140" i="39"/>
  <c r="B338" i="8"/>
  <c r="B338" i="39"/>
  <c r="I27" i="35"/>
  <c r="I37" i="35"/>
  <c r="I47" i="35"/>
  <c r="I117" i="35"/>
  <c r="I117" i="37"/>
  <c r="I127" i="7"/>
  <c r="I127" i="35"/>
  <c r="I127" i="37"/>
  <c r="K23" i="35"/>
  <c r="K33" i="35"/>
  <c r="K43" i="35"/>
  <c r="K43" i="37"/>
  <c r="D320" i="8"/>
  <c r="D320" i="39"/>
  <c r="C318" i="8"/>
  <c r="C318" i="39"/>
  <c r="I28" i="35"/>
  <c r="I38" i="35"/>
  <c r="I48" i="35"/>
  <c r="I48" i="37"/>
  <c r="D337" i="8"/>
  <c r="D337" i="39"/>
  <c r="I23" i="35"/>
  <c r="I33" i="35"/>
  <c r="I43" i="35"/>
  <c r="I43" i="37"/>
  <c r="C76" i="35"/>
  <c r="C106" i="35"/>
  <c r="C116" i="35"/>
  <c r="C126" i="35"/>
  <c r="C126" i="37"/>
  <c r="D44" i="37"/>
  <c r="H102" i="37"/>
  <c r="H110" i="7"/>
  <c r="H110" i="35"/>
  <c r="H110" i="37"/>
  <c r="B141" i="39"/>
  <c r="I319" i="8"/>
  <c r="I319" i="39"/>
  <c r="D105" i="37"/>
  <c r="F104" i="37"/>
  <c r="K58" i="35"/>
  <c r="K68" i="35"/>
  <c r="K78" i="35"/>
  <c r="K78" i="37"/>
  <c r="E116" i="37"/>
  <c r="G129" i="7"/>
  <c r="G29" i="35"/>
  <c r="G39" i="35"/>
  <c r="G49" i="35"/>
  <c r="G119" i="35"/>
  <c r="G129" i="35"/>
  <c r="G129" i="37"/>
  <c r="G119" i="37"/>
  <c r="D110" i="7"/>
  <c r="D110" i="35"/>
  <c r="D110" i="37"/>
  <c r="D102" i="37"/>
  <c r="F50" i="7"/>
  <c r="F50" i="35"/>
  <c r="F50" i="37"/>
  <c r="F42" i="37"/>
  <c r="F48" i="37"/>
  <c r="D72" i="37"/>
  <c r="F43" i="37"/>
  <c r="K24" i="35"/>
  <c r="K34" i="35"/>
  <c r="K44" i="35"/>
  <c r="K44" i="37"/>
  <c r="K28" i="35"/>
  <c r="K38" i="35"/>
  <c r="K48" i="35"/>
  <c r="K48" i="37"/>
  <c r="K80" i="7"/>
  <c r="K52" i="35"/>
  <c r="K62" i="35"/>
  <c r="K72" i="35"/>
  <c r="K57" i="35"/>
  <c r="K67" i="35"/>
  <c r="K77" i="35"/>
  <c r="K80" i="35"/>
  <c r="K80" i="37"/>
  <c r="K72" i="37"/>
  <c r="K77" i="37"/>
  <c r="I346" i="8"/>
  <c r="I346" i="39"/>
  <c r="F333" i="8"/>
  <c r="F333" i="39"/>
  <c r="H351" i="8"/>
  <c r="H351" i="39"/>
  <c r="H342" i="8"/>
  <c r="H342" i="39"/>
  <c r="F344" i="8"/>
  <c r="F344" i="39"/>
  <c r="G327" i="8"/>
  <c r="G327" i="39"/>
  <c r="E350" i="8"/>
  <c r="E350" i="39"/>
  <c r="H326" i="8"/>
  <c r="H326" i="39"/>
  <c r="K348" i="8"/>
  <c r="K348" i="39"/>
  <c r="E347" i="8"/>
  <c r="E347" i="39"/>
  <c r="B336" i="8"/>
  <c r="B336" i="39"/>
  <c r="J339" i="8"/>
  <c r="J339" i="39"/>
  <c r="E113" i="37"/>
  <c r="D80" i="7"/>
  <c r="D80" i="35"/>
  <c r="D80" i="37"/>
  <c r="G80" i="7"/>
  <c r="G80" i="35"/>
  <c r="G80" i="37"/>
  <c r="H323" i="8"/>
  <c r="H323" i="39"/>
  <c r="D332" i="8"/>
  <c r="D332" i="39"/>
  <c r="H321" i="8"/>
  <c r="H321" i="39"/>
  <c r="K337" i="8"/>
  <c r="K337" i="39"/>
  <c r="C338" i="8"/>
  <c r="C338" i="39"/>
  <c r="H340" i="8"/>
  <c r="H340" i="39"/>
  <c r="D330" i="8"/>
  <c r="D330" i="39"/>
  <c r="F317" i="8"/>
  <c r="F317" i="39"/>
  <c r="C326" i="8"/>
  <c r="C326" i="39"/>
  <c r="E335" i="8"/>
  <c r="E335" i="39"/>
  <c r="F350" i="8"/>
  <c r="F350" i="39"/>
  <c r="F348" i="8"/>
  <c r="F348" i="39"/>
  <c r="K340" i="8"/>
  <c r="K340" i="39"/>
  <c r="J320" i="8"/>
  <c r="J320" i="39"/>
  <c r="I320" i="8"/>
  <c r="I320" i="39"/>
  <c r="I348" i="8"/>
  <c r="I348" i="39"/>
  <c r="G317" i="8"/>
  <c r="G317" i="39"/>
  <c r="B341" i="8"/>
  <c r="B341" i="39"/>
  <c r="G341" i="8"/>
  <c r="G341" i="39"/>
  <c r="K342" i="8"/>
  <c r="K342" i="39"/>
  <c r="K323" i="8"/>
  <c r="K323" i="39"/>
  <c r="C350" i="8"/>
  <c r="C350" i="39"/>
  <c r="K346" i="8"/>
  <c r="K346" i="39"/>
  <c r="G344" i="8"/>
  <c r="G344" i="39"/>
  <c r="H318" i="8"/>
  <c r="H318" i="39"/>
  <c r="J317" i="8"/>
  <c r="J317" i="39"/>
  <c r="H346" i="8"/>
  <c r="H346" i="39"/>
  <c r="C329" i="8"/>
  <c r="C329" i="39"/>
  <c r="I331" i="8"/>
  <c r="I331" i="39"/>
  <c r="G319" i="8"/>
  <c r="G319" i="39"/>
  <c r="H331" i="8"/>
  <c r="H331" i="39"/>
  <c r="H332" i="8"/>
  <c r="H332" i="39"/>
  <c r="H336" i="8"/>
  <c r="H336" i="39"/>
  <c r="K328" i="8"/>
  <c r="K328" i="39"/>
  <c r="J348" i="8"/>
  <c r="J348" i="39"/>
  <c r="K339" i="8"/>
  <c r="K339" i="39"/>
  <c r="B319" i="8"/>
  <c r="B319" i="39"/>
  <c r="D348" i="8"/>
  <c r="D348" i="39"/>
  <c r="E331" i="8"/>
  <c r="E331" i="39"/>
  <c r="H328" i="8"/>
  <c r="H328" i="39"/>
  <c r="C332" i="8"/>
  <c r="C332" i="39"/>
  <c r="E327" i="8"/>
  <c r="E327" i="39"/>
  <c r="C349" i="8"/>
  <c r="C349" i="39"/>
  <c r="B339" i="8"/>
  <c r="B339" i="39"/>
  <c r="J335" i="8"/>
  <c r="J335" i="39"/>
  <c r="E320" i="8"/>
  <c r="E320" i="39"/>
  <c r="F328" i="8"/>
  <c r="F328" i="39"/>
  <c r="D350" i="8"/>
  <c r="D350" i="39"/>
  <c r="F329" i="8"/>
  <c r="F329" i="39"/>
  <c r="H329" i="8"/>
  <c r="H329" i="39"/>
  <c r="J321" i="8"/>
  <c r="J321" i="39"/>
  <c r="I327" i="8"/>
  <c r="I327" i="39"/>
  <c r="K320" i="8"/>
  <c r="K320" i="39"/>
  <c r="E319" i="8"/>
  <c r="E319" i="39"/>
  <c r="B345" i="8"/>
  <c r="B345" i="39"/>
  <c r="K128" i="7"/>
  <c r="K118" i="35"/>
  <c r="K128" i="35"/>
  <c r="K128" i="37"/>
  <c r="K118" i="37"/>
  <c r="F118" i="37"/>
  <c r="F112" i="37"/>
  <c r="H115" i="37"/>
  <c r="B317" i="8"/>
  <c r="B317" i="39"/>
  <c r="H114" i="37"/>
  <c r="J116" i="37"/>
  <c r="F116" i="37"/>
  <c r="H113" i="37"/>
  <c r="C73" i="35"/>
  <c r="C103" i="35"/>
  <c r="C113" i="35"/>
  <c r="C123" i="35"/>
  <c r="C123" i="37"/>
  <c r="I126" i="7"/>
  <c r="I116" i="35"/>
  <c r="I126" i="35"/>
  <c r="I126" i="37"/>
  <c r="I116" i="37"/>
  <c r="C317" i="8"/>
  <c r="C317" i="39"/>
  <c r="F339" i="8"/>
  <c r="F339" i="39"/>
  <c r="D321" i="8"/>
  <c r="D321" i="39"/>
  <c r="G331" i="8"/>
  <c r="G331" i="39"/>
  <c r="B320" i="8"/>
  <c r="B320" i="39"/>
  <c r="I324" i="8"/>
  <c r="I324" i="39"/>
  <c r="K349" i="8"/>
  <c r="K349" i="39"/>
  <c r="J347" i="8"/>
  <c r="J347" i="39"/>
  <c r="D347" i="8"/>
  <c r="D347" i="39"/>
  <c r="K322" i="8"/>
  <c r="K322" i="39"/>
  <c r="K319" i="8"/>
  <c r="K319" i="39"/>
  <c r="I80" i="7"/>
  <c r="I80" i="35"/>
  <c r="I80" i="37"/>
  <c r="K50" i="7"/>
  <c r="K26" i="35"/>
  <c r="K36" i="35"/>
  <c r="K46" i="35"/>
  <c r="K50" i="35"/>
  <c r="K50" i="37"/>
  <c r="K117" i="35"/>
  <c r="K117" i="37"/>
  <c r="K127" i="7"/>
  <c r="K127" i="35"/>
  <c r="K127" i="37"/>
  <c r="H118" i="37"/>
  <c r="E117" i="37"/>
  <c r="K124" i="7"/>
  <c r="K114" i="35"/>
  <c r="K124" i="35"/>
  <c r="K124" i="37"/>
  <c r="K114" i="37"/>
  <c r="I125" i="7"/>
  <c r="I25" i="35"/>
  <c r="I35" i="35"/>
  <c r="I45" i="35"/>
  <c r="I115" i="35"/>
  <c r="I125" i="35"/>
  <c r="I125" i="37"/>
  <c r="I115" i="37"/>
  <c r="F115" i="37"/>
  <c r="I29" i="35"/>
  <c r="I39" i="35"/>
  <c r="I49" i="35"/>
  <c r="I119" i="35"/>
  <c r="I119" i="37"/>
  <c r="I129" i="7"/>
  <c r="I129" i="35"/>
  <c r="I129" i="37"/>
  <c r="F114" i="37"/>
  <c r="E112" i="37"/>
  <c r="F117" i="37"/>
  <c r="C78" i="35"/>
  <c r="C108" i="35"/>
  <c r="C118" i="35"/>
  <c r="C118" i="37"/>
  <c r="C128" i="35"/>
  <c r="C128" i="37"/>
  <c r="D115" i="37"/>
  <c r="K112" i="35"/>
  <c r="K112" i="37"/>
  <c r="K122" i="7"/>
  <c r="K122" i="35"/>
  <c r="K122" i="37"/>
  <c r="G123" i="7"/>
  <c r="G113" i="35"/>
  <c r="G123" i="35"/>
  <c r="G123" i="37"/>
  <c r="G113" i="37"/>
  <c r="E340" i="8"/>
  <c r="E340" i="39"/>
  <c r="F321" i="8"/>
  <c r="F321" i="39"/>
  <c r="I340" i="8"/>
  <c r="I340" i="39"/>
  <c r="D335" i="8"/>
  <c r="D335" i="39"/>
  <c r="G349" i="8"/>
  <c r="G349" i="39"/>
  <c r="F318" i="8"/>
  <c r="F318" i="39"/>
  <c r="G350" i="8"/>
  <c r="G350" i="39"/>
  <c r="H341" i="8"/>
  <c r="H341" i="39"/>
  <c r="K336" i="8"/>
  <c r="K336" i="39"/>
  <c r="K333" i="8"/>
  <c r="K333" i="39"/>
  <c r="B346" i="8"/>
  <c r="B346" i="39"/>
  <c r="E341" i="8"/>
  <c r="E341" i="39"/>
  <c r="H349" i="8"/>
  <c r="H349" i="39"/>
  <c r="E323" i="8"/>
  <c r="E323" i="39"/>
  <c r="F322" i="8"/>
  <c r="F322" i="39"/>
  <c r="C346" i="8"/>
  <c r="C346" i="39"/>
  <c r="H335" i="8"/>
  <c r="H335" i="39"/>
  <c r="F327" i="8"/>
  <c r="F327" i="39"/>
  <c r="B340" i="8"/>
  <c r="B340" i="39"/>
  <c r="D323" i="8"/>
  <c r="D323" i="39"/>
  <c r="F336" i="8"/>
  <c r="F336" i="39"/>
  <c r="D338" i="8"/>
  <c r="D338" i="39"/>
  <c r="D116" i="37"/>
  <c r="B117" i="37"/>
  <c r="I123" i="7"/>
  <c r="I113" i="35"/>
  <c r="I123" i="35"/>
  <c r="I123" i="37"/>
  <c r="I113" i="37"/>
  <c r="H117" i="37"/>
  <c r="G122" i="7"/>
  <c r="G112" i="35"/>
  <c r="G122" i="35"/>
  <c r="G122" i="37"/>
  <c r="G112" i="37"/>
  <c r="J112" i="37"/>
  <c r="G25" i="35"/>
  <c r="G35" i="35"/>
  <c r="G45" i="35"/>
  <c r="G115" i="35"/>
  <c r="G115" i="37"/>
  <c r="G125" i="7"/>
  <c r="G125" i="35"/>
  <c r="G125" i="37"/>
  <c r="E119" i="37"/>
  <c r="K116" i="35"/>
  <c r="K116" i="37"/>
  <c r="K126" i="7"/>
  <c r="K126" i="35"/>
  <c r="K126" i="37"/>
  <c r="C77" i="35"/>
  <c r="C107" i="35"/>
  <c r="C117" i="35"/>
  <c r="C127" i="35"/>
  <c r="C127" i="37"/>
  <c r="C117" i="37"/>
  <c r="B321" i="8"/>
  <c r="B321" i="39"/>
  <c r="E329" i="8"/>
  <c r="E329" i="39"/>
  <c r="G329" i="8"/>
  <c r="G329" i="39"/>
  <c r="C331" i="8"/>
  <c r="C331" i="39"/>
  <c r="D346" i="8"/>
  <c r="D346" i="39"/>
  <c r="H50" i="7"/>
  <c r="H50" i="35"/>
  <c r="H50" i="37"/>
  <c r="J411" i="38"/>
  <c r="J411" i="39"/>
  <c r="E412" i="38"/>
  <c r="E412" i="39"/>
  <c r="I412" i="38"/>
  <c r="I412" i="39"/>
  <c r="F410" i="38"/>
  <c r="F410" i="39"/>
  <c r="E409" i="38"/>
  <c r="E409" i="39"/>
  <c r="H410" i="38"/>
  <c r="H410" i="39"/>
  <c r="B409" i="38"/>
  <c r="B409" i="39"/>
  <c r="I408" i="38"/>
  <c r="I408" i="39"/>
  <c r="E408" i="38"/>
  <c r="E408" i="39"/>
  <c r="I407" i="38"/>
  <c r="I407" i="39"/>
  <c r="F411" i="38"/>
  <c r="F411" i="39"/>
  <c r="H412" i="38"/>
  <c r="H412" i="39"/>
  <c r="G409" i="38"/>
  <c r="G409" i="39"/>
  <c r="D414" i="38"/>
  <c r="D414" i="39"/>
  <c r="D409" i="38"/>
  <c r="D409" i="39"/>
  <c r="J412" i="38"/>
  <c r="J412" i="39"/>
  <c r="G408" i="38"/>
  <c r="G408" i="39"/>
  <c r="D407" i="38"/>
  <c r="D407" i="39"/>
  <c r="F412" i="38"/>
  <c r="F412" i="39"/>
  <c r="K414" i="38"/>
  <c r="K414" i="39"/>
  <c r="F408" i="38"/>
  <c r="F408" i="39"/>
  <c r="G412" i="38"/>
  <c r="G412" i="39"/>
  <c r="J413" i="38"/>
  <c r="J413" i="39"/>
  <c r="I410" i="38"/>
  <c r="I410" i="39"/>
  <c r="D412" i="38"/>
  <c r="D412" i="39"/>
  <c r="G410" i="38"/>
  <c r="G410" i="39"/>
  <c r="D112" i="37"/>
  <c r="B326" i="8"/>
  <c r="B326" i="39"/>
  <c r="B118" i="37"/>
  <c r="I114" i="35"/>
  <c r="I114" i="37"/>
  <c r="I124" i="7"/>
  <c r="I124" i="35"/>
  <c r="I124" i="37"/>
  <c r="G126" i="7"/>
  <c r="G116" i="35"/>
  <c r="G126" i="35"/>
  <c r="G126" i="37"/>
  <c r="G116" i="37"/>
  <c r="F119" i="37"/>
  <c r="H112" i="37"/>
  <c r="I330" i="8"/>
  <c r="I330" i="39"/>
  <c r="B323" i="8"/>
  <c r="B323" i="39"/>
  <c r="D331" i="8"/>
  <c r="D331" i="39"/>
  <c r="D340" i="8"/>
  <c r="D340" i="39"/>
  <c r="E338" i="8"/>
  <c r="E338" i="39"/>
  <c r="C322" i="8"/>
  <c r="C322" i="39"/>
  <c r="G50" i="7"/>
  <c r="G50" i="35"/>
  <c r="G50" i="37"/>
  <c r="F335" i="8"/>
  <c r="F335" i="39"/>
  <c r="F80" i="7"/>
  <c r="F80" i="35"/>
  <c r="F80" i="37"/>
  <c r="J110" i="7"/>
  <c r="J110" i="35"/>
  <c r="J110" i="37"/>
  <c r="K391" i="38"/>
  <c r="K391" i="39"/>
  <c r="D389" i="38"/>
  <c r="D389" i="39"/>
  <c r="D394" i="38"/>
  <c r="D394" i="39"/>
  <c r="G394" i="38"/>
  <c r="G394" i="39"/>
  <c r="C393" i="38"/>
  <c r="C393" i="39"/>
  <c r="K389" i="38"/>
  <c r="K389" i="39"/>
  <c r="H391" i="38"/>
  <c r="H391" i="39"/>
  <c r="K393" i="38"/>
  <c r="K393" i="39"/>
  <c r="I391" i="38"/>
  <c r="I391" i="39"/>
  <c r="H392" i="38"/>
  <c r="H392" i="39"/>
  <c r="D114" i="37"/>
  <c r="I128" i="7"/>
  <c r="I118" i="35"/>
  <c r="I128" i="35"/>
  <c r="I128" i="37"/>
  <c r="I118" i="37"/>
  <c r="E114" i="37"/>
  <c r="K115" i="35"/>
  <c r="K115" i="37"/>
  <c r="K125" i="7"/>
  <c r="K125" i="35"/>
  <c r="K125" i="37"/>
  <c r="C74" i="35"/>
  <c r="C104" i="35"/>
  <c r="C114" i="35"/>
  <c r="C124" i="35"/>
  <c r="C124" i="37"/>
  <c r="C114" i="37"/>
  <c r="J117" i="37"/>
  <c r="C75" i="35"/>
  <c r="C105" i="35"/>
  <c r="C115" i="35"/>
  <c r="C125" i="35"/>
  <c r="C125" i="37"/>
  <c r="C115" i="37"/>
  <c r="B115" i="37"/>
  <c r="F341" i="8"/>
  <c r="F341" i="39"/>
  <c r="J349" i="8"/>
  <c r="J349" i="39"/>
  <c r="C335" i="8"/>
  <c r="C335" i="39"/>
  <c r="J326" i="8"/>
  <c r="J326" i="39"/>
  <c r="G346" i="8"/>
  <c r="G346" i="39"/>
  <c r="J336" i="8"/>
  <c r="J336" i="39"/>
  <c r="D333" i="8"/>
  <c r="D333" i="39"/>
  <c r="C351" i="8"/>
  <c r="C351" i="39"/>
  <c r="G326" i="8"/>
  <c r="G326" i="39"/>
  <c r="H333" i="8"/>
  <c r="H333" i="39"/>
  <c r="J337" i="8"/>
  <c r="J337" i="39"/>
  <c r="E333" i="8"/>
  <c r="E333" i="39"/>
  <c r="I332" i="8"/>
  <c r="I332" i="39"/>
  <c r="K335" i="8"/>
  <c r="K335" i="39"/>
  <c r="G342" i="8"/>
  <c r="G342" i="39"/>
  <c r="B349" i="8"/>
  <c r="B349" i="39"/>
  <c r="H330" i="8"/>
  <c r="H330" i="39"/>
  <c r="G324" i="8"/>
  <c r="G324" i="39"/>
  <c r="G337" i="8"/>
  <c r="G337" i="39"/>
  <c r="D50" i="7"/>
  <c r="D50" i="35"/>
  <c r="D50" i="37"/>
  <c r="D344" i="8"/>
  <c r="D344" i="39"/>
  <c r="D322" i="8"/>
  <c r="D322" i="39"/>
  <c r="I349" i="8"/>
  <c r="I349" i="39"/>
  <c r="J351" i="8"/>
  <c r="J351" i="39"/>
  <c r="I335" i="8"/>
  <c r="I335" i="39"/>
  <c r="K332" i="8"/>
  <c r="K332" i="39"/>
  <c r="D318" i="8"/>
  <c r="D318" i="39"/>
  <c r="F338" i="8"/>
  <c r="F338" i="39"/>
  <c r="I50" i="7"/>
  <c r="I50" i="35"/>
  <c r="I50" i="37"/>
  <c r="F110" i="7"/>
  <c r="F110" i="35"/>
  <c r="F110" i="37"/>
  <c r="J115" i="37"/>
  <c r="D117" i="37"/>
  <c r="I122" i="7"/>
  <c r="I112" i="35"/>
  <c r="I122" i="35"/>
  <c r="I122" i="37"/>
  <c r="I112" i="37"/>
  <c r="G114" i="35"/>
  <c r="G114" i="37"/>
  <c r="G124" i="7"/>
  <c r="G124" i="35"/>
  <c r="G124" i="37"/>
  <c r="K119" i="35"/>
  <c r="K119" i="37"/>
  <c r="K129" i="7"/>
  <c r="K129" i="35"/>
  <c r="K129" i="37"/>
  <c r="G118" i="35"/>
  <c r="G118" i="37"/>
  <c r="G128" i="7"/>
  <c r="G128" i="35"/>
  <c r="G128" i="37"/>
  <c r="F113" i="37"/>
  <c r="B335" i="8"/>
  <c r="B335" i="39"/>
  <c r="K123" i="7"/>
  <c r="K113" i="35"/>
  <c r="K123" i="35"/>
  <c r="K123" i="37"/>
  <c r="K113" i="37"/>
  <c r="D113" i="37"/>
  <c r="D400" i="38"/>
  <c r="D400" i="39"/>
  <c r="G404" i="38"/>
  <c r="G404" i="39"/>
  <c r="H404" i="38"/>
  <c r="H404" i="39"/>
  <c r="E400" i="38"/>
  <c r="E400" i="39"/>
  <c r="J399" i="38"/>
  <c r="J399" i="39"/>
  <c r="G398" i="38"/>
  <c r="G398" i="39"/>
  <c r="E404" i="38"/>
  <c r="E404" i="39"/>
  <c r="H400" i="38"/>
  <c r="H400" i="39"/>
  <c r="C401" i="38"/>
  <c r="C401" i="39"/>
  <c r="F401" i="38"/>
  <c r="F401" i="39"/>
  <c r="K401" i="38"/>
  <c r="K401" i="39"/>
  <c r="E399" i="38"/>
  <c r="E399" i="39"/>
  <c r="F400" i="38"/>
  <c r="F400" i="39"/>
  <c r="J405" i="38"/>
  <c r="J405" i="39"/>
  <c r="G402" i="38"/>
  <c r="G402" i="39"/>
  <c r="I403" i="38"/>
  <c r="I403" i="39"/>
  <c r="F405" i="38"/>
  <c r="F405" i="39"/>
  <c r="G403" i="38"/>
  <c r="G403" i="39"/>
  <c r="J404" i="38"/>
  <c r="J404" i="39"/>
  <c r="D405" i="38"/>
  <c r="D405" i="39"/>
  <c r="J403" i="38"/>
  <c r="J403" i="39"/>
  <c r="B399" i="38"/>
  <c r="B399" i="39"/>
  <c r="B400" i="38"/>
  <c r="B400" i="39"/>
  <c r="J400" i="38"/>
  <c r="J400" i="39"/>
  <c r="B402" i="38"/>
  <c r="B402" i="39"/>
  <c r="I399" i="38"/>
  <c r="I399" i="39"/>
  <c r="K404" i="38"/>
  <c r="K404" i="39"/>
  <c r="C404" i="38"/>
  <c r="C404" i="39"/>
  <c r="J402" i="38"/>
  <c r="J402" i="39"/>
  <c r="K403" i="38"/>
  <c r="K403" i="39"/>
  <c r="H399" i="38"/>
  <c r="H399" i="39"/>
  <c r="D402" i="38"/>
  <c r="D402" i="39"/>
  <c r="C399" i="38"/>
  <c r="C399" i="39"/>
  <c r="F402" i="38"/>
  <c r="F402" i="39"/>
  <c r="C405" i="38"/>
  <c r="C405" i="39"/>
  <c r="G400" i="38"/>
  <c r="G400" i="39"/>
  <c r="K399" i="38"/>
  <c r="K399" i="39"/>
  <c r="H398" i="38"/>
  <c r="H398" i="39"/>
  <c r="I400" i="38"/>
  <c r="I400" i="39"/>
  <c r="H402" i="38"/>
  <c r="H402" i="39"/>
  <c r="B404" i="38"/>
  <c r="B404" i="39"/>
  <c r="D403" i="38"/>
  <c r="D403" i="39"/>
  <c r="B405" i="38"/>
  <c r="B405" i="39"/>
  <c r="H405" i="38"/>
  <c r="H405" i="39"/>
  <c r="E405" i="38"/>
  <c r="E405" i="39"/>
  <c r="J398" i="38"/>
  <c r="J398" i="39"/>
  <c r="C403" i="38"/>
  <c r="C403" i="39"/>
  <c r="K400" i="38"/>
  <c r="K400" i="39"/>
  <c r="B403" i="38"/>
  <c r="B403" i="39"/>
  <c r="C402" i="38"/>
  <c r="C402" i="39"/>
  <c r="I405" i="38"/>
  <c r="I405" i="39"/>
  <c r="G401" i="38"/>
  <c r="G401" i="39"/>
  <c r="E401" i="38"/>
  <c r="E401" i="39"/>
  <c r="F399" i="38"/>
  <c r="F399" i="39"/>
  <c r="F398" i="38"/>
  <c r="F398" i="39"/>
  <c r="J401" i="38"/>
  <c r="J401" i="39"/>
  <c r="D399" i="38"/>
  <c r="D399" i="39"/>
  <c r="C398" i="38"/>
  <c r="C398" i="39"/>
  <c r="F404" i="38"/>
  <c r="F404" i="39"/>
  <c r="D401" i="38"/>
  <c r="D401" i="39"/>
  <c r="K405" i="38"/>
  <c r="K405" i="39"/>
  <c r="E403" i="38"/>
  <c r="E403" i="39"/>
  <c r="D404" i="38"/>
  <c r="D404" i="39"/>
  <c r="D118" i="37"/>
  <c r="C72" i="35"/>
  <c r="C102" i="35"/>
  <c r="C112" i="35"/>
  <c r="C122" i="35"/>
  <c r="C122" i="37"/>
  <c r="E118" i="37"/>
  <c r="H116" i="37"/>
  <c r="D119" i="37"/>
  <c r="J114" i="37"/>
  <c r="J113" i="37"/>
  <c r="E322" i="8"/>
  <c r="E322" i="39"/>
  <c r="K347" i="8"/>
  <c r="K347" i="39"/>
  <c r="C319" i="8"/>
  <c r="C319" i="39"/>
  <c r="C320" i="8"/>
  <c r="C320" i="39"/>
  <c r="I347" i="8"/>
  <c r="I347" i="39"/>
  <c r="B329" i="8"/>
  <c r="B329" i="39"/>
  <c r="B333" i="8"/>
  <c r="B333" i="39"/>
  <c r="I342" i="8"/>
  <c r="I342" i="39"/>
  <c r="K326" i="8"/>
  <c r="K326" i="39"/>
  <c r="H327" i="8"/>
  <c r="H327" i="39"/>
  <c r="C348" i="8"/>
  <c r="C348" i="39"/>
  <c r="B348" i="8"/>
  <c r="B348" i="39"/>
  <c r="H319" i="8"/>
  <c r="H319" i="39"/>
  <c r="J318" i="8"/>
  <c r="J318" i="39"/>
  <c r="B332" i="8"/>
  <c r="B332" i="39"/>
  <c r="K351" i="8"/>
  <c r="K351" i="39"/>
  <c r="K330" i="8"/>
  <c r="K330" i="39"/>
  <c r="I338" i="8"/>
  <c r="I338" i="39"/>
  <c r="E349" i="8"/>
  <c r="E349" i="39"/>
  <c r="G322" i="8"/>
  <c r="G322" i="39"/>
  <c r="C327" i="8"/>
  <c r="C327" i="39"/>
  <c r="H401" i="38"/>
  <c r="H401" i="39"/>
  <c r="D396" i="38"/>
  <c r="D396" i="39"/>
  <c r="C389" i="38"/>
  <c r="C389" i="39"/>
  <c r="K398" i="38"/>
  <c r="K398" i="39"/>
  <c r="I401" i="38"/>
  <c r="I401" i="39"/>
  <c r="G399" i="38"/>
  <c r="G399" i="39"/>
  <c r="B401" i="38"/>
  <c r="B401" i="39"/>
  <c r="H403" i="38"/>
  <c r="H403" i="39"/>
  <c r="E402" i="38"/>
  <c r="E402" i="39"/>
  <c r="D398" i="38"/>
  <c r="D398" i="39"/>
  <c r="E398" i="38"/>
  <c r="E398" i="39"/>
  <c r="C400" i="38"/>
  <c r="C400" i="39"/>
  <c r="I392" i="38"/>
  <c r="I392" i="39"/>
  <c r="K396" i="38"/>
  <c r="K396" i="39"/>
  <c r="K395" i="38"/>
  <c r="K395" i="39"/>
  <c r="C391" i="38"/>
  <c r="C391" i="39"/>
  <c r="D392" i="38"/>
  <c r="D392" i="39"/>
  <c r="J392" i="38"/>
  <c r="J392" i="39"/>
  <c r="J390" i="38"/>
  <c r="J390" i="39"/>
  <c r="C390" i="38"/>
  <c r="C390" i="39"/>
  <c r="I395" i="38"/>
  <c r="I395" i="39"/>
  <c r="H393" i="38"/>
  <c r="H393" i="39"/>
  <c r="J391" i="38"/>
  <c r="J391" i="39"/>
  <c r="E411" i="38"/>
  <c r="E411" i="39"/>
  <c r="K402" i="38"/>
  <c r="K402" i="39"/>
  <c r="I398" i="38"/>
  <c r="I398" i="39"/>
  <c r="G405" i="38"/>
  <c r="G405" i="39"/>
  <c r="G390" i="38"/>
  <c r="G390" i="39"/>
  <c r="E392" i="38"/>
  <c r="E392" i="39"/>
  <c r="K394" i="38"/>
  <c r="K394" i="39"/>
  <c r="I402" i="38"/>
  <c r="I402" i="39"/>
  <c r="G389" i="38"/>
  <c r="G389" i="39"/>
  <c r="H414" i="38"/>
  <c r="H414" i="39"/>
  <c r="F403" i="38"/>
  <c r="F403" i="39"/>
  <c r="I404" i="38"/>
  <c r="I404" i="39"/>
  <c r="I411" i="38"/>
  <c r="I411" i="39"/>
  <c r="F393" i="38"/>
  <c r="F393" i="39"/>
  <c r="B394" i="38"/>
  <c r="B394" i="39"/>
  <c r="C412" i="38"/>
  <c r="C412" i="39"/>
  <c r="J395" i="38"/>
  <c r="J395" i="39"/>
  <c r="J389" i="38"/>
  <c r="J389" i="39"/>
  <c r="H407" i="38"/>
  <c r="H407" i="39"/>
  <c r="E414" i="38"/>
  <c r="E414" i="39"/>
  <c r="K408" i="38"/>
  <c r="K408" i="39"/>
  <c r="D411" i="38"/>
  <c r="D411" i="39"/>
  <c r="D391" i="38"/>
  <c r="D391" i="39"/>
  <c r="C395" i="38"/>
  <c r="C395" i="39"/>
  <c r="B390" i="38"/>
  <c r="B390" i="39"/>
  <c r="J396" i="38"/>
  <c r="J396" i="39"/>
  <c r="I394" i="38"/>
  <c r="I394" i="39"/>
  <c r="D393" i="38"/>
  <c r="D393" i="39"/>
  <c r="G393" i="38"/>
  <c r="G393" i="39"/>
  <c r="D390" i="38"/>
  <c r="D390" i="39"/>
  <c r="K392" i="38"/>
  <c r="K392" i="39"/>
  <c r="C413" i="38"/>
  <c r="C413" i="39"/>
  <c r="H408" i="38"/>
  <c r="H408" i="39"/>
  <c r="B414" i="38"/>
  <c r="B414" i="39"/>
  <c r="H409" i="38"/>
  <c r="H409" i="39"/>
  <c r="J410" i="38"/>
  <c r="J410" i="39"/>
  <c r="I409" i="38"/>
  <c r="I409" i="39"/>
  <c r="G392" i="38"/>
  <c r="G392" i="39"/>
  <c r="E393" i="38"/>
  <c r="E393" i="39"/>
  <c r="G396" i="38"/>
  <c r="G396" i="39"/>
  <c r="E390" i="38"/>
  <c r="E390" i="39"/>
  <c r="E407" i="38"/>
  <c r="E407" i="39"/>
  <c r="G413" i="38"/>
  <c r="G413" i="39"/>
  <c r="G411" i="38"/>
  <c r="G411" i="39"/>
  <c r="K412" i="38"/>
  <c r="K412" i="39"/>
  <c r="D410" i="38"/>
  <c r="D410" i="39"/>
  <c r="F414" i="38"/>
  <c r="F414" i="39"/>
  <c r="I413" i="38"/>
  <c r="I413" i="39"/>
  <c r="K413" i="38"/>
  <c r="K413" i="39"/>
  <c r="F413" i="38"/>
  <c r="F413" i="39"/>
  <c r="K409" i="38"/>
  <c r="K409" i="39"/>
  <c r="F394" i="38"/>
  <c r="F394" i="39"/>
  <c r="B392" i="38"/>
  <c r="B392" i="39"/>
  <c r="E389" i="38"/>
  <c r="E389" i="39"/>
  <c r="B393" i="38"/>
  <c r="B393" i="39"/>
  <c r="B391" i="38"/>
  <c r="B391" i="39"/>
  <c r="C394" i="38"/>
  <c r="C394" i="39"/>
  <c r="E396" i="38"/>
  <c r="E396" i="39"/>
  <c r="B410" i="38"/>
  <c r="B410" i="39"/>
  <c r="C407" i="38"/>
  <c r="C407" i="39"/>
  <c r="C410" i="38"/>
  <c r="C410" i="39"/>
  <c r="K407" i="38"/>
  <c r="K407" i="39"/>
  <c r="G407" i="38"/>
  <c r="G407" i="39"/>
  <c r="B412" i="38"/>
  <c r="B412" i="39"/>
  <c r="C414" i="38"/>
  <c r="C414" i="39"/>
  <c r="K411" i="38"/>
  <c r="K411" i="39"/>
  <c r="C411" i="38"/>
  <c r="C411" i="39"/>
  <c r="B398" i="38"/>
  <c r="B398" i="39"/>
  <c r="D120" i="35"/>
  <c r="D120" i="37"/>
  <c r="C198" i="8"/>
  <c r="E423" i="38"/>
  <c r="E423" i="39"/>
  <c r="H416" i="38"/>
  <c r="H416" i="39"/>
  <c r="G416" i="38"/>
  <c r="G416" i="39"/>
  <c r="B418" i="38"/>
  <c r="B418" i="39"/>
  <c r="D422" i="38"/>
  <c r="D422" i="39"/>
  <c r="B421" i="38"/>
  <c r="B421" i="39"/>
  <c r="D419" i="38"/>
  <c r="D419" i="39"/>
  <c r="H420" i="38"/>
  <c r="H420" i="39"/>
  <c r="E417" i="38"/>
  <c r="E417" i="39"/>
  <c r="F417" i="38"/>
  <c r="F417" i="39"/>
  <c r="B120" i="35"/>
  <c r="B120" i="37"/>
  <c r="F466" i="8"/>
  <c r="F466" i="38"/>
  <c r="F466" i="39"/>
  <c r="E467" i="8"/>
  <c r="E467" i="38"/>
  <c r="E467" i="39"/>
  <c r="K462" i="8"/>
  <c r="K462" i="38"/>
  <c r="K462" i="39"/>
  <c r="E465" i="8"/>
  <c r="E465" i="38"/>
  <c r="E465" i="39"/>
  <c r="C466" i="8"/>
  <c r="C466" i="38"/>
  <c r="C466" i="39"/>
  <c r="F464" i="8"/>
  <c r="F464" i="38"/>
  <c r="F464" i="39"/>
  <c r="E461" i="8"/>
  <c r="E461" i="38"/>
  <c r="E461" i="39"/>
  <c r="E464" i="8"/>
  <c r="E464" i="38"/>
  <c r="E464" i="39"/>
  <c r="J467" i="8"/>
  <c r="J467" i="38"/>
  <c r="J467" i="39"/>
  <c r="G463" i="8"/>
  <c r="G463" i="38"/>
  <c r="G463" i="39"/>
  <c r="K468" i="8"/>
  <c r="K468" i="38"/>
  <c r="K468" i="39"/>
  <c r="K467" i="8"/>
  <c r="K467" i="38"/>
  <c r="K467" i="39"/>
  <c r="C465" i="8"/>
  <c r="C465" i="38"/>
  <c r="C465" i="39"/>
  <c r="F465" i="8"/>
  <c r="F465" i="38"/>
  <c r="F465" i="39"/>
  <c r="G461" i="8"/>
  <c r="G461" i="38"/>
  <c r="G461" i="39"/>
  <c r="I464" i="8"/>
  <c r="I464" i="38"/>
  <c r="I464" i="39"/>
  <c r="J464" i="8"/>
  <c r="J464" i="38"/>
  <c r="J464" i="39"/>
  <c r="C208" i="8"/>
  <c r="C211" i="8"/>
  <c r="F395" i="38"/>
  <c r="F395" i="39"/>
  <c r="D413" i="38"/>
  <c r="D413" i="39"/>
  <c r="G418" i="38"/>
  <c r="G418" i="39"/>
  <c r="C421" i="38"/>
  <c r="C421" i="39"/>
  <c r="C422" i="38"/>
  <c r="C422" i="39"/>
  <c r="C418" i="38"/>
  <c r="C418" i="39"/>
  <c r="B423" i="38"/>
  <c r="B423" i="39"/>
  <c r="F416" i="38"/>
  <c r="F416" i="39"/>
  <c r="H417" i="38"/>
  <c r="H417" i="39"/>
  <c r="J421" i="38"/>
  <c r="J421" i="39"/>
  <c r="I418" i="38"/>
  <c r="I418" i="39"/>
  <c r="K420" i="38"/>
  <c r="K420" i="39"/>
  <c r="B407" i="38"/>
  <c r="B407" i="39"/>
  <c r="J120" i="35"/>
  <c r="J120" i="37"/>
  <c r="B416" i="38"/>
  <c r="B416" i="39"/>
  <c r="I457" i="39"/>
  <c r="F459" i="39"/>
  <c r="H459" i="39"/>
  <c r="K457" i="39"/>
  <c r="G453" i="39"/>
  <c r="I455" i="39"/>
  <c r="K455" i="39"/>
  <c r="D456" i="39"/>
  <c r="B458" i="39"/>
  <c r="J455" i="39"/>
  <c r="K458" i="39"/>
  <c r="C452" i="39"/>
  <c r="H458" i="39"/>
  <c r="I453" i="39"/>
  <c r="K453" i="39"/>
  <c r="D452" i="39"/>
  <c r="F458" i="39"/>
  <c r="B453" i="39"/>
  <c r="F456" i="39"/>
  <c r="J458" i="8"/>
  <c r="J458" i="39"/>
  <c r="D459" i="39"/>
  <c r="E454" i="39"/>
  <c r="J453" i="39"/>
  <c r="K454" i="39"/>
  <c r="I456" i="39"/>
  <c r="D453" i="39"/>
  <c r="E455" i="39"/>
  <c r="F120" i="35"/>
  <c r="F120" i="37"/>
  <c r="C201" i="8"/>
  <c r="C207" i="8"/>
  <c r="G395" i="38"/>
  <c r="G395" i="39"/>
  <c r="J394" i="38"/>
  <c r="J394" i="39"/>
  <c r="I396" i="38"/>
  <c r="I396" i="39"/>
  <c r="G422" i="38"/>
  <c r="G422" i="39"/>
  <c r="K418" i="38"/>
  <c r="K418" i="39"/>
  <c r="J420" i="38"/>
  <c r="J420" i="39"/>
  <c r="B417" i="38"/>
  <c r="B417" i="39"/>
  <c r="F420" i="38"/>
  <c r="F420" i="39"/>
  <c r="H421" i="38"/>
  <c r="H421" i="39"/>
  <c r="C420" i="38"/>
  <c r="C420" i="39"/>
  <c r="H422" i="38"/>
  <c r="H422" i="39"/>
  <c r="D417" i="38"/>
  <c r="D417" i="39"/>
  <c r="B389" i="38"/>
  <c r="B389" i="39"/>
  <c r="H430" i="39"/>
  <c r="H120" i="35"/>
  <c r="H120" i="37"/>
  <c r="E120" i="35"/>
  <c r="E120" i="37"/>
  <c r="C210" i="8"/>
  <c r="E391" i="38"/>
  <c r="E391" i="39"/>
  <c r="F389" i="38"/>
  <c r="F389" i="39"/>
  <c r="F391" i="38"/>
  <c r="F391" i="39"/>
  <c r="F396" i="38"/>
  <c r="F396" i="39"/>
  <c r="H395" i="38"/>
  <c r="H395" i="39"/>
  <c r="B396" i="38"/>
  <c r="B396" i="39"/>
  <c r="I393" i="38"/>
  <c r="I393" i="39"/>
  <c r="H396" i="38"/>
  <c r="H396" i="39"/>
  <c r="H394" i="38"/>
  <c r="H394" i="39"/>
  <c r="E410" i="38"/>
  <c r="E410" i="39"/>
  <c r="H411" i="38"/>
  <c r="H411" i="39"/>
  <c r="B408" i="38"/>
  <c r="B408" i="39"/>
  <c r="G414" i="38"/>
  <c r="G414" i="39"/>
  <c r="H413" i="38"/>
  <c r="H413" i="39"/>
  <c r="C409" i="38"/>
  <c r="C409" i="39"/>
  <c r="E413" i="38"/>
  <c r="E413" i="39"/>
  <c r="D423" i="38"/>
  <c r="D423" i="39"/>
  <c r="D420" i="38"/>
  <c r="D420" i="39"/>
  <c r="J419" i="38"/>
  <c r="J419" i="39"/>
  <c r="B420" i="38"/>
  <c r="B420" i="39"/>
  <c r="G420" i="38"/>
  <c r="G420" i="39"/>
  <c r="J422" i="38"/>
  <c r="J422" i="39"/>
  <c r="D416" i="38"/>
  <c r="D416" i="39"/>
  <c r="K417" i="38"/>
  <c r="K417" i="39"/>
  <c r="G419" i="38"/>
  <c r="G419" i="39"/>
  <c r="K419" i="38"/>
  <c r="K419" i="39"/>
  <c r="C204" i="8"/>
  <c r="C206" i="8"/>
  <c r="J414" i="38"/>
  <c r="J414" i="39"/>
  <c r="F419" i="38"/>
  <c r="F419" i="39"/>
  <c r="K423" i="38"/>
  <c r="K423" i="39"/>
  <c r="B419" i="38"/>
  <c r="B419" i="39"/>
  <c r="G423" i="38"/>
  <c r="G423" i="39"/>
  <c r="F423" i="38"/>
  <c r="F423" i="39"/>
  <c r="J417" i="38"/>
  <c r="J417" i="39"/>
  <c r="F422" i="38"/>
  <c r="F422" i="39"/>
  <c r="I423" i="38"/>
  <c r="I423" i="39"/>
  <c r="K416" i="38"/>
  <c r="K416" i="39"/>
  <c r="E420" i="38"/>
  <c r="E420" i="39"/>
  <c r="K473" i="8"/>
  <c r="K473" i="38"/>
  <c r="K473" i="39"/>
  <c r="E471" i="8"/>
  <c r="E471" i="38"/>
  <c r="E471" i="39"/>
  <c r="D476" i="8"/>
  <c r="D476" i="38"/>
  <c r="D476" i="39"/>
  <c r="D471" i="8"/>
  <c r="D471" i="38"/>
  <c r="D471" i="39"/>
  <c r="C472" i="8"/>
  <c r="C472" i="38"/>
  <c r="C472" i="39"/>
  <c r="D473" i="8"/>
  <c r="D473" i="38"/>
  <c r="D473" i="39"/>
  <c r="I470" i="8"/>
  <c r="I470" i="38"/>
  <c r="I470" i="39"/>
  <c r="C197" i="8"/>
  <c r="C212" i="8"/>
  <c r="F390" i="38"/>
  <c r="F390" i="39"/>
  <c r="F392" i="38"/>
  <c r="F392" i="39"/>
  <c r="C392" i="38"/>
  <c r="C392" i="39"/>
  <c r="B395" i="38"/>
  <c r="B395" i="39"/>
  <c r="K390" i="38"/>
  <c r="K390" i="39"/>
  <c r="D395" i="38"/>
  <c r="D395" i="39"/>
  <c r="G391" i="38"/>
  <c r="G391" i="39"/>
  <c r="I389" i="38"/>
  <c r="I389" i="39"/>
  <c r="D408" i="38"/>
  <c r="D408" i="39"/>
  <c r="F407" i="38"/>
  <c r="F407" i="39"/>
  <c r="J408" i="38"/>
  <c r="J408" i="39"/>
  <c r="B411" i="38"/>
  <c r="B411" i="39"/>
  <c r="J407" i="38"/>
  <c r="J407" i="39"/>
  <c r="C408" i="38"/>
  <c r="C408" i="39"/>
  <c r="F409" i="38"/>
  <c r="F409" i="39"/>
  <c r="I414" i="38"/>
  <c r="I414" i="39"/>
  <c r="J409" i="38"/>
  <c r="J409" i="39"/>
  <c r="J418" i="38"/>
  <c r="J418" i="39"/>
  <c r="F421" i="38"/>
  <c r="F421" i="39"/>
  <c r="C416" i="38"/>
  <c r="C416" i="39"/>
  <c r="K422" i="38"/>
  <c r="K422" i="39"/>
  <c r="H423" i="38"/>
  <c r="H423" i="39"/>
  <c r="H418" i="38"/>
  <c r="H418" i="39"/>
  <c r="I422" i="38"/>
  <c r="I422" i="39"/>
  <c r="I417" i="38"/>
  <c r="I417" i="39"/>
  <c r="K421" i="38"/>
  <c r="K421" i="39"/>
  <c r="E421" i="38"/>
  <c r="E421" i="39"/>
  <c r="K120" i="35"/>
  <c r="K120" i="37"/>
  <c r="C202" i="8"/>
  <c r="C199" i="8"/>
  <c r="C209" i="8"/>
  <c r="C213" i="8"/>
  <c r="H389" i="38"/>
  <c r="H389" i="39"/>
  <c r="K410" i="38"/>
  <c r="K410" i="39"/>
  <c r="E419" i="38"/>
  <c r="E419" i="39"/>
  <c r="B422" i="38"/>
  <c r="B422" i="39"/>
  <c r="E422" i="38"/>
  <c r="E422" i="39"/>
  <c r="I420" i="38"/>
  <c r="I420" i="39"/>
  <c r="C423" i="38"/>
  <c r="C423" i="39"/>
  <c r="D421" i="38"/>
  <c r="D421" i="39"/>
  <c r="J423" i="38"/>
  <c r="J423" i="39"/>
  <c r="I419" i="38"/>
  <c r="I419" i="39"/>
  <c r="G421" i="38"/>
  <c r="G421" i="39"/>
  <c r="I421" i="38"/>
  <c r="I421" i="39"/>
  <c r="I120" i="35"/>
  <c r="I120" i="37"/>
  <c r="C120" i="35"/>
  <c r="C120" i="37"/>
  <c r="G120" i="35"/>
  <c r="G120" i="37"/>
  <c r="F495" i="8"/>
  <c r="F495" i="38"/>
  <c r="F495" i="39"/>
  <c r="I489" i="8"/>
  <c r="I489" i="38"/>
  <c r="I489" i="39"/>
  <c r="D488" i="8"/>
  <c r="D488" i="38"/>
  <c r="D488" i="39"/>
  <c r="E494" i="8"/>
  <c r="E494" i="38"/>
  <c r="E494" i="39"/>
  <c r="K493" i="8"/>
  <c r="K493" i="38"/>
  <c r="K493" i="39"/>
  <c r="I491" i="8"/>
  <c r="I491" i="38"/>
  <c r="I491" i="39"/>
  <c r="F492" i="8"/>
  <c r="F492" i="38"/>
  <c r="F492" i="39"/>
  <c r="G488" i="8"/>
  <c r="G488" i="38"/>
  <c r="G488" i="39"/>
  <c r="I495" i="8"/>
  <c r="I495" i="38"/>
  <c r="I495" i="39"/>
  <c r="C200" i="8"/>
  <c r="C203" i="8"/>
  <c r="E395" i="38"/>
  <c r="E395" i="39"/>
  <c r="I390" i="38"/>
  <c r="I390" i="39"/>
  <c r="J393" i="38"/>
  <c r="J393" i="39"/>
  <c r="C396" i="38"/>
  <c r="C396" i="39"/>
  <c r="E394" i="38"/>
  <c r="E394" i="39"/>
  <c r="H390" i="38"/>
  <c r="H390" i="39"/>
  <c r="B413" i="38"/>
  <c r="B413" i="39"/>
  <c r="C419" i="38"/>
  <c r="C419" i="39"/>
  <c r="J416" i="38"/>
  <c r="J416" i="39"/>
  <c r="D418" i="38"/>
  <c r="D418" i="39"/>
  <c r="C417" i="38"/>
  <c r="C417" i="39"/>
  <c r="H419" i="38"/>
  <c r="H419" i="39"/>
  <c r="F418" i="38"/>
  <c r="F418" i="39"/>
  <c r="G417" i="38"/>
  <c r="G417" i="39"/>
  <c r="E418" i="38"/>
  <c r="E418" i="39"/>
  <c r="E416" i="38"/>
  <c r="E416" i="39"/>
  <c r="I416" i="38"/>
  <c r="I416" i="39"/>
  <c r="H474" i="8"/>
  <c r="H474" i="38"/>
  <c r="H474" i="39"/>
  <c r="I462" i="8"/>
  <c r="I462" i="38"/>
  <c r="I462" i="39"/>
  <c r="H465" i="8"/>
  <c r="H465" i="38"/>
  <c r="H465" i="39"/>
  <c r="H491" i="8"/>
  <c r="H491" i="38"/>
  <c r="H491" i="39"/>
  <c r="E475" i="8"/>
  <c r="E475" i="38"/>
  <c r="E475" i="39"/>
  <c r="C476" i="8"/>
  <c r="C476" i="38"/>
  <c r="C476" i="39"/>
  <c r="G493" i="8"/>
  <c r="G493" i="38"/>
  <c r="G493" i="39"/>
  <c r="C475" i="8"/>
  <c r="C475" i="38"/>
  <c r="C475" i="39"/>
  <c r="I492" i="8"/>
  <c r="I492" i="38"/>
  <c r="I492" i="39"/>
  <c r="E490" i="8"/>
  <c r="E490" i="38"/>
  <c r="E490" i="39"/>
  <c r="J477" i="8"/>
  <c r="J477" i="38"/>
  <c r="J477" i="39"/>
  <c r="E458" i="39"/>
  <c r="G459" i="39"/>
  <c r="D468" i="8"/>
  <c r="D468" i="38"/>
  <c r="D468" i="39"/>
  <c r="F490" i="8"/>
  <c r="F490" i="38"/>
  <c r="F490" i="39"/>
  <c r="E473" i="8"/>
  <c r="E473" i="38"/>
  <c r="E473" i="39"/>
  <c r="G465" i="8"/>
  <c r="G465" i="38"/>
  <c r="G465" i="39"/>
  <c r="I463" i="8"/>
  <c r="I463" i="38"/>
  <c r="I463" i="39"/>
  <c r="D462" i="8"/>
  <c r="D462" i="38"/>
  <c r="D462" i="39"/>
  <c r="I467" i="8"/>
  <c r="I467" i="38"/>
  <c r="I467" i="39"/>
  <c r="J461" i="8"/>
  <c r="J461" i="38"/>
  <c r="J461" i="39"/>
  <c r="F491" i="8"/>
  <c r="F491" i="38"/>
  <c r="F491" i="39"/>
  <c r="K465" i="8"/>
  <c r="K465" i="38"/>
  <c r="K465" i="39"/>
  <c r="H462" i="8"/>
  <c r="H462" i="38"/>
  <c r="H462" i="39"/>
  <c r="I468" i="8"/>
  <c r="I468" i="38"/>
  <c r="I468" i="39"/>
  <c r="H466" i="8"/>
  <c r="H466" i="38"/>
  <c r="H466" i="39"/>
  <c r="G458" i="39"/>
  <c r="C468" i="8"/>
  <c r="C468" i="38"/>
  <c r="C468" i="39"/>
  <c r="J462" i="8"/>
  <c r="J462" i="38"/>
  <c r="J462" i="39"/>
  <c r="F471" i="8"/>
  <c r="F471" i="38"/>
  <c r="F471" i="39"/>
  <c r="I471" i="8"/>
  <c r="I471" i="38"/>
  <c r="I471" i="39"/>
  <c r="D464" i="8"/>
  <c r="D464" i="38"/>
  <c r="D464" i="39"/>
  <c r="E463" i="8"/>
  <c r="E463" i="38"/>
  <c r="E463" i="39"/>
  <c r="F475" i="8"/>
  <c r="F475" i="38"/>
  <c r="F475" i="39"/>
  <c r="E452" i="39"/>
  <c r="B455" i="39"/>
  <c r="D463" i="8"/>
  <c r="D463" i="38"/>
  <c r="D463" i="39"/>
  <c r="F477" i="8"/>
  <c r="F477" i="38"/>
  <c r="F477" i="39"/>
  <c r="J466" i="8"/>
  <c r="J466" i="38"/>
  <c r="J466" i="39"/>
  <c r="G464" i="8"/>
  <c r="G464" i="38"/>
  <c r="G464" i="39"/>
  <c r="C467" i="8"/>
  <c r="C467" i="38"/>
  <c r="C467" i="39"/>
  <c r="E488" i="8"/>
  <c r="E488" i="38"/>
  <c r="E488" i="39"/>
  <c r="E466" i="8"/>
  <c r="E466" i="38"/>
  <c r="E466" i="39"/>
  <c r="F474" i="8"/>
  <c r="F474" i="38"/>
  <c r="F474" i="39"/>
  <c r="D472" i="8"/>
  <c r="D472" i="38"/>
  <c r="D472" i="39"/>
  <c r="H495" i="8"/>
  <c r="H495" i="38"/>
  <c r="H495" i="39"/>
  <c r="J465" i="8"/>
  <c r="J465" i="38"/>
  <c r="J465" i="39"/>
  <c r="J488" i="8"/>
  <c r="J488" i="38"/>
  <c r="J488" i="39"/>
  <c r="J473" i="8"/>
  <c r="J473" i="38"/>
  <c r="J473" i="39"/>
  <c r="C474" i="8"/>
  <c r="C474" i="38"/>
  <c r="C474" i="39"/>
  <c r="H493" i="8"/>
  <c r="H493" i="38"/>
  <c r="H493" i="39"/>
  <c r="E489" i="8"/>
  <c r="E489" i="38"/>
  <c r="E489" i="39"/>
  <c r="C494" i="8"/>
  <c r="C494" i="38"/>
  <c r="C494" i="39"/>
  <c r="G473" i="8"/>
  <c r="G473" i="38"/>
  <c r="G473" i="39"/>
  <c r="I472" i="8"/>
  <c r="I472" i="38"/>
  <c r="I472" i="39"/>
  <c r="G470" i="8"/>
  <c r="G470" i="38"/>
  <c r="G470" i="39"/>
  <c r="G492" i="8"/>
  <c r="G492" i="38"/>
  <c r="G492" i="39"/>
  <c r="I475" i="8"/>
  <c r="I475" i="38"/>
  <c r="I475" i="39"/>
  <c r="H467" i="8"/>
  <c r="H467" i="38"/>
  <c r="H467" i="39"/>
  <c r="D466" i="8"/>
  <c r="D466" i="38"/>
  <c r="D466" i="39"/>
  <c r="J463" i="8"/>
  <c r="J463" i="38"/>
  <c r="J463" i="39"/>
  <c r="H473" i="8"/>
  <c r="H473" i="38"/>
  <c r="H473" i="39"/>
  <c r="C471" i="8"/>
  <c r="C471" i="38"/>
  <c r="C471" i="39"/>
  <c r="H489" i="8"/>
  <c r="H489" i="38"/>
  <c r="H489" i="39"/>
  <c r="E493" i="8"/>
  <c r="E493" i="38"/>
  <c r="E493" i="39"/>
  <c r="H472" i="8"/>
  <c r="H472" i="38"/>
  <c r="H472" i="39"/>
  <c r="C461" i="8"/>
  <c r="C461" i="38"/>
  <c r="C461" i="39"/>
  <c r="D461" i="8"/>
  <c r="D461" i="38"/>
  <c r="D461" i="39"/>
  <c r="K461" i="8"/>
  <c r="K461" i="38"/>
  <c r="K461" i="39"/>
  <c r="F463" i="8"/>
  <c r="F463" i="38"/>
  <c r="F463" i="39"/>
  <c r="G495" i="8"/>
  <c r="G495" i="38"/>
  <c r="G495" i="39"/>
  <c r="F493" i="8"/>
  <c r="F493" i="38"/>
  <c r="F493" i="39"/>
  <c r="C493" i="8"/>
  <c r="C493" i="38"/>
  <c r="C493" i="39"/>
  <c r="K488" i="8"/>
  <c r="K488" i="38"/>
  <c r="K488" i="39"/>
  <c r="D495" i="8"/>
  <c r="D495" i="38"/>
  <c r="D495" i="39"/>
  <c r="J493" i="8"/>
  <c r="J493" i="38"/>
  <c r="J493" i="39"/>
  <c r="G490" i="8"/>
  <c r="G490" i="38"/>
  <c r="G490" i="39"/>
  <c r="F472" i="8"/>
  <c r="F472" i="38"/>
  <c r="F472" i="39"/>
  <c r="H475" i="8"/>
  <c r="H475" i="38"/>
  <c r="H475" i="39"/>
  <c r="K474" i="8"/>
  <c r="K474" i="38"/>
  <c r="K474" i="39"/>
  <c r="D470" i="8"/>
  <c r="D470" i="38"/>
  <c r="D470" i="39"/>
  <c r="I476" i="8"/>
  <c r="I476" i="38"/>
  <c r="I476" i="39"/>
  <c r="C463" i="8"/>
  <c r="C463" i="38"/>
  <c r="C463" i="39"/>
  <c r="H492" i="8"/>
  <c r="H492" i="38"/>
  <c r="H492" i="39"/>
  <c r="F489" i="8"/>
  <c r="F489" i="38"/>
  <c r="F489" i="39"/>
  <c r="J495" i="8"/>
  <c r="J495" i="38"/>
  <c r="J495" i="39"/>
  <c r="H488" i="8"/>
  <c r="H488" i="38"/>
  <c r="H488" i="39"/>
  <c r="C491" i="8"/>
  <c r="C491" i="38"/>
  <c r="C491" i="39"/>
  <c r="E468" i="8"/>
  <c r="E468" i="38"/>
  <c r="E468" i="39"/>
  <c r="I461" i="8"/>
  <c r="I461" i="38"/>
  <c r="I461" i="39"/>
  <c r="D467" i="8"/>
  <c r="D467" i="38"/>
  <c r="D467" i="39"/>
  <c r="H463" i="8"/>
  <c r="H463" i="38"/>
  <c r="H463" i="39"/>
  <c r="J475" i="8"/>
  <c r="J475" i="38"/>
  <c r="J475" i="39"/>
  <c r="F470" i="8"/>
  <c r="F470" i="38"/>
  <c r="F470" i="39"/>
  <c r="J492" i="8"/>
  <c r="J492" i="38"/>
  <c r="J492" i="39"/>
  <c r="J494" i="8"/>
  <c r="J494" i="38"/>
  <c r="J494" i="39"/>
  <c r="D492" i="8"/>
  <c r="D492" i="38"/>
  <c r="D492" i="39"/>
  <c r="K492" i="8"/>
  <c r="K492" i="38"/>
  <c r="K492" i="39"/>
  <c r="J490" i="8"/>
  <c r="J490" i="38"/>
  <c r="J490" i="39"/>
  <c r="G491" i="8"/>
  <c r="G491" i="38"/>
  <c r="G491" i="39"/>
  <c r="D493" i="8"/>
  <c r="D493" i="38"/>
  <c r="D493" i="39"/>
  <c r="C490" i="8"/>
  <c r="C490" i="38"/>
  <c r="C490" i="39"/>
  <c r="K476" i="8"/>
  <c r="K476" i="38"/>
  <c r="K476" i="39"/>
  <c r="J472" i="8"/>
  <c r="J472" i="38"/>
  <c r="J472" i="39"/>
  <c r="C462" i="8"/>
  <c r="C462" i="38"/>
  <c r="C462" i="39"/>
  <c r="H464" i="8"/>
  <c r="H464" i="38"/>
  <c r="H464" i="39"/>
  <c r="I465" i="8"/>
  <c r="I465" i="38"/>
  <c r="I465" i="39"/>
  <c r="I473" i="8"/>
  <c r="I473" i="38"/>
  <c r="I473" i="39"/>
  <c r="K471" i="8"/>
  <c r="K471" i="38"/>
  <c r="K471" i="39"/>
  <c r="G472" i="8"/>
  <c r="G472" i="38"/>
  <c r="G472" i="39"/>
  <c r="D474" i="8"/>
  <c r="D474" i="38"/>
  <c r="D474" i="39"/>
  <c r="J470" i="8"/>
  <c r="J470" i="38"/>
  <c r="J470" i="39"/>
  <c r="C470" i="8"/>
  <c r="C470" i="38"/>
  <c r="C470" i="39"/>
  <c r="C459" i="39"/>
  <c r="E462" i="8"/>
  <c r="E462" i="38"/>
  <c r="E462" i="39"/>
  <c r="G467" i="8"/>
  <c r="G467" i="38"/>
  <c r="G467" i="39"/>
  <c r="J468" i="8"/>
  <c r="J468" i="38"/>
  <c r="J468" i="39"/>
  <c r="G466" i="8"/>
  <c r="G466" i="38"/>
  <c r="G466" i="39"/>
  <c r="C464" i="8"/>
  <c r="C464" i="38"/>
  <c r="C464" i="39"/>
  <c r="H461" i="8"/>
  <c r="H461" i="38"/>
  <c r="H461" i="39"/>
  <c r="F461" i="8"/>
  <c r="F461" i="38"/>
  <c r="F461" i="39"/>
  <c r="J452" i="39"/>
  <c r="E457" i="39"/>
  <c r="C455" i="39"/>
  <c r="B494" i="8"/>
  <c r="B494" i="38"/>
  <c r="B494" i="39"/>
  <c r="B472" i="8"/>
  <c r="B472" i="38"/>
  <c r="B472" i="39"/>
  <c r="B477" i="8"/>
  <c r="B477" i="38"/>
  <c r="B477" i="39"/>
  <c r="B465" i="8"/>
  <c r="B465" i="38"/>
  <c r="B465" i="39"/>
  <c r="B462" i="8"/>
  <c r="B462" i="38"/>
  <c r="B462" i="39"/>
  <c r="D494" i="8"/>
  <c r="D494" i="38"/>
  <c r="D494" i="39"/>
  <c r="K489" i="8"/>
  <c r="K489" i="38"/>
  <c r="K489" i="39"/>
  <c r="K491" i="8"/>
  <c r="K491" i="38"/>
  <c r="K491" i="39"/>
  <c r="K494" i="8"/>
  <c r="K494" i="38"/>
  <c r="K494" i="39"/>
  <c r="D491" i="8"/>
  <c r="D491" i="38"/>
  <c r="D491" i="39"/>
  <c r="E491" i="8"/>
  <c r="E491" i="38"/>
  <c r="E491" i="39"/>
  <c r="J489" i="8"/>
  <c r="J489" i="38"/>
  <c r="J489" i="39"/>
  <c r="F488" i="8"/>
  <c r="F488" i="38"/>
  <c r="F488" i="39"/>
  <c r="C473" i="8"/>
  <c r="C473" i="38"/>
  <c r="C473" i="39"/>
  <c r="C492" i="8"/>
  <c r="C492" i="38"/>
  <c r="C492" i="39"/>
  <c r="C495" i="8"/>
  <c r="C495" i="38"/>
  <c r="C495" i="39"/>
  <c r="G489" i="8"/>
  <c r="G489" i="38"/>
  <c r="G489" i="39"/>
  <c r="E492" i="8"/>
  <c r="E492" i="38"/>
  <c r="E492" i="39"/>
  <c r="C488" i="8"/>
  <c r="C488" i="38"/>
  <c r="C488" i="39"/>
  <c r="E495" i="8"/>
  <c r="E495" i="38"/>
  <c r="E495" i="39"/>
  <c r="C489" i="8"/>
  <c r="C489" i="38"/>
  <c r="C489" i="39"/>
  <c r="I493" i="8"/>
  <c r="I493" i="38"/>
  <c r="I493" i="39"/>
  <c r="G475" i="8"/>
  <c r="G475" i="38"/>
  <c r="G475" i="39"/>
  <c r="D475" i="8"/>
  <c r="D475" i="38"/>
  <c r="D475" i="39"/>
  <c r="I477" i="8"/>
  <c r="I477" i="38"/>
  <c r="I477" i="39"/>
  <c r="K475" i="8"/>
  <c r="K475" i="38"/>
  <c r="K475" i="39"/>
  <c r="H476" i="8"/>
  <c r="H476" i="38"/>
  <c r="H476" i="39"/>
  <c r="H470" i="8"/>
  <c r="H470" i="38"/>
  <c r="H470" i="39"/>
  <c r="J474" i="8"/>
  <c r="J474" i="38"/>
  <c r="J474" i="39"/>
  <c r="G474" i="8"/>
  <c r="G474" i="38"/>
  <c r="G474" i="39"/>
  <c r="C456" i="39"/>
  <c r="F454" i="39"/>
  <c r="F455" i="39"/>
  <c r="G457" i="39"/>
  <c r="I466" i="8"/>
  <c r="I466" i="38"/>
  <c r="I466" i="39"/>
  <c r="E480" i="8"/>
  <c r="E480" i="38"/>
  <c r="E480" i="39"/>
  <c r="F483" i="8"/>
  <c r="F483" i="38"/>
  <c r="F483" i="39"/>
  <c r="I486" i="8"/>
  <c r="I486" i="38"/>
  <c r="I486" i="39"/>
  <c r="J483" i="8"/>
  <c r="J483" i="38"/>
  <c r="J483" i="39"/>
  <c r="J482" i="8"/>
  <c r="J482" i="38"/>
  <c r="J482" i="39"/>
  <c r="G484" i="8"/>
  <c r="G484" i="38"/>
  <c r="G484" i="39"/>
  <c r="H481" i="8"/>
  <c r="H481" i="38"/>
  <c r="H481" i="39"/>
  <c r="F481" i="8"/>
  <c r="F481" i="38"/>
  <c r="F481" i="39"/>
  <c r="C486" i="8"/>
  <c r="C486" i="38"/>
  <c r="C486" i="39"/>
  <c r="C483" i="8"/>
  <c r="C483" i="38"/>
  <c r="C483" i="39"/>
  <c r="B495" i="8"/>
  <c r="B495" i="38"/>
  <c r="B495" i="39"/>
  <c r="B488" i="8"/>
  <c r="B488" i="38"/>
  <c r="B488" i="39"/>
  <c r="B473" i="8"/>
  <c r="B473" i="38"/>
  <c r="B473" i="39"/>
  <c r="C230" i="8"/>
  <c r="C227" i="8"/>
  <c r="B485" i="8"/>
  <c r="B485" i="38"/>
  <c r="B485" i="39"/>
  <c r="G545" i="8"/>
  <c r="G545" i="39"/>
  <c r="D545" i="8"/>
  <c r="D545" i="39"/>
  <c r="H544" i="8"/>
  <c r="H544" i="39"/>
  <c r="F543" i="8"/>
  <c r="F543" i="39"/>
  <c r="I548" i="8"/>
  <c r="I548" i="39"/>
  <c r="I490" i="8"/>
  <c r="I490" i="38"/>
  <c r="I490" i="39"/>
  <c r="I452" i="39"/>
  <c r="I459" i="39"/>
  <c r="F468" i="8"/>
  <c r="F468" i="38"/>
  <c r="F468" i="39"/>
  <c r="G480" i="8"/>
  <c r="G480" i="38"/>
  <c r="G480" i="39"/>
  <c r="E485" i="8"/>
  <c r="E485" i="38"/>
  <c r="E485" i="39"/>
  <c r="K483" i="8"/>
  <c r="K483" i="38"/>
  <c r="K483" i="39"/>
  <c r="G481" i="8"/>
  <c r="G481" i="38"/>
  <c r="G481" i="39"/>
  <c r="J479" i="8"/>
  <c r="J479" i="38"/>
  <c r="J479" i="39"/>
  <c r="F482" i="8"/>
  <c r="F482" i="38"/>
  <c r="F482" i="39"/>
  <c r="H479" i="8"/>
  <c r="H479" i="38"/>
  <c r="H479" i="39"/>
  <c r="C485" i="8"/>
  <c r="C485" i="38"/>
  <c r="C485" i="39"/>
  <c r="G486" i="8"/>
  <c r="G486" i="38"/>
  <c r="G486" i="39"/>
  <c r="B490" i="8"/>
  <c r="B490" i="38"/>
  <c r="B490" i="39"/>
  <c r="B466" i="8"/>
  <c r="B466" i="38"/>
  <c r="B466" i="39"/>
  <c r="C225" i="8"/>
  <c r="B480" i="8"/>
  <c r="B480" i="38"/>
  <c r="B480" i="39"/>
  <c r="D489" i="8"/>
  <c r="D489" i="38"/>
  <c r="D489" i="39"/>
  <c r="I488" i="8"/>
  <c r="I488" i="38"/>
  <c r="I488" i="39"/>
  <c r="G494" i="8"/>
  <c r="G494" i="38"/>
  <c r="G494" i="39"/>
  <c r="I494" i="8"/>
  <c r="I494" i="38"/>
  <c r="I494" i="39"/>
  <c r="H490" i="8"/>
  <c r="H490" i="38"/>
  <c r="H490" i="39"/>
  <c r="K495" i="8"/>
  <c r="K495" i="38"/>
  <c r="K495" i="39"/>
  <c r="K490" i="8"/>
  <c r="K490" i="38"/>
  <c r="K490" i="39"/>
  <c r="J491" i="8"/>
  <c r="J491" i="38"/>
  <c r="J491" i="39"/>
  <c r="H477" i="8"/>
  <c r="H477" i="38"/>
  <c r="H477" i="39"/>
  <c r="H471" i="8"/>
  <c r="H471" i="38"/>
  <c r="H471" i="39"/>
  <c r="E472" i="8"/>
  <c r="E472" i="38"/>
  <c r="E472" i="39"/>
  <c r="G471" i="8"/>
  <c r="G471" i="38"/>
  <c r="G471" i="39"/>
  <c r="D477" i="8"/>
  <c r="D477" i="38"/>
  <c r="D477" i="39"/>
  <c r="J476" i="8"/>
  <c r="J476" i="38"/>
  <c r="J476" i="39"/>
  <c r="E477" i="8"/>
  <c r="E477" i="38"/>
  <c r="E477" i="39"/>
  <c r="E456" i="39"/>
  <c r="B449" i="39"/>
  <c r="J480" i="8"/>
  <c r="J480" i="38"/>
  <c r="J480" i="39"/>
  <c r="D482" i="8"/>
  <c r="D482" i="38"/>
  <c r="D482" i="39"/>
  <c r="E483" i="8"/>
  <c r="E483" i="38"/>
  <c r="E483" i="39"/>
  <c r="C479" i="8"/>
  <c r="C479" i="38"/>
  <c r="C479" i="39"/>
  <c r="H482" i="8"/>
  <c r="H482" i="38"/>
  <c r="H482" i="39"/>
  <c r="D484" i="8"/>
  <c r="D484" i="38"/>
  <c r="D484" i="39"/>
  <c r="K486" i="8"/>
  <c r="K486" i="38"/>
  <c r="K486" i="39"/>
  <c r="J486" i="8"/>
  <c r="J486" i="38"/>
  <c r="J486" i="39"/>
  <c r="E479" i="8"/>
  <c r="E479" i="38"/>
  <c r="E479" i="39"/>
  <c r="J565" i="8"/>
  <c r="J565" i="39"/>
  <c r="K552" i="8"/>
  <c r="K552" i="39"/>
  <c r="E556" i="8"/>
  <c r="E556" i="39"/>
  <c r="C231" i="8"/>
  <c r="C229" i="8"/>
  <c r="G476" i="8"/>
  <c r="G476" i="38"/>
  <c r="G476" i="39"/>
  <c r="G456" i="39"/>
  <c r="K459" i="39"/>
  <c r="E484" i="8"/>
  <c r="E484" i="38"/>
  <c r="E484" i="39"/>
  <c r="K479" i="8"/>
  <c r="K479" i="38"/>
  <c r="K479" i="39"/>
  <c r="F480" i="8"/>
  <c r="F480" i="38"/>
  <c r="F480" i="39"/>
  <c r="I485" i="8"/>
  <c r="I485" i="38"/>
  <c r="I485" i="39"/>
  <c r="I483" i="8"/>
  <c r="I483" i="38"/>
  <c r="I483" i="39"/>
  <c r="K482" i="8"/>
  <c r="K482" i="38"/>
  <c r="K482" i="39"/>
  <c r="J484" i="8"/>
  <c r="J484" i="38"/>
  <c r="J484" i="39"/>
  <c r="G479" i="8"/>
  <c r="G479" i="38"/>
  <c r="G479" i="39"/>
  <c r="H485" i="8"/>
  <c r="H485" i="38"/>
  <c r="H485" i="39"/>
  <c r="E486" i="8"/>
  <c r="E486" i="38"/>
  <c r="E486" i="39"/>
  <c r="B491" i="8"/>
  <c r="B491" i="38"/>
  <c r="B491" i="39"/>
  <c r="B489" i="8"/>
  <c r="B489" i="38"/>
  <c r="B489" i="39"/>
  <c r="B475" i="8"/>
  <c r="B475" i="38"/>
  <c r="B475" i="39"/>
  <c r="D539" i="8"/>
  <c r="D539" i="39"/>
  <c r="J535" i="8"/>
  <c r="J535" i="39"/>
  <c r="F539" i="8"/>
  <c r="F539" i="39"/>
  <c r="B468" i="8"/>
  <c r="B468" i="38"/>
  <c r="B468" i="39"/>
  <c r="C224" i="8"/>
  <c r="C228" i="8"/>
  <c r="B481" i="8"/>
  <c r="B481" i="38"/>
  <c r="B481" i="39"/>
  <c r="B484" i="8"/>
  <c r="B484" i="38"/>
  <c r="B484" i="39"/>
  <c r="D490" i="8"/>
  <c r="D490" i="38"/>
  <c r="D490" i="39"/>
  <c r="F494" i="8"/>
  <c r="F494" i="38"/>
  <c r="F494" i="39"/>
  <c r="F473" i="8"/>
  <c r="F473" i="38"/>
  <c r="F473" i="39"/>
  <c r="K472" i="8"/>
  <c r="K472" i="38"/>
  <c r="K472" i="39"/>
  <c r="G477" i="8"/>
  <c r="G477" i="38"/>
  <c r="G477" i="39"/>
  <c r="K477" i="8"/>
  <c r="K477" i="38"/>
  <c r="K477" i="39"/>
  <c r="E470" i="8"/>
  <c r="E470" i="38"/>
  <c r="E470" i="39"/>
  <c r="J456" i="39"/>
  <c r="J459" i="39"/>
  <c r="I458" i="39"/>
  <c r="D457" i="39"/>
  <c r="D465" i="8"/>
  <c r="D465" i="38"/>
  <c r="D465" i="39"/>
  <c r="F462" i="8"/>
  <c r="F462" i="38"/>
  <c r="F462" i="39"/>
  <c r="G462" i="8"/>
  <c r="G462" i="38"/>
  <c r="G462" i="39"/>
  <c r="K466" i="8"/>
  <c r="K466" i="38"/>
  <c r="K466" i="39"/>
  <c r="G468" i="8"/>
  <c r="G468" i="38"/>
  <c r="G468" i="39"/>
  <c r="H483" i="8"/>
  <c r="H483" i="38"/>
  <c r="H483" i="39"/>
  <c r="C481" i="8"/>
  <c r="C481" i="38"/>
  <c r="C481" i="39"/>
  <c r="D486" i="8"/>
  <c r="D486" i="38"/>
  <c r="D486" i="39"/>
  <c r="I482" i="8"/>
  <c r="I482" i="38"/>
  <c r="I482" i="39"/>
  <c r="E482" i="8"/>
  <c r="E482" i="38"/>
  <c r="E482" i="39"/>
  <c r="J481" i="8"/>
  <c r="J481" i="38"/>
  <c r="J481" i="39"/>
  <c r="I479" i="8"/>
  <c r="I479" i="38"/>
  <c r="I479" i="39"/>
  <c r="H486" i="8"/>
  <c r="H486" i="38"/>
  <c r="H486" i="39"/>
  <c r="B492" i="8"/>
  <c r="B492" i="38"/>
  <c r="B492" i="39"/>
  <c r="B476" i="8"/>
  <c r="B476" i="38"/>
  <c r="B476" i="39"/>
  <c r="B467" i="8"/>
  <c r="B467" i="38"/>
  <c r="B467" i="39"/>
  <c r="B461" i="8"/>
  <c r="B461" i="38"/>
  <c r="B461" i="39"/>
  <c r="B479" i="8"/>
  <c r="B479" i="38"/>
  <c r="B479" i="39"/>
  <c r="B482" i="8"/>
  <c r="B482" i="38"/>
  <c r="B482" i="39"/>
  <c r="H494" i="8"/>
  <c r="H494" i="38"/>
  <c r="H494" i="39"/>
  <c r="I474" i="8"/>
  <c r="I474" i="38"/>
  <c r="I474" i="39"/>
  <c r="E476" i="8"/>
  <c r="E476" i="38"/>
  <c r="E476" i="39"/>
  <c r="F476" i="8"/>
  <c r="F476" i="38"/>
  <c r="F476" i="39"/>
  <c r="C477" i="8"/>
  <c r="C477" i="38"/>
  <c r="C477" i="39"/>
  <c r="C453" i="39"/>
  <c r="H454" i="39"/>
  <c r="G455" i="39"/>
  <c r="K452" i="39"/>
  <c r="K464" i="8"/>
  <c r="K464" i="38"/>
  <c r="K464" i="39"/>
  <c r="D485" i="8"/>
  <c r="D485" i="38"/>
  <c r="D485" i="39"/>
  <c r="H484" i="8"/>
  <c r="H484" i="38"/>
  <c r="H484" i="39"/>
  <c r="I484" i="8"/>
  <c r="I484" i="38"/>
  <c r="I484" i="39"/>
  <c r="I481" i="8"/>
  <c r="I481" i="38"/>
  <c r="I481" i="39"/>
  <c r="K485" i="8"/>
  <c r="K485" i="38"/>
  <c r="K485" i="39"/>
  <c r="D479" i="8"/>
  <c r="D479" i="38"/>
  <c r="D479" i="39"/>
  <c r="F486" i="8"/>
  <c r="F486" i="38"/>
  <c r="F486" i="39"/>
  <c r="D480" i="8"/>
  <c r="D480" i="38"/>
  <c r="D480" i="39"/>
  <c r="B463" i="8"/>
  <c r="B463" i="38"/>
  <c r="B463" i="39"/>
  <c r="C226" i="8"/>
  <c r="B456" i="39"/>
  <c r="D454" i="39"/>
  <c r="K463" i="8"/>
  <c r="K463" i="38"/>
  <c r="K463" i="39"/>
  <c r="H468" i="8"/>
  <c r="H468" i="38"/>
  <c r="H468" i="39"/>
  <c r="D481" i="8"/>
  <c r="D481" i="38"/>
  <c r="D481" i="39"/>
  <c r="C484" i="8"/>
  <c r="C484" i="38"/>
  <c r="C484" i="39"/>
  <c r="F484" i="8"/>
  <c r="F484" i="38"/>
  <c r="F484" i="39"/>
  <c r="K481" i="8"/>
  <c r="K481" i="38"/>
  <c r="K481" i="39"/>
  <c r="K480" i="8"/>
  <c r="K480" i="38"/>
  <c r="K480" i="39"/>
  <c r="G485" i="8"/>
  <c r="G485" i="38"/>
  <c r="G485" i="39"/>
  <c r="C482" i="8"/>
  <c r="C482" i="38"/>
  <c r="C482" i="39"/>
  <c r="G483" i="8"/>
  <c r="G483" i="38"/>
  <c r="G483" i="39"/>
  <c r="D483" i="8"/>
  <c r="D483" i="38"/>
  <c r="D483" i="39"/>
  <c r="C480" i="8"/>
  <c r="C480" i="38"/>
  <c r="C480" i="39"/>
  <c r="B493" i="8"/>
  <c r="B493" i="38"/>
  <c r="B493" i="39"/>
  <c r="B470" i="8"/>
  <c r="B470" i="38"/>
  <c r="B470" i="39"/>
  <c r="B471" i="8"/>
  <c r="B471" i="38"/>
  <c r="B471" i="39"/>
  <c r="B474" i="8"/>
  <c r="B474" i="38"/>
  <c r="B474" i="39"/>
  <c r="B464" i="8"/>
  <c r="B464" i="38"/>
  <c r="B464" i="39"/>
  <c r="B486" i="8"/>
  <c r="B486" i="38"/>
  <c r="B486" i="39"/>
  <c r="B483" i="8"/>
  <c r="B483" i="38"/>
  <c r="B483" i="39"/>
  <c r="K470" i="8"/>
  <c r="K470" i="38"/>
  <c r="K470" i="39"/>
  <c r="J471" i="8"/>
  <c r="J471" i="38"/>
  <c r="J471" i="39"/>
  <c r="E474" i="8"/>
  <c r="E474" i="38"/>
  <c r="E474" i="39"/>
  <c r="H455" i="39"/>
  <c r="H457" i="39"/>
  <c r="J454" i="39"/>
  <c r="F457" i="39"/>
  <c r="F467" i="8"/>
  <c r="F467" i="38"/>
  <c r="F467" i="39"/>
  <c r="K484" i="8"/>
  <c r="K484" i="38"/>
  <c r="K484" i="39"/>
  <c r="F485" i="8"/>
  <c r="F485" i="38"/>
  <c r="F485" i="39"/>
  <c r="J485" i="8"/>
  <c r="J485" i="38"/>
  <c r="J485" i="39"/>
  <c r="I480" i="8"/>
  <c r="I480" i="38"/>
  <c r="I480" i="39"/>
  <c r="H480" i="8"/>
  <c r="H480" i="38"/>
  <c r="H480" i="39"/>
  <c r="F479" i="8"/>
  <c r="F479" i="38"/>
  <c r="F479" i="39"/>
  <c r="G482" i="8"/>
  <c r="G482" i="38"/>
  <c r="G482" i="39"/>
  <c r="E481" i="8"/>
  <c r="E481" i="38"/>
  <c r="E481" i="39"/>
  <c r="G536" i="8"/>
  <c r="G536" i="39"/>
  <c r="K535" i="8"/>
  <c r="K535" i="39"/>
  <c r="G548" i="8"/>
  <c r="G548" i="39"/>
  <c r="H547" i="8"/>
  <c r="H547" i="39"/>
  <c r="F536" i="8"/>
  <c r="F536" i="39"/>
  <c r="B544" i="8"/>
  <c r="B544" i="39"/>
  <c r="C534" i="8"/>
  <c r="C534" i="39"/>
  <c r="E540" i="8"/>
  <c r="E540" i="39"/>
  <c r="K549" i="8"/>
  <c r="K549" i="39"/>
  <c r="K534" i="8"/>
  <c r="K534" i="39"/>
  <c r="E538" i="8"/>
  <c r="E538" i="39"/>
  <c r="B548" i="8"/>
  <c r="B548" i="39"/>
  <c r="E543" i="8"/>
  <c r="E543" i="39"/>
  <c r="G543" i="8"/>
  <c r="G543" i="39"/>
  <c r="I537" i="8"/>
  <c r="I537" i="39"/>
  <c r="J566" i="8"/>
  <c r="J566" i="38"/>
  <c r="J566" i="39"/>
  <c r="J544" i="8"/>
  <c r="J544" i="39"/>
  <c r="I547" i="8"/>
  <c r="I547" i="39"/>
  <c r="C112" i="37"/>
  <c r="C113" i="37"/>
  <c r="C80" i="35"/>
  <c r="C80" i="37"/>
  <c r="F90" i="7"/>
  <c r="F90" i="35"/>
  <c r="F90" i="37"/>
  <c r="H45" i="37"/>
  <c r="G100" i="7"/>
  <c r="G100" i="35"/>
  <c r="G100" i="37"/>
  <c r="J100" i="7"/>
  <c r="J100" i="35"/>
  <c r="J100" i="37"/>
  <c r="J45" i="37"/>
  <c r="C116" i="37"/>
  <c r="K90" i="7"/>
  <c r="K90" i="35"/>
  <c r="K90" i="37"/>
  <c r="H90" i="7"/>
  <c r="H90" i="35"/>
  <c r="H90" i="37"/>
  <c r="H60" i="7"/>
  <c r="H60" i="35"/>
  <c r="H60" i="37"/>
  <c r="E100" i="7"/>
  <c r="E100" i="35"/>
  <c r="E100" i="37"/>
  <c r="D40" i="7"/>
  <c r="D40" i="35"/>
  <c r="D40" i="37"/>
  <c r="H100" i="7"/>
  <c r="H100" i="35"/>
  <c r="H100" i="37"/>
  <c r="G45" i="37"/>
  <c r="F70" i="7"/>
  <c r="F70" i="35"/>
  <c r="F70" i="37"/>
  <c r="G30" i="7"/>
  <c r="G30" i="35"/>
  <c r="G30" i="37"/>
  <c r="H70" i="7"/>
  <c r="H70" i="35"/>
  <c r="H70" i="37"/>
  <c r="J90" i="7"/>
  <c r="J90" i="35"/>
  <c r="J90" i="37"/>
  <c r="D30" i="7"/>
  <c r="D30" i="35"/>
  <c r="D30" i="37"/>
  <c r="F100" i="7"/>
  <c r="F100" i="35"/>
  <c r="F100" i="37"/>
  <c r="K46" i="37"/>
  <c r="J46" i="37"/>
  <c r="I30" i="7"/>
  <c r="I30" i="35"/>
  <c r="I30" i="37"/>
  <c r="G90" i="7"/>
  <c r="G90" i="35"/>
  <c r="G90" i="37"/>
  <c r="E30" i="7"/>
  <c r="E30" i="35"/>
  <c r="E30" i="37"/>
  <c r="J70" i="7"/>
  <c r="J70" i="35"/>
  <c r="J70" i="37"/>
  <c r="F60" i="7"/>
  <c r="F60" i="35"/>
  <c r="F60" i="37"/>
  <c r="G40" i="7"/>
  <c r="G40" i="35"/>
  <c r="G40" i="37"/>
  <c r="I60" i="7"/>
  <c r="I60" i="35"/>
  <c r="I60" i="37"/>
  <c r="D90" i="7"/>
  <c r="D90" i="35"/>
  <c r="D90" i="37"/>
  <c r="C72" i="37"/>
  <c r="C102" i="37"/>
  <c r="C110" i="35"/>
  <c r="C110" i="37"/>
  <c r="D45" i="37"/>
  <c r="E60" i="7"/>
  <c r="E60" i="35"/>
  <c r="E60" i="37"/>
  <c r="I40" i="7"/>
  <c r="I40" i="35"/>
  <c r="I40" i="37"/>
  <c r="K60" i="7"/>
  <c r="K60" i="35"/>
  <c r="K60" i="37"/>
  <c r="F30" i="7"/>
  <c r="F30" i="35"/>
  <c r="F30" i="37"/>
  <c r="C119" i="37"/>
  <c r="H40" i="7"/>
  <c r="H40" i="35"/>
  <c r="H40" i="37"/>
  <c r="J60" i="7"/>
  <c r="J60" i="35"/>
  <c r="J60" i="37"/>
  <c r="F40" i="7"/>
  <c r="F40" i="35"/>
  <c r="F40" i="37"/>
  <c r="K70" i="7"/>
  <c r="K70" i="35"/>
  <c r="K70" i="37"/>
  <c r="D60" i="7"/>
  <c r="D60" i="35"/>
  <c r="D60" i="37"/>
  <c r="E40" i="7"/>
  <c r="E40" i="35"/>
  <c r="E40" i="37"/>
  <c r="C76" i="37"/>
  <c r="K30" i="7"/>
  <c r="K30" i="35"/>
  <c r="K30" i="37"/>
  <c r="J40" i="7"/>
  <c r="J40" i="35"/>
  <c r="J40" i="37"/>
  <c r="C103" i="37"/>
  <c r="D64" i="37"/>
  <c r="E36" i="37"/>
  <c r="J69" i="37"/>
  <c r="I99" i="37"/>
  <c r="F95" i="37"/>
  <c r="G98" i="37"/>
  <c r="D34" i="37"/>
  <c r="I98" i="37"/>
  <c r="E68" i="37"/>
  <c r="K98" i="37"/>
  <c r="K39" i="37"/>
  <c r="E35" i="37"/>
  <c r="H36" i="37"/>
  <c r="F87" i="37"/>
  <c r="K27" i="37"/>
  <c r="H84" i="37"/>
  <c r="I47" i="37"/>
  <c r="H23" i="37"/>
  <c r="J32" i="37"/>
  <c r="F27" i="37"/>
  <c r="F57" i="37"/>
  <c r="J84" i="37"/>
  <c r="K100" i="7"/>
  <c r="K100" i="35"/>
  <c r="K100" i="37"/>
  <c r="K92" i="37"/>
  <c r="K22" i="37"/>
  <c r="E32" i="37"/>
  <c r="E90" i="7"/>
  <c r="E90" i="35"/>
  <c r="E90" i="37"/>
  <c r="E82" i="37"/>
  <c r="F83" i="37"/>
  <c r="G49" i="37"/>
  <c r="F25" i="37"/>
  <c r="D53" i="37"/>
  <c r="H22" i="37"/>
  <c r="H30" i="7"/>
  <c r="H30" i="35"/>
  <c r="H30" i="37"/>
  <c r="F55" i="37"/>
  <c r="E86" i="37"/>
  <c r="E57" i="37"/>
  <c r="K23" i="37"/>
  <c r="F92" i="37"/>
  <c r="J92" i="37"/>
  <c r="I86" i="37"/>
  <c r="H92" i="37"/>
  <c r="C108" i="37"/>
  <c r="K64" i="37"/>
  <c r="G36" i="37"/>
  <c r="I66" i="37"/>
  <c r="I63" i="37"/>
  <c r="D33" i="37"/>
  <c r="J49" i="37"/>
  <c r="D70" i="7"/>
  <c r="D70" i="35"/>
  <c r="D70" i="37"/>
  <c r="D62" i="37"/>
  <c r="D82" i="37"/>
  <c r="K89" i="37"/>
  <c r="C104" i="37"/>
  <c r="D23" i="37"/>
  <c r="G28" i="37"/>
  <c r="F22" i="37"/>
  <c r="D85" i="37"/>
  <c r="D49" i="37"/>
  <c r="F56" i="37"/>
  <c r="K40" i="7"/>
  <c r="K40" i="35"/>
  <c r="K40" i="37"/>
  <c r="K32" i="37"/>
  <c r="E70" i="7"/>
  <c r="E70" i="35"/>
  <c r="E70" i="37"/>
  <c r="E62" i="37"/>
  <c r="K85" i="37"/>
  <c r="K83" i="37"/>
  <c r="F58" i="37"/>
  <c r="J27" i="37"/>
  <c r="F28" i="37"/>
  <c r="K59" i="37"/>
  <c r="J53" i="37"/>
  <c r="H32" i="37"/>
  <c r="F26" i="37"/>
  <c r="I28" i="37"/>
  <c r="D52" i="37"/>
  <c r="D22" i="37"/>
  <c r="E22" i="37"/>
  <c r="H54" i="37"/>
  <c r="F29" i="37"/>
  <c r="E23" i="37"/>
  <c r="E103" i="37"/>
  <c r="K66" i="37"/>
  <c r="K33" i="37"/>
  <c r="J66" i="37"/>
  <c r="F85" i="37"/>
  <c r="K53" i="37"/>
  <c r="F24" i="37"/>
  <c r="J48" i="37"/>
  <c r="I85" i="37"/>
  <c r="F53" i="37"/>
  <c r="F32" i="37"/>
  <c r="H49" i="37"/>
  <c r="J52" i="37"/>
  <c r="K87" i="37"/>
  <c r="G54" i="37"/>
  <c r="I70" i="7"/>
  <c r="I70" i="35"/>
  <c r="I70" i="37"/>
  <c r="I62" i="37"/>
  <c r="E85" i="37"/>
  <c r="D54" i="37"/>
  <c r="K62" i="37"/>
  <c r="I23" i="37"/>
  <c r="C74" i="37"/>
  <c r="E56" i="37"/>
  <c r="H27" i="37"/>
  <c r="E28" i="37"/>
  <c r="H109" i="37"/>
  <c r="E98" i="37"/>
  <c r="I33" i="37"/>
  <c r="D95" i="37"/>
  <c r="F66" i="37"/>
  <c r="I34" i="37"/>
  <c r="J95" i="37"/>
  <c r="K69" i="37"/>
  <c r="H69" i="37"/>
  <c r="I36" i="37"/>
  <c r="H93" i="37"/>
  <c r="D32" i="37"/>
  <c r="K29" i="37"/>
  <c r="K56" i="37"/>
  <c r="D24" i="37"/>
  <c r="E49" i="37"/>
  <c r="H56" i="37"/>
  <c r="I90" i="7"/>
  <c r="I90" i="35"/>
  <c r="I90" i="37"/>
  <c r="I82" i="37"/>
  <c r="I52" i="37"/>
  <c r="H24" i="37"/>
  <c r="G47" i="37"/>
  <c r="G82" i="37"/>
  <c r="G32" i="37"/>
  <c r="C78" i="37"/>
  <c r="J56" i="37"/>
  <c r="G85" i="37"/>
  <c r="J23" i="37"/>
  <c r="F54" i="37"/>
  <c r="K84" i="37"/>
  <c r="I24" i="37"/>
  <c r="G23" i="37"/>
  <c r="F84" i="37"/>
  <c r="E27" i="37"/>
  <c r="K57" i="37"/>
  <c r="G53" i="37"/>
  <c r="F94" i="37"/>
  <c r="G33" i="37"/>
  <c r="D27" i="37"/>
  <c r="K63" i="37"/>
  <c r="D84" i="37"/>
  <c r="G93" i="37"/>
  <c r="F99" i="37"/>
  <c r="C75" i="37"/>
  <c r="D92" i="37"/>
  <c r="D100" i="7"/>
  <c r="D100" i="35"/>
  <c r="D100" i="37"/>
  <c r="K54" i="37"/>
  <c r="J24" i="37"/>
  <c r="F52" i="37"/>
  <c r="J30" i="7"/>
  <c r="J30" i="35"/>
  <c r="J30" i="37"/>
  <c r="J22" i="37"/>
  <c r="J82" i="37"/>
  <c r="I45" i="37"/>
  <c r="I22" i="37"/>
  <c r="K86" i="37"/>
  <c r="C73" i="37"/>
  <c r="D46" i="37"/>
  <c r="D57" i="37"/>
  <c r="F23" i="37"/>
  <c r="G60" i="7"/>
  <c r="G60" i="35"/>
  <c r="G60" i="37"/>
  <c r="G52" i="37"/>
  <c r="C105" i="37"/>
  <c r="K24" i="37"/>
  <c r="H52" i="37"/>
  <c r="D56" i="37"/>
  <c r="H62" i="37"/>
  <c r="G22" i="37"/>
  <c r="H82" i="37"/>
  <c r="K55" i="37"/>
  <c r="J54" i="37"/>
  <c r="C79" i="37"/>
  <c r="F36" i="37"/>
  <c r="D69" i="37"/>
  <c r="F34" i="37"/>
  <c r="F64" i="37"/>
  <c r="K25" i="37"/>
  <c r="K58" i="37"/>
  <c r="G86" i="37"/>
  <c r="I49" i="37"/>
  <c r="E54" i="37"/>
  <c r="J62" i="37"/>
  <c r="K28" i="37"/>
  <c r="K88" i="37"/>
  <c r="D58" i="37"/>
  <c r="D28" i="37"/>
  <c r="I92" i="37"/>
  <c r="I100" i="7"/>
  <c r="I100" i="35"/>
  <c r="I100" i="37"/>
  <c r="G57" i="37"/>
  <c r="E53" i="37"/>
  <c r="H86" i="37"/>
  <c r="K52" i="37"/>
  <c r="G84" i="37"/>
  <c r="C106" i="37"/>
  <c r="G92" i="37"/>
  <c r="G62" i="37"/>
  <c r="G70" i="7"/>
  <c r="G70" i="35"/>
  <c r="G70" i="37"/>
  <c r="H85" i="37"/>
  <c r="D86" i="37"/>
  <c r="I54" i="37"/>
  <c r="J85" i="37"/>
  <c r="I32" i="37"/>
  <c r="I56" i="37"/>
  <c r="E24" i="37"/>
  <c r="J99" i="37"/>
  <c r="F68" i="37"/>
  <c r="H33" i="37"/>
  <c r="J86" i="37"/>
  <c r="F86" i="37"/>
  <c r="F62" i="37"/>
  <c r="F88" i="37"/>
  <c r="I57" i="37"/>
  <c r="I84" i="37"/>
  <c r="I53" i="37"/>
  <c r="C77" i="37"/>
  <c r="E84" i="37"/>
  <c r="K82" i="37"/>
  <c r="E92" i="37"/>
  <c r="E52" i="37"/>
  <c r="H53" i="37"/>
  <c r="J57" i="37"/>
  <c r="H28" i="37"/>
  <c r="F82" i="37"/>
  <c r="G24" i="37"/>
  <c r="E95" i="37"/>
  <c r="G68" i="37"/>
  <c r="F93" i="37"/>
  <c r="H35" i="37"/>
  <c r="E64" i="37"/>
  <c r="H68" i="37"/>
  <c r="K68" i="37"/>
  <c r="D68" i="37"/>
  <c r="E69" i="37"/>
  <c r="D98" i="37"/>
  <c r="F59" i="37"/>
  <c r="H98" i="37"/>
  <c r="F96" i="37"/>
  <c r="J28" i="37"/>
  <c r="H66" i="37"/>
  <c r="G34" i="37"/>
  <c r="J75" i="37"/>
  <c r="K36" i="37"/>
  <c r="K95" i="37"/>
  <c r="F38" i="37"/>
  <c r="J93" i="37"/>
  <c r="E67" i="37"/>
  <c r="E37" i="37"/>
  <c r="I27" i="37"/>
  <c r="F35" i="37"/>
  <c r="F63" i="37"/>
  <c r="K99" i="37"/>
  <c r="G99" i="37"/>
  <c r="G95" i="37"/>
  <c r="E66" i="37"/>
  <c r="G35" i="37"/>
  <c r="J36" i="37"/>
  <c r="H64" i="37"/>
  <c r="E34" i="37"/>
  <c r="D63" i="37"/>
  <c r="D94" i="37"/>
  <c r="E38" i="37"/>
  <c r="F67" i="37"/>
  <c r="K37" i="37"/>
  <c r="G96" i="37"/>
  <c r="D96" i="37"/>
  <c r="K96" i="37"/>
  <c r="F97" i="37"/>
  <c r="G97" i="37"/>
  <c r="K94" i="37"/>
  <c r="G56" i="37"/>
  <c r="J88" i="37"/>
  <c r="H26" i="37"/>
  <c r="I87" i="37"/>
  <c r="J87" i="37"/>
  <c r="I59" i="37"/>
  <c r="D83" i="37"/>
  <c r="H25" i="37"/>
  <c r="D99" i="37"/>
  <c r="I68" i="37"/>
  <c r="I95" i="37"/>
  <c r="F98" i="37"/>
  <c r="J98" i="37"/>
  <c r="G66" i="37"/>
  <c r="I93" i="37"/>
  <c r="K93" i="37"/>
  <c r="G64" i="37"/>
  <c r="J34" i="37"/>
  <c r="E65" i="37"/>
  <c r="D38" i="37"/>
  <c r="D67" i="37"/>
  <c r="I37" i="37"/>
  <c r="G37" i="37"/>
  <c r="I96" i="37"/>
  <c r="E96" i="37"/>
  <c r="I97" i="37"/>
  <c r="K97" i="37"/>
  <c r="G39" i="37"/>
  <c r="F65" i="37"/>
  <c r="D37" i="37"/>
  <c r="J39" i="37"/>
  <c r="C109" i="37"/>
  <c r="E89" i="37"/>
  <c r="G29" i="37"/>
  <c r="I88" i="37"/>
  <c r="H83" i="37"/>
  <c r="E25" i="37"/>
  <c r="D87" i="37"/>
  <c r="H87" i="37"/>
  <c r="H55" i="37"/>
  <c r="I55" i="37"/>
  <c r="G87" i="37"/>
  <c r="H57" i="37"/>
  <c r="E87" i="37"/>
  <c r="E99" i="37"/>
  <c r="H95" i="37"/>
  <c r="I69" i="37"/>
  <c r="F69" i="37"/>
  <c r="F33" i="37"/>
  <c r="J35" i="37"/>
  <c r="K35" i="37"/>
  <c r="D36" i="37"/>
  <c r="E63" i="37"/>
  <c r="J63" i="37"/>
  <c r="D65" i="37"/>
  <c r="K38" i="37"/>
  <c r="J37" i="37"/>
  <c r="F37" i="37"/>
  <c r="F39" i="37"/>
  <c r="H67" i="37"/>
  <c r="E58" i="37"/>
  <c r="J89" i="37"/>
  <c r="D26" i="37"/>
  <c r="G83" i="37"/>
  <c r="C107" i="37"/>
  <c r="J59" i="37"/>
  <c r="I26" i="37"/>
  <c r="E26" i="37"/>
  <c r="J83" i="37"/>
  <c r="G27" i="37"/>
  <c r="E59" i="37"/>
  <c r="H99" i="37"/>
  <c r="E33" i="37"/>
  <c r="D66" i="37"/>
  <c r="D93" i="37"/>
  <c r="E93" i="37"/>
  <c r="K67" i="37"/>
  <c r="H96" i="37"/>
  <c r="E97" i="37"/>
  <c r="I58" i="37"/>
  <c r="J58" i="37"/>
  <c r="D29" i="37"/>
  <c r="G88" i="37"/>
  <c r="J26" i="37"/>
  <c r="I25" i="37"/>
  <c r="F89" i="37"/>
  <c r="D88" i="37"/>
  <c r="D35" i="37"/>
  <c r="I35" i="37"/>
  <c r="I64" i="37"/>
  <c r="H34" i="37"/>
  <c r="G63" i="37"/>
  <c r="K65" i="37"/>
  <c r="D89" i="37"/>
  <c r="H29" i="37"/>
  <c r="G59" i="37"/>
  <c r="D55" i="37"/>
  <c r="G25" i="37"/>
  <c r="H58" i="37"/>
  <c r="G89" i="37"/>
  <c r="G55" i="37"/>
  <c r="J33" i="37"/>
  <c r="J64" i="37"/>
  <c r="K34" i="37"/>
  <c r="H63" i="37"/>
  <c r="I94" i="37"/>
  <c r="G58" i="37"/>
  <c r="I89" i="37"/>
  <c r="E29" i="37"/>
  <c r="I29" i="37"/>
  <c r="E88" i="37"/>
  <c r="H59" i="37"/>
  <c r="K26" i="37"/>
  <c r="J68" i="37"/>
  <c r="G69" i="37"/>
  <c r="H89" i="37"/>
  <c r="J29" i="37"/>
  <c r="H88" i="37"/>
  <c r="D59" i="37"/>
  <c r="E55" i="37"/>
  <c r="J55" i="37"/>
  <c r="G26" i="37"/>
  <c r="I83" i="37"/>
  <c r="J25" i="37"/>
  <c r="D25" i="37"/>
  <c r="I38" i="37"/>
  <c r="H38" i="37"/>
  <c r="H65" i="37"/>
  <c r="G67" i="37"/>
  <c r="J96" i="37"/>
  <c r="D39" i="37"/>
  <c r="H37" i="37"/>
  <c r="G38" i="37"/>
  <c r="I65" i="37"/>
  <c r="J65" i="37"/>
  <c r="J67" i="37"/>
  <c r="J38" i="37"/>
  <c r="H39" i="37"/>
  <c r="H94" i="37"/>
  <c r="D97" i="37"/>
  <c r="I39" i="37"/>
  <c r="J94" i="37"/>
  <c r="G65" i="37"/>
  <c r="G94" i="37"/>
  <c r="I67" i="37"/>
  <c r="H97" i="37"/>
  <c r="E83" i="37"/>
  <c r="E39" i="37"/>
  <c r="E94" i="37"/>
  <c r="J97" i="37"/>
  <c r="B689" i="8"/>
  <c r="B689" i="38"/>
  <c r="B689" i="39"/>
  <c r="D139" i="6"/>
  <c r="D139" i="30"/>
  <c r="D139" i="34"/>
  <c r="D132" i="30"/>
  <c r="D132" i="34"/>
  <c r="D137" i="6"/>
  <c r="D137" i="30"/>
  <c r="D137" i="34"/>
  <c r="C141" i="6" a="1"/>
  <c r="D119" i="6" a="1"/>
  <c r="D119" i="6"/>
  <c r="D141" i="30"/>
  <c r="D135" i="6"/>
  <c r="D135" i="30"/>
  <c r="D135" i="34"/>
  <c r="D140" i="6"/>
  <c r="D140" i="30"/>
  <c r="D140" i="34"/>
  <c r="D133" i="6"/>
  <c r="D133" i="30"/>
  <c r="D133" i="34"/>
  <c r="D134" i="6"/>
  <c r="D134" i="30"/>
  <c r="D134" i="34"/>
  <c r="D136" i="6"/>
  <c r="D136" i="34"/>
  <c r="D138" i="6"/>
  <c r="D138" i="30"/>
  <c r="D138" i="34"/>
  <c r="G121" i="30"/>
  <c r="G121" i="34"/>
  <c r="I110" i="30"/>
  <c r="I110" i="34"/>
  <c r="L121" i="30"/>
  <c r="L121" i="34"/>
  <c r="J110" i="30"/>
  <c r="J110" i="34"/>
  <c r="H110" i="30"/>
  <c r="H110" i="34"/>
  <c r="E121" i="30"/>
  <c r="E121" i="34"/>
  <c r="F110" i="30"/>
  <c r="F110" i="34"/>
  <c r="K121" i="30"/>
  <c r="K121" i="34"/>
  <c r="I121" i="30"/>
  <c r="I121" i="34"/>
  <c r="E110" i="30"/>
  <c r="E110" i="34"/>
  <c r="J121" i="30"/>
  <c r="J121" i="34"/>
  <c r="K110" i="30"/>
  <c r="K110" i="34"/>
  <c r="K118" i="6"/>
  <c r="K111" i="30"/>
  <c r="K112" i="30"/>
  <c r="K113" i="30"/>
  <c r="K114" i="30"/>
  <c r="K115" i="30"/>
  <c r="K116" i="30"/>
  <c r="K117" i="30"/>
  <c r="K118" i="30"/>
  <c r="K118" i="34"/>
  <c r="H118" i="6"/>
  <c r="H140" i="6"/>
  <c r="H140" i="30"/>
  <c r="H140" i="34"/>
  <c r="G118" i="6"/>
  <c r="G140" i="6"/>
  <c r="G140" i="30"/>
  <c r="G140" i="34"/>
  <c r="F118" i="6"/>
  <c r="F140" i="6"/>
  <c r="F140" i="30"/>
  <c r="F140" i="34"/>
  <c r="E118" i="6"/>
  <c r="E140" i="6"/>
  <c r="E140" i="30"/>
  <c r="E140" i="34"/>
  <c r="J112" i="30"/>
  <c r="J112" i="34"/>
  <c r="J123" i="30"/>
  <c r="J123" i="34"/>
  <c r="L116" i="30"/>
  <c r="L116" i="34"/>
  <c r="H132" i="30"/>
  <c r="H132" i="34"/>
  <c r="H136" i="6"/>
  <c r="H136" i="30"/>
  <c r="H136" i="34"/>
  <c r="F135" i="6"/>
  <c r="F135" i="30"/>
  <c r="F135" i="34"/>
  <c r="J138" i="6"/>
  <c r="J138" i="30"/>
  <c r="J138" i="34"/>
  <c r="L122" i="30"/>
  <c r="L122" i="34"/>
  <c r="L124" i="30"/>
  <c r="L124" i="34"/>
  <c r="F115" i="30"/>
  <c r="F115" i="34"/>
  <c r="F122" i="30"/>
  <c r="F122" i="34"/>
  <c r="E122" i="30"/>
  <c r="E122" i="34"/>
  <c r="H114" i="30"/>
  <c r="H114" i="34"/>
  <c r="I122" i="30"/>
  <c r="I122" i="34"/>
  <c r="F138" i="6"/>
  <c r="F138" i="30"/>
  <c r="F138" i="34"/>
  <c r="L128" i="30"/>
  <c r="L128" i="34"/>
  <c r="I127" i="30"/>
  <c r="I127" i="34"/>
  <c r="G135" i="6"/>
  <c r="G135" i="30"/>
  <c r="G135" i="34"/>
  <c r="J122" i="30"/>
  <c r="J122" i="34"/>
  <c r="J128" i="30"/>
  <c r="J128" i="34"/>
  <c r="J136" i="6"/>
  <c r="J136" i="30"/>
  <c r="J136" i="34"/>
  <c r="L118" i="6"/>
  <c r="L110" i="30"/>
  <c r="L111" i="30"/>
  <c r="L112" i="30"/>
  <c r="L113" i="30"/>
  <c r="L114" i="30"/>
  <c r="L115" i="30"/>
  <c r="L117" i="30"/>
  <c r="L118" i="30"/>
  <c r="L118" i="34"/>
  <c r="L115" i="34"/>
  <c r="H115" i="30"/>
  <c r="H115" i="34"/>
  <c r="H113" i="30"/>
  <c r="H113" i="34"/>
  <c r="H116" i="30"/>
  <c r="H116" i="34"/>
  <c r="E112" i="30"/>
  <c r="E112" i="34"/>
  <c r="F116" i="30"/>
  <c r="F116" i="34"/>
  <c r="F117" i="30"/>
  <c r="F117" i="34"/>
  <c r="H121" i="30"/>
  <c r="H122" i="30"/>
  <c r="H123" i="30"/>
  <c r="H124" i="30"/>
  <c r="H125" i="30"/>
  <c r="H126" i="30"/>
  <c r="H127" i="30"/>
  <c r="H128" i="30"/>
  <c r="H129" i="30"/>
  <c r="H129" i="34"/>
  <c r="K122" i="30"/>
  <c r="K123" i="30"/>
  <c r="K124" i="30"/>
  <c r="K125" i="30"/>
  <c r="K126" i="30"/>
  <c r="K127" i="30"/>
  <c r="K128" i="30"/>
  <c r="K129" i="30"/>
  <c r="K129" i="34"/>
  <c r="G110" i="30"/>
  <c r="G111" i="30"/>
  <c r="G112" i="30"/>
  <c r="G113" i="30"/>
  <c r="G114" i="30"/>
  <c r="G115" i="30"/>
  <c r="G116" i="30"/>
  <c r="G117" i="30"/>
  <c r="G118" i="30"/>
  <c r="G118" i="34"/>
  <c r="G128" i="30"/>
  <c r="G128" i="34"/>
  <c r="F124" i="30"/>
  <c r="F124" i="34"/>
  <c r="I126" i="30"/>
  <c r="I126" i="34"/>
  <c r="K123" i="34"/>
  <c r="F126" i="30"/>
  <c r="F126" i="34"/>
  <c r="E113" i="30"/>
  <c r="E113" i="34"/>
  <c r="G138" i="6"/>
  <c r="G138" i="30"/>
  <c r="G138" i="34"/>
  <c r="L117" i="34"/>
  <c r="J124" i="30"/>
  <c r="J124" i="34"/>
  <c r="K139" i="6"/>
  <c r="K139" i="30"/>
  <c r="K139" i="34"/>
  <c r="I132" i="30"/>
  <c r="I132" i="34"/>
  <c r="H122" i="34"/>
  <c r="E132" i="30"/>
  <c r="E132" i="34"/>
  <c r="G124" i="30"/>
  <c r="G124" i="34"/>
  <c r="F111" i="30"/>
  <c r="F112" i="30"/>
  <c r="F113" i="30"/>
  <c r="F114" i="30"/>
  <c r="F118" i="30"/>
  <c r="F118" i="34"/>
  <c r="G115" i="34"/>
  <c r="G114" i="34"/>
  <c r="H134" i="6"/>
  <c r="H134" i="30"/>
  <c r="H134" i="34"/>
  <c r="H133" i="6"/>
  <c r="H133" i="30"/>
  <c r="H133" i="34"/>
  <c r="H125" i="34"/>
  <c r="K133" i="6"/>
  <c r="K133" i="30"/>
  <c r="K133" i="34"/>
  <c r="J137" i="6"/>
  <c r="J137" i="30"/>
  <c r="J137" i="34"/>
  <c r="H135" i="6"/>
  <c r="H135" i="30"/>
  <c r="H135" i="34"/>
  <c r="I124" i="30"/>
  <c r="I124" i="34"/>
  <c r="F128" i="30"/>
  <c r="F128" i="34"/>
  <c r="L111" i="34"/>
  <c r="H139" i="6"/>
  <c r="H139" i="30"/>
  <c r="H139" i="34"/>
  <c r="H137" i="6"/>
  <c r="H137" i="30"/>
  <c r="H137" i="34"/>
  <c r="I115" i="30"/>
  <c r="I115" i="34"/>
  <c r="G123" i="30"/>
  <c r="G123" i="34"/>
  <c r="E128" i="30"/>
  <c r="E128" i="34"/>
  <c r="J133" i="6"/>
  <c r="J133" i="30"/>
  <c r="J133" i="34"/>
  <c r="L132" i="30"/>
  <c r="L132" i="34"/>
  <c r="K128" i="34"/>
  <c r="G139" i="6"/>
  <c r="G139" i="30"/>
  <c r="G139" i="34"/>
  <c r="K124" i="34"/>
  <c r="F133" i="6"/>
  <c r="F133" i="30"/>
  <c r="F133" i="34"/>
  <c r="G126" i="30"/>
  <c r="G126" i="34"/>
  <c r="L133" i="6"/>
  <c r="L133" i="30"/>
  <c r="L133" i="34"/>
  <c r="E111" i="30"/>
  <c r="E114" i="30"/>
  <c r="E115" i="30"/>
  <c r="E116" i="30"/>
  <c r="E117" i="30"/>
  <c r="E118" i="30"/>
  <c r="E118" i="34"/>
  <c r="G111" i="34"/>
  <c r="I113" i="30"/>
  <c r="I113" i="34"/>
  <c r="E111" i="34"/>
  <c r="I111" i="30"/>
  <c r="I111" i="34"/>
  <c r="F113" i="34"/>
  <c r="J117" i="30"/>
  <c r="J117" i="34"/>
  <c r="I112" i="30"/>
  <c r="I112" i="34"/>
  <c r="J125" i="30"/>
  <c r="J126" i="30"/>
  <c r="J127" i="30"/>
  <c r="J129" i="30"/>
  <c r="J129" i="34"/>
  <c r="E123" i="30"/>
  <c r="E124" i="30"/>
  <c r="E125" i="30"/>
  <c r="E126" i="30"/>
  <c r="E127" i="30"/>
  <c r="E129" i="30"/>
  <c r="E129" i="34"/>
  <c r="G122" i="30"/>
  <c r="G125" i="30"/>
  <c r="G127" i="30"/>
  <c r="G129" i="30"/>
  <c r="G129" i="34"/>
  <c r="G122" i="34"/>
  <c r="I134" i="6"/>
  <c r="I134" i="30"/>
  <c r="I134" i="34"/>
  <c r="J139" i="6"/>
  <c r="J139" i="30"/>
  <c r="J139" i="34"/>
  <c r="K125" i="34"/>
  <c r="L127" i="30"/>
  <c r="L127" i="34"/>
  <c r="E137" i="6"/>
  <c r="E137" i="30"/>
  <c r="E137" i="34"/>
  <c r="E133" i="6"/>
  <c r="E133" i="30"/>
  <c r="E133" i="34"/>
  <c r="E127" i="34"/>
  <c r="G116" i="34"/>
  <c r="K140" i="6"/>
  <c r="K140" i="30"/>
  <c r="K140" i="34"/>
  <c r="J127" i="34"/>
  <c r="L125" i="30"/>
  <c r="L125" i="34"/>
  <c r="F137" i="6"/>
  <c r="F137" i="30"/>
  <c r="F137" i="34"/>
  <c r="I133" i="6"/>
  <c r="I133" i="30"/>
  <c r="I133" i="34"/>
  <c r="H124" i="34"/>
  <c r="G110" i="34"/>
  <c r="L110" i="34"/>
  <c r="H121" i="34"/>
  <c r="F121" i="30"/>
  <c r="F121" i="34"/>
  <c r="F123" i="30"/>
  <c r="F125" i="30"/>
  <c r="F127" i="30"/>
  <c r="F129" i="30"/>
  <c r="F129" i="34"/>
  <c r="H111" i="30"/>
  <c r="H112" i="30"/>
  <c r="H117" i="30"/>
  <c r="H118" i="30"/>
  <c r="H118" i="34"/>
  <c r="E124" i="34"/>
  <c r="L114" i="34"/>
  <c r="H123" i="34"/>
  <c r="K126" i="34"/>
  <c r="G132" i="30"/>
  <c r="G132" i="34"/>
  <c r="K138" i="6"/>
  <c r="K138" i="30"/>
  <c r="K138" i="34"/>
  <c r="K116" i="34"/>
  <c r="J134" i="6"/>
  <c r="J134" i="30"/>
  <c r="J134" i="34"/>
  <c r="G136" i="6"/>
  <c r="G136" i="30"/>
  <c r="G136" i="34"/>
  <c r="F125" i="34"/>
  <c r="I136" i="6"/>
  <c r="I136" i="30"/>
  <c r="I136" i="34"/>
  <c r="E115" i="34"/>
  <c r="E126" i="34"/>
  <c r="I128" i="30"/>
  <c r="I128" i="34"/>
  <c r="J125" i="34"/>
  <c r="F134" i="6"/>
  <c r="F134" i="30"/>
  <c r="F134" i="34"/>
  <c r="K132" i="30"/>
  <c r="K132" i="34"/>
  <c r="G137" i="6"/>
  <c r="G137" i="30"/>
  <c r="G137" i="34"/>
  <c r="J132" i="30"/>
  <c r="J132" i="34"/>
  <c r="L139" i="6"/>
  <c r="L139" i="30"/>
  <c r="L139" i="34"/>
  <c r="E117" i="34"/>
  <c r="L112" i="34"/>
  <c r="K111" i="34"/>
  <c r="F112" i="34"/>
  <c r="G117" i="34"/>
  <c r="J116" i="30"/>
  <c r="J116" i="34"/>
  <c r="J114" i="30"/>
  <c r="J114" i="34"/>
  <c r="H126" i="34"/>
  <c r="E139" i="6"/>
  <c r="E139" i="30"/>
  <c r="E139" i="34"/>
  <c r="G125" i="34"/>
  <c r="K134" i="6"/>
  <c r="K134" i="30"/>
  <c r="K134" i="34"/>
  <c r="H117" i="34"/>
  <c r="J135" i="6"/>
  <c r="J135" i="30"/>
  <c r="J135" i="34"/>
  <c r="H127" i="34"/>
  <c r="E138" i="6"/>
  <c r="E138" i="30"/>
  <c r="E138" i="34"/>
  <c r="H111" i="34"/>
  <c r="L138" i="6"/>
  <c r="L138" i="30"/>
  <c r="L138" i="34"/>
  <c r="H128" i="34"/>
  <c r="F127" i="34"/>
  <c r="I123" i="30"/>
  <c r="I123" i="34"/>
  <c r="L134" i="6"/>
  <c r="L134" i="30"/>
  <c r="L134" i="34"/>
  <c r="F136" i="6"/>
  <c r="F136" i="30"/>
  <c r="F136" i="34"/>
  <c r="J118" i="6"/>
  <c r="J111" i="30"/>
  <c r="J113" i="30"/>
  <c r="J115" i="30"/>
  <c r="J118" i="30"/>
  <c r="J118" i="34"/>
  <c r="I125" i="30"/>
  <c r="I129" i="30"/>
  <c r="I129" i="34"/>
  <c r="J111" i="34"/>
  <c r="J126" i="34"/>
  <c r="K113" i="34"/>
  <c r="K117" i="34"/>
  <c r="I117" i="30"/>
  <c r="I117" i="34"/>
  <c r="E134" i="6"/>
  <c r="E134" i="30"/>
  <c r="E134" i="34"/>
  <c r="L136" i="6"/>
  <c r="L136" i="30"/>
  <c r="L136" i="34"/>
  <c r="K122" i="34"/>
  <c r="E114" i="34"/>
  <c r="I116" i="30"/>
  <c r="I116" i="34"/>
  <c r="F114" i="34"/>
  <c r="K136" i="6"/>
  <c r="K136" i="30"/>
  <c r="K136" i="34"/>
  <c r="G133" i="6"/>
  <c r="G133" i="30"/>
  <c r="G133" i="34"/>
  <c r="I137" i="6"/>
  <c r="I137" i="30"/>
  <c r="I137" i="34"/>
  <c r="J113" i="34"/>
  <c r="F123" i="34"/>
  <c r="I139" i="6"/>
  <c r="I139" i="30"/>
  <c r="I139" i="34"/>
  <c r="L137" i="6"/>
  <c r="L137" i="30"/>
  <c r="L137" i="34"/>
  <c r="F139" i="6"/>
  <c r="F139" i="30"/>
  <c r="F139" i="34"/>
  <c r="K127" i="34"/>
  <c r="L126" i="30"/>
  <c r="L126" i="34"/>
  <c r="I138" i="6"/>
  <c r="I138" i="30"/>
  <c r="I138" i="34"/>
  <c r="K135" i="6"/>
  <c r="K135" i="30"/>
  <c r="K135" i="34"/>
  <c r="K137" i="6"/>
  <c r="K137" i="30"/>
  <c r="K137" i="34"/>
  <c r="H138" i="6"/>
  <c r="H138" i="30"/>
  <c r="H138" i="34"/>
  <c r="K112" i="34"/>
  <c r="J115" i="34"/>
  <c r="G112" i="34"/>
  <c r="F111" i="34"/>
  <c r="G113" i="34"/>
  <c r="K115" i="34"/>
  <c r="I114" i="30"/>
  <c r="I114" i="34"/>
  <c r="I118" i="6"/>
  <c r="I118" i="30"/>
  <c r="I118" i="34"/>
  <c r="J140" i="6"/>
  <c r="J140" i="30"/>
  <c r="J140" i="34"/>
  <c r="L140" i="6"/>
  <c r="L140" i="30"/>
  <c r="L140" i="34"/>
  <c r="L123" i="30"/>
  <c r="L129" i="30"/>
  <c r="L129" i="34"/>
  <c r="G127" i="34"/>
  <c r="L123" i="34"/>
  <c r="E136" i="6"/>
  <c r="E136" i="30"/>
  <c r="E136" i="34"/>
  <c r="F132" i="30"/>
  <c r="F132" i="34"/>
  <c r="H112" i="34"/>
  <c r="K114" i="34"/>
  <c r="I135" i="6"/>
  <c r="I135" i="30"/>
  <c r="I135" i="34"/>
  <c r="I140" i="6"/>
  <c r="I140" i="30"/>
  <c r="I140" i="34"/>
  <c r="L113" i="34"/>
  <c r="G134" i="6"/>
  <c r="G134" i="30"/>
  <c r="G134" i="34"/>
  <c r="E116" i="34"/>
  <c r="I125" i="34"/>
  <c r="E125" i="34"/>
  <c r="E123" i="34"/>
  <c r="E135" i="6"/>
  <c r="E135" i="30"/>
  <c r="E135" i="34"/>
  <c r="L135" i="6"/>
  <c r="L135" i="30"/>
  <c r="L135" i="34"/>
  <c r="H119" i="30"/>
  <c r="F119" i="30"/>
  <c r="E119" i="30"/>
  <c r="K130" i="6"/>
  <c r="K130" i="30"/>
  <c r="K130" i="34"/>
  <c r="J119" i="30"/>
  <c r="I119" i="30"/>
  <c r="L119" i="30"/>
  <c r="I130" i="6"/>
  <c r="I130" i="30"/>
  <c r="I130" i="34"/>
  <c r="F130" i="6"/>
  <c r="F130" i="30"/>
  <c r="F130" i="34"/>
  <c r="K119" i="30"/>
  <c r="E130" i="6"/>
  <c r="E130" i="30"/>
  <c r="E130" i="34"/>
  <c r="J130" i="6"/>
  <c r="J130" i="30"/>
  <c r="J130" i="34"/>
  <c r="G130" i="6"/>
  <c r="G130" i="30"/>
  <c r="G130" i="34"/>
  <c r="G119" i="30"/>
  <c r="L130" i="6"/>
  <c r="L130" i="30"/>
  <c r="L130" i="34"/>
  <c r="H130" i="6"/>
  <c r="H130" i="30"/>
  <c r="H130" i="34"/>
  <c r="B371" i="38" a="1"/>
  <c r="K376" i="38"/>
  <c r="K375" i="38"/>
  <c r="K371" i="38"/>
  <c r="K374" i="38"/>
  <c r="K377" i="38"/>
  <c r="K372" i="38"/>
  <c r="K373" i="38"/>
  <c r="K378" i="38"/>
  <c r="J378" i="38"/>
  <c r="J377" i="38"/>
  <c r="J376" i="38"/>
  <c r="J373" i="38"/>
  <c r="J372" i="38"/>
  <c r="J374" i="38"/>
  <c r="J375" i="38"/>
  <c r="J371" i="38"/>
  <c r="H374" i="38"/>
  <c r="I371" i="38"/>
  <c r="I373" i="38"/>
  <c r="H377" i="38"/>
  <c r="H375" i="38"/>
  <c r="H373" i="38"/>
  <c r="I377" i="38"/>
  <c r="I375" i="38"/>
  <c r="H378" i="38"/>
  <c r="I374" i="38"/>
  <c r="H371" i="38"/>
  <c r="I376" i="38"/>
  <c r="H376" i="38"/>
  <c r="I372" i="38"/>
  <c r="I378" i="38"/>
  <c r="H372" i="38"/>
  <c r="G375" i="38"/>
  <c r="G377" i="38"/>
  <c r="G373" i="38"/>
  <c r="G374" i="38"/>
  <c r="G371" i="38"/>
  <c r="G372" i="38"/>
  <c r="G376" i="38"/>
  <c r="G378" i="38"/>
  <c r="F372" i="38"/>
  <c r="F377" i="38"/>
  <c r="F374" i="38"/>
  <c r="F378" i="38"/>
  <c r="F371" i="38"/>
  <c r="F376" i="38"/>
  <c r="F373" i="38"/>
  <c r="F375" i="38"/>
  <c r="E372" i="38"/>
  <c r="E375" i="38"/>
  <c r="E377" i="38"/>
  <c r="E376" i="38"/>
  <c r="E371" i="38"/>
  <c r="E374" i="38"/>
  <c r="E373" i="38"/>
  <c r="E378" i="38"/>
  <c r="C377" i="38"/>
  <c r="C378" i="38"/>
  <c r="C371" i="38"/>
  <c r="C374" i="38"/>
  <c r="C376" i="38"/>
  <c r="D378" i="38"/>
  <c r="D377" i="38"/>
  <c r="D371" i="38"/>
  <c r="D373" i="38"/>
  <c r="C373" i="38"/>
  <c r="D374" i="38"/>
  <c r="C375" i="38"/>
  <c r="D376" i="38"/>
  <c r="D372" i="38"/>
  <c r="D375" i="38"/>
  <c r="C372" i="38"/>
  <c r="B380" i="38" a="1"/>
  <c r="C385" i="38"/>
  <c r="C380" i="38"/>
  <c r="C382" i="38"/>
  <c r="C383" i="38"/>
  <c r="C381" i="38"/>
  <c r="C387" i="38"/>
  <c r="C384" i="38"/>
  <c r="C386" i="38"/>
  <c r="K387" i="38"/>
  <c r="K380" i="38"/>
  <c r="K383" i="38"/>
  <c r="K382" i="38"/>
  <c r="K384" i="38"/>
  <c r="K381" i="38"/>
  <c r="K386" i="38"/>
  <c r="K385" i="38"/>
  <c r="J384" i="38"/>
  <c r="J387" i="38"/>
  <c r="J381" i="38"/>
  <c r="J385" i="38"/>
  <c r="J380" i="38"/>
  <c r="J386" i="38"/>
  <c r="J383" i="38"/>
  <c r="J382" i="38"/>
  <c r="I382" i="38"/>
  <c r="H382" i="38"/>
  <c r="I381" i="38"/>
  <c r="H385" i="38"/>
  <c r="I384" i="38"/>
  <c r="I383" i="38"/>
  <c r="H381" i="38"/>
  <c r="I380" i="38"/>
  <c r="H383" i="38"/>
  <c r="H387" i="38"/>
  <c r="I386" i="38"/>
  <c r="I385" i="38"/>
  <c r="H386" i="38"/>
  <c r="H380" i="38"/>
  <c r="I387" i="38"/>
  <c r="H384" i="38"/>
  <c r="G380" i="38"/>
  <c r="G383" i="38"/>
  <c r="G387" i="38"/>
  <c r="G386" i="38"/>
  <c r="G385" i="38"/>
  <c r="G381" i="38"/>
  <c r="G384" i="38"/>
  <c r="G382" i="38"/>
  <c r="F382" i="38"/>
  <c r="F387" i="38"/>
  <c r="F380" i="38"/>
  <c r="F385" i="38"/>
  <c r="F386" i="38"/>
  <c r="F381" i="38"/>
  <c r="F383" i="38"/>
  <c r="F384" i="38"/>
  <c r="D382" i="38"/>
  <c r="E381" i="38"/>
  <c r="E386" i="38"/>
  <c r="D381" i="38"/>
  <c r="E384" i="38"/>
  <c r="D380" i="38"/>
  <c r="D387" i="38"/>
  <c r="E383" i="38"/>
  <c r="D383" i="38"/>
  <c r="D386" i="38"/>
  <c r="E380" i="38"/>
  <c r="E385" i="38"/>
  <c r="D384" i="38"/>
  <c r="D385" i="38"/>
  <c r="E382" i="38"/>
  <c r="E387" i="38"/>
  <c r="B362" i="38" a="1"/>
  <c r="C362" i="38"/>
  <c r="C363" i="38"/>
  <c r="C367" i="38"/>
  <c r="C368" i="38"/>
  <c r="C369" i="38"/>
  <c r="C366" i="38"/>
  <c r="C365" i="38"/>
  <c r="C364" i="38"/>
  <c r="K367" i="38"/>
  <c r="K369" i="38"/>
  <c r="K364" i="38"/>
  <c r="K366" i="38"/>
  <c r="K362" i="38"/>
  <c r="K365" i="38"/>
  <c r="K368" i="38"/>
  <c r="K363" i="38"/>
  <c r="J363" i="38"/>
  <c r="J365" i="38"/>
  <c r="J364" i="38"/>
  <c r="J367" i="38"/>
  <c r="J369" i="38"/>
  <c r="J368" i="38"/>
  <c r="J366" i="38"/>
  <c r="J362" i="38"/>
  <c r="I364" i="38"/>
  <c r="I366" i="38"/>
  <c r="H363" i="38"/>
  <c r="H366" i="38"/>
  <c r="H368" i="38"/>
  <c r="I367" i="38"/>
  <c r="I362" i="38"/>
  <c r="H367" i="38"/>
  <c r="I368" i="38"/>
  <c r="H364" i="38"/>
  <c r="H365" i="38"/>
  <c r="I363" i="38"/>
  <c r="I365" i="38"/>
  <c r="H362" i="38"/>
  <c r="I369" i="38"/>
  <c r="H369" i="38"/>
  <c r="G367" i="38"/>
  <c r="G366" i="38"/>
  <c r="G365" i="38"/>
  <c r="G363" i="38"/>
  <c r="G364" i="38"/>
  <c r="G362" i="38"/>
  <c r="G368" i="38"/>
  <c r="G369" i="38"/>
  <c r="E366" i="38"/>
  <c r="E367" i="38"/>
  <c r="E362" i="38"/>
  <c r="F367" i="38"/>
  <c r="E363" i="38"/>
  <c r="F364" i="38"/>
  <c r="E364" i="38"/>
  <c r="F363" i="38"/>
  <c r="F366" i="38"/>
  <c r="E368" i="38"/>
  <c r="F369" i="38"/>
  <c r="E365" i="38"/>
  <c r="F362" i="38"/>
  <c r="F365" i="38"/>
  <c r="E369" i="38"/>
  <c r="F368" i="38"/>
  <c r="D367" i="38"/>
  <c r="D368" i="38"/>
  <c r="D362" i="38"/>
  <c r="D364" i="38"/>
  <c r="D369" i="38"/>
  <c r="D366" i="38"/>
  <c r="D363" i="38"/>
  <c r="D365" i="38"/>
  <c r="B353" i="38" a="1"/>
  <c r="C356" i="38"/>
  <c r="C360" i="38"/>
  <c r="C354" i="38"/>
  <c r="C357" i="38"/>
  <c r="C358" i="38"/>
  <c r="C353" i="38"/>
  <c r="C359" i="38"/>
  <c r="C355" i="38"/>
  <c r="K354" i="38"/>
  <c r="K359" i="38"/>
  <c r="K353" i="38"/>
  <c r="K356" i="38"/>
  <c r="K357" i="38"/>
  <c r="K360" i="38"/>
  <c r="K355" i="38"/>
  <c r="K358" i="38"/>
  <c r="J358" i="38"/>
  <c r="J353" i="38"/>
  <c r="J359" i="38"/>
  <c r="J355" i="38"/>
  <c r="J354" i="38"/>
  <c r="J360" i="38"/>
  <c r="J357" i="38"/>
  <c r="J356" i="38"/>
  <c r="I356" i="38"/>
  <c r="H357" i="38"/>
  <c r="H360" i="38"/>
  <c r="I354" i="38"/>
  <c r="H355" i="38"/>
  <c r="H353" i="38"/>
  <c r="I353" i="38"/>
  <c r="H356" i="38"/>
  <c r="I357" i="38"/>
  <c r="I355" i="38"/>
  <c r="H354" i="38"/>
  <c r="H359" i="38"/>
  <c r="I360" i="38"/>
  <c r="H358" i="38"/>
  <c r="I358" i="38"/>
  <c r="I359" i="38"/>
  <c r="G354" i="38"/>
  <c r="G353" i="38"/>
  <c r="G357" i="38"/>
  <c r="G358" i="38"/>
  <c r="G355" i="38"/>
  <c r="G356" i="38"/>
  <c r="G360" i="38"/>
  <c r="G359" i="38"/>
  <c r="F353" i="38"/>
  <c r="F358" i="38"/>
  <c r="F359" i="38"/>
  <c r="F354" i="38"/>
  <c r="F356" i="38"/>
  <c r="F357" i="38"/>
  <c r="F360" i="38"/>
  <c r="F355" i="38"/>
  <c r="E355" i="38"/>
  <c r="E357" i="38"/>
  <c r="E353" i="38"/>
  <c r="E359" i="38"/>
  <c r="E356" i="38"/>
  <c r="E360" i="38"/>
  <c r="E354" i="38"/>
  <c r="E358" i="38"/>
  <c r="D360" i="38"/>
  <c r="D358" i="38"/>
  <c r="D357" i="38"/>
  <c r="D359" i="38"/>
  <c r="D355" i="38"/>
  <c r="D353" i="38"/>
  <c r="D356" i="38"/>
  <c r="D354" i="38"/>
  <c r="B692" i="8"/>
  <c r="B692" i="38"/>
  <c r="B692" i="39"/>
  <c r="C692" i="8"/>
  <c r="D692" i="8"/>
  <c r="D692" i="38"/>
  <c r="D692" i="39"/>
  <c r="E692" i="8"/>
  <c r="E692" i="38"/>
  <c r="E692" i="39"/>
  <c r="C692" i="38"/>
  <c r="C692" i="39"/>
  <c r="B688" i="8"/>
  <c r="B688" i="38"/>
  <c r="B688" i="39"/>
  <c r="B690" i="8"/>
  <c r="B690" i="38"/>
  <c r="B690" i="39"/>
  <c r="F692" i="8"/>
  <c r="F692" i="38"/>
  <c r="F692" i="39"/>
  <c r="B687" i="8"/>
  <c r="B687" i="38"/>
  <c r="B687" i="39"/>
  <c r="B691" i="8"/>
  <c r="B691" i="38"/>
  <c r="B691" i="39"/>
  <c r="B694" i="8"/>
  <c r="B694" i="38"/>
  <c r="B694" i="39"/>
  <c r="C688" i="8"/>
  <c r="D688" i="8"/>
  <c r="D688" i="38"/>
  <c r="D688" i="39"/>
  <c r="C687" i="8"/>
  <c r="C687" i="38"/>
  <c r="C687" i="39"/>
  <c r="C690" i="8"/>
  <c r="D690" i="8"/>
  <c r="D690" i="38"/>
  <c r="D690" i="39"/>
  <c r="D687" i="8"/>
  <c r="D687" i="38"/>
  <c r="D687" i="39"/>
  <c r="C690" i="38"/>
  <c r="C690" i="39"/>
  <c r="C688" i="38"/>
  <c r="C688" i="39"/>
  <c r="B217" i="8"/>
  <c r="B229" i="8"/>
  <c r="B200" i="8"/>
  <c r="B199" i="8"/>
  <c r="B215" i="8"/>
  <c r="E690" i="8"/>
  <c r="E690" i="38"/>
  <c r="E690" i="39"/>
  <c r="C694" i="8"/>
  <c r="C694" i="38"/>
  <c r="C694" i="39"/>
  <c r="E687" i="8"/>
  <c r="E687" i="38"/>
  <c r="E687" i="39"/>
  <c r="C689" i="8"/>
  <c r="C689" i="38"/>
  <c r="C689" i="39"/>
  <c r="E688" i="8"/>
  <c r="E688" i="38"/>
  <c r="E688" i="39"/>
  <c r="C691" i="8"/>
  <c r="C691" i="38"/>
  <c r="C691" i="39"/>
  <c r="G692" i="8"/>
  <c r="G692" i="38"/>
  <c r="G692" i="39"/>
  <c r="B208" i="8"/>
  <c r="B198" i="8"/>
  <c r="B226" i="8"/>
  <c r="B213" i="8"/>
  <c r="B220" i="8"/>
  <c r="B202" i="8"/>
  <c r="B203" i="8"/>
  <c r="B197" i="8"/>
  <c r="B210" i="8"/>
  <c r="B231" i="8"/>
  <c r="B227" i="8"/>
  <c r="L145" i="6"/>
  <c r="L145" i="30"/>
  <c r="L145" i="34"/>
  <c r="I353" i="6"/>
  <c r="I353" i="30"/>
  <c r="I353" i="34"/>
  <c r="L353" i="6"/>
  <c r="L353" i="30"/>
  <c r="L353" i="34"/>
  <c r="E143" i="30"/>
  <c r="E143" i="34"/>
  <c r="H146" i="6"/>
  <c r="H146" i="30"/>
  <c r="H146" i="34"/>
  <c r="E148" i="6"/>
  <c r="E148" i="30"/>
  <c r="E148" i="34"/>
  <c r="G151" i="6"/>
  <c r="G151" i="30"/>
  <c r="G151" i="34"/>
  <c r="D143" i="30"/>
  <c r="D143" i="34"/>
  <c r="D148" i="6"/>
  <c r="D148" i="30"/>
  <c r="D148" i="34"/>
  <c r="C149" i="30"/>
  <c r="C149" i="34"/>
  <c r="F149" i="6"/>
  <c r="F149" i="30"/>
  <c r="F149" i="34"/>
  <c r="E149" i="6"/>
  <c r="E149" i="30"/>
  <c r="E149" i="34"/>
  <c r="G146" i="6"/>
  <c r="G146" i="30"/>
  <c r="G146" i="34"/>
  <c r="B209" i="8"/>
  <c r="B225" i="8"/>
  <c r="I146" i="6"/>
  <c r="I146" i="30"/>
  <c r="I146" i="34"/>
  <c r="C150" i="30"/>
  <c r="C150" i="34"/>
  <c r="D147" i="6"/>
  <c r="D147" i="30"/>
  <c r="D147" i="34"/>
  <c r="F151" i="6"/>
  <c r="F151" i="30"/>
  <c r="F151" i="34"/>
  <c r="J144" i="6"/>
  <c r="J144" i="30"/>
  <c r="J144" i="34"/>
  <c r="G353" i="6"/>
  <c r="G353" i="30"/>
  <c r="G353" i="34"/>
  <c r="C151" i="6"/>
  <c r="C151" i="30"/>
  <c r="C151" i="34"/>
  <c r="F148" i="6"/>
  <c r="F148" i="30"/>
  <c r="F148" i="34"/>
  <c r="L144" i="6"/>
  <c r="L144" i="30"/>
  <c r="L144" i="34"/>
  <c r="D150" i="6"/>
  <c r="D150" i="30"/>
  <c r="D150" i="34"/>
  <c r="D151" i="6"/>
  <c r="D151" i="30"/>
  <c r="D151" i="34"/>
  <c r="E146" i="6"/>
  <c r="E146" i="30"/>
  <c r="E146" i="34"/>
  <c r="L146" i="6"/>
  <c r="L146" i="30"/>
  <c r="L146" i="34"/>
  <c r="L151" i="6"/>
  <c r="L151" i="30"/>
  <c r="L151" i="34"/>
  <c r="L149" i="6"/>
  <c r="L149" i="30"/>
  <c r="L149" i="34"/>
  <c r="C147" i="30"/>
  <c r="C147" i="34"/>
  <c r="B212" i="8"/>
  <c r="B224" i="8"/>
  <c r="B204" i="8"/>
  <c r="F353" i="6"/>
  <c r="F353" i="30"/>
  <c r="F353" i="34"/>
  <c r="F146" i="6"/>
  <c r="F146" i="30"/>
  <c r="F146" i="34"/>
  <c r="F150" i="6"/>
  <c r="F150" i="30"/>
  <c r="F150" i="34"/>
  <c r="C148" i="30"/>
  <c r="C148" i="34"/>
  <c r="E353" i="6"/>
  <c r="E353" i="30"/>
  <c r="E353" i="34"/>
  <c r="H353" i="6"/>
  <c r="H353" i="30"/>
  <c r="H353" i="34"/>
  <c r="K148" i="6"/>
  <c r="K148" i="30"/>
  <c r="K148" i="34"/>
  <c r="D145" i="6"/>
  <c r="D145" i="30"/>
  <c r="D145" i="34"/>
  <c r="J149" i="6"/>
  <c r="J149" i="30"/>
  <c r="J149" i="34"/>
  <c r="J150" i="6"/>
  <c r="J150" i="30"/>
  <c r="J150" i="34"/>
  <c r="I147" i="6"/>
  <c r="I147" i="30"/>
  <c r="I147" i="34"/>
  <c r="K149" i="6"/>
  <c r="K149" i="30"/>
  <c r="K149" i="34"/>
  <c r="J148" i="6"/>
  <c r="J148" i="30"/>
  <c r="J148" i="34"/>
  <c r="H147" i="6"/>
  <c r="H147" i="30"/>
  <c r="H147" i="34"/>
  <c r="G147" i="6"/>
  <c r="G147" i="30"/>
  <c r="G147" i="34"/>
  <c r="L150" i="6"/>
  <c r="L150" i="30"/>
  <c r="L150" i="34"/>
  <c r="E145" i="6"/>
  <c r="E145" i="30"/>
  <c r="E145" i="34"/>
  <c r="C146" i="30"/>
  <c r="C146" i="34"/>
  <c r="B216" i="8"/>
  <c r="B218" i="8"/>
  <c r="H150" i="6"/>
  <c r="H150" i="30"/>
  <c r="H150" i="34"/>
  <c r="H143" i="30"/>
  <c r="H143" i="34"/>
  <c r="D144" i="6"/>
  <c r="D144" i="30"/>
  <c r="D144" i="34"/>
  <c r="I150" i="6"/>
  <c r="I150" i="30"/>
  <c r="I150" i="34"/>
  <c r="G144" i="6"/>
  <c r="G144" i="30"/>
  <c r="G144" i="34"/>
  <c r="E150" i="6"/>
  <c r="E150" i="30"/>
  <c r="E150" i="34"/>
  <c r="F143" i="30"/>
  <c r="F143" i="34"/>
  <c r="J143" i="30"/>
  <c r="J143" i="34"/>
  <c r="H145" i="6"/>
  <c r="H145" i="30"/>
  <c r="H145" i="34"/>
  <c r="C145" i="30"/>
  <c r="C145" i="34"/>
  <c r="L147" i="6"/>
  <c r="L147" i="30"/>
  <c r="L147" i="34"/>
  <c r="C144" i="30"/>
  <c r="C144" i="34"/>
  <c r="E144" i="6"/>
  <c r="E144" i="30"/>
  <c r="E144" i="34"/>
  <c r="E147" i="6"/>
  <c r="E147" i="30"/>
  <c r="E147" i="34"/>
  <c r="J146" i="6"/>
  <c r="J146" i="30"/>
  <c r="J146" i="34"/>
  <c r="I143" i="30"/>
  <c r="I143" i="34"/>
  <c r="K146" i="6"/>
  <c r="K146" i="30"/>
  <c r="K146" i="34"/>
  <c r="G148" i="6"/>
  <c r="G148" i="30"/>
  <c r="G148" i="34"/>
  <c r="K143" i="30"/>
  <c r="K143" i="34"/>
  <c r="D146" i="6"/>
  <c r="D146" i="30"/>
  <c r="D146" i="34"/>
  <c r="K147" i="6"/>
  <c r="K147" i="30"/>
  <c r="K147" i="34"/>
  <c r="H144" i="6"/>
  <c r="H144" i="30"/>
  <c r="H144" i="34"/>
  <c r="B201" i="8"/>
  <c r="B222" i="8"/>
  <c r="D353" i="6"/>
  <c r="D353" i="30"/>
  <c r="D353" i="34"/>
  <c r="J353" i="6"/>
  <c r="J353" i="30"/>
  <c r="J353" i="34"/>
  <c r="H148" i="6"/>
  <c r="H148" i="30"/>
  <c r="H148" i="34"/>
  <c r="J147" i="6"/>
  <c r="J147" i="30"/>
  <c r="J147" i="34"/>
  <c r="G143" i="30"/>
  <c r="G143" i="34"/>
  <c r="I149" i="6"/>
  <c r="I149" i="30"/>
  <c r="I149" i="34"/>
  <c r="L143" i="30"/>
  <c r="L143" i="34"/>
  <c r="C143" i="30"/>
  <c r="C143" i="34"/>
  <c r="K144" i="6"/>
  <c r="K144" i="30"/>
  <c r="K144" i="34"/>
  <c r="I144" i="6"/>
  <c r="I144" i="30"/>
  <c r="I144" i="34"/>
  <c r="G145" i="6"/>
  <c r="G145" i="30"/>
  <c r="G145" i="34"/>
  <c r="J145" i="6"/>
  <c r="J145" i="30"/>
  <c r="J145" i="34"/>
  <c r="F145" i="6"/>
  <c r="F145" i="30"/>
  <c r="F145" i="34"/>
  <c r="H149" i="6"/>
  <c r="H149" i="30"/>
  <c r="H149" i="34"/>
  <c r="G149" i="6"/>
  <c r="G149" i="30"/>
  <c r="G149" i="34"/>
  <c r="G150" i="6"/>
  <c r="G150" i="30"/>
  <c r="G150" i="34"/>
  <c r="B228" i="8"/>
  <c r="B219" i="8"/>
  <c r="B207" i="8"/>
  <c r="B206" i="8"/>
  <c r="B211" i="8"/>
  <c r="I148" i="6"/>
  <c r="I148" i="30"/>
  <c r="I148" i="34"/>
  <c r="I151" i="6"/>
  <c r="I151" i="30"/>
  <c r="I151" i="34"/>
  <c r="L148" i="6"/>
  <c r="L148" i="30"/>
  <c r="L148" i="34"/>
  <c r="K353" i="6"/>
  <c r="K353" i="30"/>
  <c r="K353" i="34"/>
  <c r="C353" i="6"/>
  <c r="C353" i="30"/>
  <c r="C353" i="34"/>
  <c r="H151" i="6"/>
  <c r="H151" i="30"/>
  <c r="H151" i="34"/>
  <c r="F147" i="6"/>
  <c r="F147" i="30"/>
  <c r="F147" i="34"/>
  <c r="D149" i="6"/>
  <c r="D149" i="30"/>
  <c r="D149" i="34"/>
  <c r="E151" i="6"/>
  <c r="E151" i="30"/>
  <c r="E151" i="34"/>
  <c r="K150" i="6"/>
  <c r="K150" i="30"/>
  <c r="K150" i="34"/>
  <c r="K151" i="6"/>
  <c r="K151" i="30"/>
  <c r="K151" i="34"/>
  <c r="F144" i="6"/>
  <c r="F144" i="30"/>
  <c r="F144" i="34"/>
  <c r="I145" i="6"/>
  <c r="I145" i="30"/>
  <c r="I145" i="34"/>
  <c r="K145" i="6"/>
  <c r="K145" i="30"/>
  <c r="K145" i="34"/>
  <c r="J151" i="6"/>
  <c r="J151" i="30"/>
  <c r="J151" i="34"/>
  <c r="B221" i="8"/>
  <c r="B230" i="8"/>
  <c r="F688" i="8"/>
  <c r="F688" i="38"/>
  <c r="F688" i="39"/>
  <c r="D693" i="8"/>
  <c r="D693" i="38"/>
  <c r="D693" i="39"/>
  <c r="F690" i="8"/>
  <c r="F690" i="38"/>
  <c r="F690" i="39"/>
  <c r="F687" i="8"/>
  <c r="F687" i="38"/>
  <c r="F687" i="39"/>
  <c r="D691" i="8"/>
  <c r="D691" i="38"/>
  <c r="D691" i="39"/>
  <c r="H692" i="8"/>
  <c r="H692" i="38"/>
  <c r="H692" i="39"/>
  <c r="D689" i="8"/>
  <c r="D689" i="38"/>
  <c r="D689" i="39"/>
  <c r="D694" i="8"/>
  <c r="D694" i="38"/>
  <c r="D694" i="39"/>
  <c r="J360" i="6"/>
  <c r="J360" i="30"/>
  <c r="J360" i="34"/>
  <c r="H356" i="6"/>
  <c r="H356" i="30"/>
  <c r="H356" i="34"/>
  <c r="F359" i="6"/>
  <c r="F359" i="30"/>
  <c r="F359" i="34"/>
  <c r="I359" i="6"/>
  <c r="I359" i="30"/>
  <c r="I359" i="34"/>
  <c r="F360" i="6"/>
  <c r="F360" i="30"/>
  <c r="F360" i="34"/>
  <c r="D360" i="6"/>
  <c r="D360" i="30"/>
  <c r="D360" i="34"/>
  <c r="H355" i="6"/>
  <c r="H355" i="30"/>
  <c r="H355" i="34"/>
  <c r="G357" i="6"/>
  <c r="G357" i="30"/>
  <c r="G357" i="34"/>
  <c r="F357" i="6"/>
  <c r="F357" i="30"/>
  <c r="F357" i="34"/>
  <c r="K357" i="6"/>
  <c r="K357" i="30"/>
  <c r="K357" i="34"/>
  <c r="E356" i="6"/>
  <c r="E356" i="30"/>
  <c r="E356" i="34"/>
  <c r="L356" i="6"/>
  <c r="L356" i="30"/>
  <c r="L356" i="34"/>
  <c r="H354" i="6"/>
  <c r="H354" i="30"/>
  <c r="H354" i="34"/>
  <c r="I354" i="6"/>
  <c r="I354" i="30"/>
  <c r="I354" i="34"/>
  <c r="L358" i="6"/>
  <c r="L358" i="30"/>
  <c r="L358" i="34"/>
  <c r="C152" i="6"/>
  <c r="C152" i="30"/>
  <c r="C152" i="34"/>
  <c r="I355" i="6"/>
  <c r="I355" i="30"/>
  <c r="I355" i="34"/>
  <c r="C355" i="6"/>
  <c r="C355" i="30"/>
  <c r="C355" i="34"/>
  <c r="E360" i="6"/>
  <c r="E360" i="30"/>
  <c r="E360" i="34"/>
  <c r="G355" i="6"/>
  <c r="G355" i="30"/>
  <c r="G355" i="34"/>
  <c r="F355" i="6"/>
  <c r="F355" i="30"/>
  <c r="F355" i="34"/>
  <c r="D357" i="6"/>
  <c r="D357" i="30"/>
  <c r="D357" i="34"/>
  <c r="C357" i="6"/>
  <c r="C357" i="30"/>
  <c r="C357" i="34"/>
  <c r="J356" i="6"/>
  <c r="J356" i="30"/>
  <c r="J356" i="34"/>
  <c r="K356" i="6"/>
  <c r="K356" i="30"/>
  <c r="K356" i="34"/>
  <c r="C354" i="6"/>
  <c r="C354" i="30"/>
  <c r="C354" i="34"/>
  <c r="L354" i="6"/>
  <c r="L354" i="30"/>
  <c r="L354" i="34"/>
  <c r="L359" i="6"/>
  <c r="L359" i="30"/>
  <c r="L359" i="34"/>
  <c r="J359" i="6"/>
  <c r="J359" i="30"/>
  <c r="J359" i="34"/>
  <c r="G358" i="6"/>
  <c r="G358" i="30"/>
  <c r="G358" i="34"/>
  <c r="F358" i="6"/>
  <c r="F358" i="30"/>
  <c r="F358" i="34"/>
  <c r="G359" i="6"/>
  <c r="G359" i="30"/>
  <c r="G359" i="34"/>
  <c r="I360" i="6"/>
  <c r="I360" i="30"/>
  <c r="I360" i="34"/>
  <c r="D355" i="6"/>
  <c r="D355" i="30"/>
  <c r="D355" i="34"/>
  <c r="J357" i="6"/>
  <c r="J357" i="30"/>
  <c r="J357" i="34"/>
  <c r="I357" i="6"/>
  <c r="I357" i="30"/>
  <c r="I357" i="34"/>
  <c r="I356" i="6"/>
  <c r="I356" i="30"/>
  <c r="I356" i="34"/>
  <c r="K354" i="6"/>
  <c r="K354" i="30"/>
  <c r="K354" i="34"/>
  <c r="J354" i="6"/>
  <c r="J354" i="30"/>
  <c r="J354" i="34"/>
  <c r="E359" i="6"/>
  <c r="E359" i="30"/>
  <c r="E359" i="34"/>
  <c r="K359" i="6"/>
  <c r="K359" i="30"/>
  <c r="K359" i="34"/>
  <c r="J358" i="6"/>
  <c r="J358" i="30"/>
  <c r="J358" i="34"/>
  <c r="D358" i="6"/>
  <c r="D358" i="30"/>
  <c r="D358" i="34"/>
  <c r="E355" i="6"/>
  <c r="E355" i="30"/>
  <c r="E355" i="34"/>
  <c r="K355" i="6"/>
  <c r="K355" i="30"/>
  <c r="K355" i="34"/>
  <c r="G354" i="6"/>
  <c r="G354" i="30"/>
  <c r="G354" i="34"/>
  <c r="C359" i="6"/>
  <c r="C359" i="30"/>
  <c r="C359" i="34"/>
  <c r="C358" i="6"/>
  <c r="C358" i="30"/>
  <c r="C358" i="34"/>
  <c r="I358" i="6"/>
  <c r="I358" i="30"/>
  <c r="I358" i="34"/>
  <c r="L357" i="6"/>
  <c r="L357" i="30"/>
  <c r="L357" i="34"/>
  <c r="F356" i="6"/>
  <c r="F356" i="30"/>
  <c r="F356" i="34"/>
  <c r="F354" i="6"/>
  <c r="F354" i="30"/>
  <c r="F354" i="34"/>
  <c r="D359" i="6"/>
  <c r="D359" i="30"/>
  <c r="D359" i="34"/>
  <c r="L355" i="6"/>
  <c r="L355" i="30"/>
  <c r="L355" i="34"/>
  <c r="E357" i="6"/>
  <c r="E357" i="30"/>
  <c r="E357" i="34"/>
  <c r="C356" i="6"/>
  <c r="C356" i="30"/>
  <c r="C356" i="34"/>
  <c r="H359" i="6"/>
  <c r="H359" i="30"/>
  <c r="H359" i="34"/>
  <c r="K358" i="6"/>
  <c r="K358" i="30"/>
  <c r="K358" i="34"/>
  <c r="K360" i="6"/>
  <c r="K360" i="30"/>
  <c r="K360" i="34"/>
  <c r="C360" i="6"/>
  <c r="C360" i="30"/>
  <c r="C360" i="34"/>
  <c r="L360" i="6"/>
  <c r="L360" i="30"/>
  <c r="L360" i="34"/>
  <c r="H360" i="6"/>
  <c r="H360" i="30"/>
  <c r="H360" i="34"/>
  <c r="G360" i="6"/>
  <c r="G360" i="30"/>
  <c r="G360" i="34"/>
  <c r="J355" i="6"/>
  <c r="J355" i="30"/>
  <c r="J355" i="34"/>
  <c r="H357" i="6"/>
  <c r="H357" i="30"/>
  <c r="H357" i="34"/>
  <c r="G356" i="6"/>
  <c r="G356" i="30"/>
  <c r="G356" i="34"/>
  <c r="D356" i="6"/>
  <c r="D356" i="30"/>
  <c r="D356" i="34"/>
  <c r="E354" i="6"/>
  <c r="E354" i="30"/>
  <c r="E354" i="34"/>
  <c r="D354" i="6"/>
  <c r="D354" i="30"/>
  <c r="D354" i="34"/>
  <c r="E358" i="6"/>
  <c r="E358" i="30"/>
  <c r="E358" i="34"/>
  <c r="H358" i="6"/>
  <c r="H358" i="30"/>
  <c r="H358" i="34"/>
  <c r="G690" i="8"/>
  <c r="G690" i="38"/>
  <c r="G690" i="39"/>
  <c r="I692" i="8"/>
  <c r="I692" i="38"/>
  <c r="I692" i="39"/>
  <c r="E689" i="8"/>
  <c r="E689" i="38"/>
  <c r="E689" i="39"/>
  <c r="G688" i="8"/>
  <c r="G688" i="38"/>
  <c r="G688" i="39"/>
  <c r="G687" i="8"/>
  <c r="G687" i="38"/>
  <c r="G687" i="39"/>
  <c r="E693" i="8"/>
  <c r="E693" i="38"/>
  <c r="E693" i="39"/>
  <c r="E691" i="8"/>
  <c r="E691" i="38"/>
  <c r="E691" i="39"/>
  <c r="E694" i="8"/>
  <c r="E694" i="38"/>
  <c r="E694" i="39"/>
  <c r="F693" i="8"/>
  <c r="F693" i="38"/>
  <c r="F693" i="39"/>
  <c r="H688" i="8"/>
  <c r="H688" i="38"/>
  <c r="H688" i="39"/>
  <c r="H690" i="8"/>
  <c r="H690" i="38"/>
  <c r="H690" i="39"/>
  <c r="J692" i="8"/>
  <c r="J692" i="38"/>
  <c r="J692" i="39"/>
  <c r="K692" i="8"/>
  <c r="K692" i="38"/>
  <c r="K692" i="39"/>
  <c r="F691" i="8"/>
  <c r="F691" i="38"/>
  <c r="F691" i="39"/>
  <c r="H687" i="8"/>
  <c r="H687" i="38"/>
  <c r="H687" i="39"/>
  <c r="F694" i="8"/>
  <c r="F694" i="38"/>
  <c r="F694" i="39"/>
  <c r="F689" i="8"/>
  <c r="F689" i="38"/>
  <c r="F689" i="39"/>
  <c r="G693" i="8"/>
  <c r="G693" i="38"/>
  <c r="G693" i="39"/>
  <c r="G694" i="8"/>
  <c r="G694" i="38"/>
  <c r="G694" i="39"/>
  <c r="I688" i="8"/>
  <c r="I688" i="38"/>
  <c r="I688" i="39"/>
  <c r="G691" i="8"/>
  <c r="G691" i="38"/>
  <c r="G691" i="39"/>
  <c r="G689" i="8"/>
  <c r="G689" i="38"/>
  <c r="G689" i="39"/>
  <c r="I687" i="8"/>
  <c r="I687" i="38"/>
  <c r="I687" i="39"/>
  <c r="I690" i="8"/>
  <c r="I690" i="38"/>
  <c r="I690" i="39"/>
  <c r="J687" i="8"/>
  <c r="K687" i="8"/>
  <c r="K687" i="38"/>
  <c r="K687" i="39"/>
  <c r="J687" i="38"/>
  <c r="J687" i="39"/>
  <c r="J688" i="8"/>
  <c r="J688" i="38"/>
  <c r="J688" i="39"/>
  <c r="H693" i="8"/>
  <c r="H693" i="38"/>
  <c r="H693" i="39"/>
  <c r="J690" i="8"/>
  <c r="J690" i="38"/>
  <c r="J690" i="39"/>
  <c r="K690" i="8"/>
  <c r="K690" i="38"/>
  <c r="K690" i="39"/>
  <c r="H691" i="8"/>
  <c r="H691" i="38"/>
  <c r="H691" i="39"/>
  <c r="H694" i="8"/>
  <c r="H694" i="38"/>
  <c r="H694" i="39"/>
  <c r="H689" i="8"/>
  <c r="H689" i="38"/>
  <c r="H689" i="39"/>
  <c r="I694" i="8"/>
  <c r="I694" i="38"/>
  <c r="I694" i="39"/>
  <c r="I689" i="8"/>
  <c r="I689" i="38"/>
  <c r="I689" i="39"/>
  <c r="I691" i="8"/>
  <c r="I691" i="38"/>
  <c r="I691" i="39"/>
  <c r="K688" i="8"/>
  <c r="K688" i="38"/>
  <c r="K688" i="39"/>
  <c r="I693" i="8"/>
  <c r="I693" i="38"/>
  <c r="I693" i="39"/>
  <c r="J691" i="8"/>
  <c r="J691" i="38"/>
  <c r="J691" i="39"/>
  <c r="J694" i="8"/>
  <c r="J694" i="38"/>
  <c r="J694" i="39"/>
  <c r="K694" i="8"/>
  <c r="K694" i="38"/>
  <c r="K694" i="39"/>
  <c r="J693" i="8"/>
  <c r="J693" i="38"/>
  <c r="J693" i="39"/>
  <c r="J689" i="8"/>
  <c r="J689" i="38"/>
  <c r="J689" i="39"/>
  <c r="K691" i="8"/>
  <c r="K691" i="38"/>
  <c r="K691" i="39"/>
  <c r="K689" i="8"/>
  <c r="K689" i="38"/>
  <c r="K689" i="39"/>
  <c r="K693" i="8"/>
  <c r="K693" i="38"/>
  <c r="K693" i="39"/>
  <c r="D119" i="34"/>
  <c r="C141" i="6"/>
  <c r="C141" i="34"/>
  <c r="R119" i="6"/>
  <c r="Q141" i="6"/>
  <c r="L119" i="6"/>
  <c r="L141" i="6"/>
  <c r="Z141" i="6"/>
  <c r="K119" i="6"/>
  <c r="K141" i="6"/>
  <c r="Y141" i="6"/>
  <c r="J119" i="6"/>
  <c r="J141" i="6"/>
  <c r="X141" i="6"/>
  <c r="I119" i="6"/>
  <c r="I141" i="6"/>
  <c r="W141" i="6"/>
  <c r="H119" i="6"/>
  <c r="H141" i="6"/>
  <c r="V141" i="6"/>
  <c r="G119" i="6"/>
  <c r="G141" i="6"/>
  <c r="U141" i="6"/>
  <c r="F119" i="6"/>
  <c r="F141" i="6"/>
  <c r="T141" i="6"/>
  <c r="E119" i="6"/>
  <c r="E141" i="6"/>
  <c r="S141" i="6"/>
  <c r="D141" i="6"/>
  <c r="R141" i="6"/>
  <c r="Z119" i="6"/>
  <c r="Y119" i="6"/>
  <c r="X119" i="6"/>
  <c r="W119" i="6"/>
  <c r="V119" i="6"/>
  <c r="U119" i="6"/>
  <c r="T119" i="6"/>
  <c r="S119" i="6"/>
  <c r="B359" i="38"/>
  <c r="B358" i="38"/>
  <c r="B355" i="38"/>
  <c r="B356" i="38"/>
  <c r="B360" i="38"/>
  <c r="B353" i="38"/>
  <c r="B354" i="38"/>
  <c r="B357" i="38"/>
  <c r="B365" i="38"/>
  <c r="B362" i="38"/>
  <c r="B363" i="38"/>
  <c r="B364" i="38"/>
  <c r="B367" i="38"/>
  <c r="B368" i="38"/>
  <c r="B366" i="38"/>
  <c r="B369" i="38"/>
  <c r="B382" i="38"/>
  <c r="B385" i="38"/>
  <c r="B384" i="38"/>
  <c r="B380" i="38"/>
  <c r="B381" i="38"/>
  <c r="B386" i="38"/>
  <c r="B387" i="38"/>
  <c r="B383" i="38"/>
  <c r="B372" i="38"/>
  <c r="B375" i="38"/>
  <c r="B376" i="38"/>
  <c r="B371" i="38"/>
  <c r="B377" i="38"/>
  <c r="B373" i="38"/>
  <c r="B374" i="38"/>
  <c r="B378" i="38"/>
  <c r="D152" i="30" a="1"/>
  <c r="G152" i="30"/>
  <c r="F152" i="30"/>
  <c r="D152" i="30"/>
  <c r="L152" i="30"/>
  <c r="I152" i="30"/>
  <c r="H152" i="30"/>
  <c r="E152" i="30"/>
  <c r="K152" i="30"/>
  <c r="J152" i="30"/>
  <c r="G119" i="34"/>
  <c r="K141" i="30"/>
  <c r="K141" i="34"/>
  <c r="H141" i="30"/>
  <c r="H141" i="34"/>
  <c r="K119" i="34"/>
  <c r="L119" i="34"/>
  <c r="I119" i="34"/>
  <c r="J119" i="34"/>
  <c r="J141" i="30"/>
  <c r="J141" i="34"/>
  <c r="F141" i="30"/>
  <c r="F141" i="34"/>
  <c r="L141" i="30"/>
  <c r="L141" i="34"/>
  <c r="E119" i="34"/>
  <c r="F119" i="34"/>
  <c r="E141" i="30"/>
  <c r="E141" i="34"/>
  <c r="H119" i="34"/>
  <c r="G141" i="30"/>
  <c r="G141" i="34"/>
  <c r="I141" i="30"/>
  <c r="I141" i="34"/>
  <c r="D141" i="34"/>
  <c r="D152" i="6" a="1"/>
  <c r="J152" i="6"/>
  <c r="J152" i="34"/>
  <c r="L152" i="6"/>
  <c r="L152" i="34"/>
  <c r="F152" i="6"/>
  <c r="F152" i="34"/>
  <c r="G152" i="6"/>
  <c r="G152" i="34"/>
  <c r="K152" i="6"/>
  <c r="K152" i="34"/>
  <c r="H152" i="6"/>
  <c r="H152" i="34"/>
  <c r="I152" i="6"/>
  <c r="I152" i="34"/>
  <c r="D152" i="6"/>
  <c r="D152" i="34"/>
  <c r="E152" i="6"/>
  <c r="E152" i="34"/>
  <c r="B380" i="8" a="1"/>
  <c r="B383" i="8"/>
  <c r="B383" i="39"/>
  <c r="B362" i="8" a="1"/>
  <c r="B367" i="8"/>
  <c r="B367" i="39"/>
  <c r="B387" i="8"/>
  <c r="B387" i="39"/>
  <c r="B384" i="8"/>
  <c r="B380" i="8"/>
  <c r="B362" i="8"/>
  <c r="B364" i="8"/>
  <c r="B365" i="8"/>
  <c r="B365" i="39"/>
  <c r="B353" i="8" a="1"/>
  <c r="B354" i="8"/>
  <c r="B354" i="39"/>
  <c r="B368" i="8"/>
  <c r="B368" i="39"/>
  <c r="B366" i="8"/>
  <c r="B366" i="39"/>
  <c r="B385" i="8"/>
  <c r="B356" i="8"/>
  <c r="B382" i="8"/>
  <c r="B386" i="8"/>
  <c r="B386" i="39"/>
  <c r="B371" i="8" a="1"/>
  <c r="B377" i="8"/>
  <c r="B377" i="39"/>
  <c r="B373" i="8"/>
  <c r="B373" i="39"/>
  <c r="B374" i="8"/>
  <c r="B374" i="39"/>
  <c r="B378" i="8"/>
  <c r="B378" i="39"/>
  <c r="B369" i="8"/>
  <c r="B369" i="39"/>
  <c r="B363" i="8"/>
  <c r="B355" i="8"/>
  <c r="B357" i="8"/>
  <c r="B357" i="39"/>
  <c r="B358" i="8"/>
  <c r="B359" i="8"/>
  <c r="B359" i="39"/>
  <c r="B381" i="8"/>
  <c r="B382" i="39"/>
  <c r="B380" i="39"/>
  <c r="B362" i="39"/>
  <c r="B371" i="8"/>
  <c r="B371" i="39"/>
  <c r="B353" i="8"/>
  <c r="B353" i="39"/>
  <c r="B384" i="39"/>
  <c r="B360" i="8"/>
  <c r="B360" i="39"/>
  <c r="B381" i="39"/>
  <c r="B363" i="39"/>
  <c r="B372" i="8"/>
  <c r="B372" i="39"/>
  <c r="B364" i="39"/>
  <c r="B358" i="39"/>
  <c r="B385" i="39"/>
  <c r="B355" i="39"/>
  <c r="B376" i="8"/>
  <c r="B376" i="39"/>
  <c r="B375" i="8"/>
  <c r="B375" i="39"/>
  <c r="B356" i="39"/>
  <c r="C385" i="8"/>
  <c r="C385" i="39"/>
  <c r="C380" i="8"/>
  <c r="C380" i="39"/>
  <c r="C382" i="8"/>
  <c r="C382" i="39"/>
  <c r="C383" i="8"/>
  <c r="C383" i="39"/>
  <c r="C381" i="8"/>
  <c r="C381" i="39"/>
  <c r="C387" i="8"/>
  <c r="C387" i="39"/>
  <c r="C384" i="8"/>
  <c r="C384" i="39"/>
  <c r="C386" i="8"/>
  <c r="C386" i="39"/>
  <c r="C362" i="8"/>
  <c r="C362" i="39"/>
  <c r="C363" i="8"/>
  <c r="C363" i="39"/>
  <c r="C367" i="8"/>
  <c r="C367" i="39"/>
  <c r="C368" i="8"/>
  <c r="C368" i="39"/>
  <c r="C369" i="8"/>
  <c r="C369" i="39"/>
  <c r="C356" i="8"/>
  <c r="C356" i="39"/>
  <c r="C366" i="8"/>
  <c r="C366" i="39"/>
  <c r="C360" i="8"/>
  <c r="C360" i="39"/>
  <c r="C354" i="8"/>
  <c r="C354" i="39"/>
  <c r="C357" i="8"/>
  <c r="C357" i="39"/>
  <c r="C358" i="8"/>
  <c r="C358" i="39"/>
  <c r="C365" i="8"/>
  <c r="C365" i="39"/>
  <c r="C364" i="8"/>
  <c r="C364" i="39"/>
  <c r="C353" i="8"/>
  <c r="C353" i="39"/>
  <c r="C359" i="8"/>
  <c r="C359" i="39"/>
  <c r="C355" i="8"/>
  <c r="C355" i="39"/>
  <c r="B130" i="35" a="1"/>
  <c r="C130" i="35"/>
  <c r="C130" i="37"/>
  <c r="B524" i="38" a="1"/>
  <c r="B530" i="38"/>
  <c r="B531" i="38"/>
  <c r="B524" i="38"/>
  <c r="B526" i="38"/>
  <c r="B527" i="38"/>
  <c r="B525" i="38"/>
  <c r="B528" i="38"/>
  <c r="B529" i="38"/>
  <c r="C530" i="38"/>
  <c r="C528" i="38"/>
  <c r="C531" i="38"/>
  <c r="C525" i="38"/>
  <c r="C527" i="38"/>
  <c r="C526" i="38"/>
  <c r="C524" i="38"/>
  <c r="C529" i="38"/>
  <c r="B515" i="38" a="1"/>
  <c r="B521" i="38"/>
  <c r="B516" i="38"/>
  <c r="B517" i="38"/>
  <c r="B520" i="38"/>
  <c r="B515" i="38"/>
  <c r="B518" i="38"/>
  <c r="B522" i="38"/>
  <c r="B519" i="38"/>
  <c r="B506" i="38" a="1"/>
  <c r="B508" i="38"/>
  <c r="B513" i="38"/>
  <c r="B509" i="38"/>
  <c r="C508" i="38"/>
  <c r="C509" i="38"/>
  <c r="B511" i="38"/>
  <c r="C510" i="38"/>
  <c r="C513" i="38"/>
  <c r="C512" i="38"/>
  <c r="B512" i="38"/>
  <c r="C511" i="38"/>
  <c r="C507" i="38"/>
  <c r="B506" i="38"/>
  <c r="B507" i="38"/>
  <c r="B510" i="38"/>
  <c r="C506" i="38"/>
  <c r="B497" i="38" a="1"/>
  <c r="C499" i="38"/>
  <c r="B501" i="38"/>
  <c r="B498" i="38"/>
  <c r="C503" i="38"/>
  <c r="C497" i="38"/>
  <c r="B502" i="38"/>
  <c r="C502" i="38"/>
  <c r="C501" i="38"/>
  <c r="C498" i="38"/>
  <c r="C504" i="38"/>
  <c r="B504" i="38"/>
  <c r="C500" i="38"/>
  <c r="B503" i="38"/>
  <c r="B497" i="38"/>
  <c r="B499" i="38"/>
  <c r="B500" i="38"/>
  <c r="G130" i="35"/>
  <c r="K130" i="35"/>
  <c r="H130" i="35"/>
  <c r="J130" i="35"/>
  <c r="D130" i="35"/>
  <c r="I130" i="35"/>
  <c r="F130" i="35"/>
  <c r="E130" i="35"/>
  <c r="K355" i="8"/>
  <c r="K356" i="8"/>
  <c r="K359" i="8"/>
  <c r="K360" i="8"/>
  <c r="K358" i="8"/>
  <c r="K357" i="8"/>
  <c r="K354" i="8"/>
  <c r="K353" i="8"/>
  <c r="J355" i="8"/>
  <c r="J356" i="8"/>
  <c r="J360" i="8"/>
  <c r="J354" i="8"/>
  <c r="J358" i="8"/>
  <c r="J353" i="8"/>
  <c r="J359" i="8"/>
  <c r="J357" i="8"/>
  <c r="I359" i="8"/>
  <c r="H354" i="8"/>
  <c r="I356" i="8"/>
  <c r="I354" i="8"/>
  <c r="H360" i="8"/>
  <c r="H358" i="8"/>
  <c r="I360" i="8"/>
  <c r="I355" i="8"/>
  <c r="I353" i="8"/>
  <c r="H353" i="8"/>
  <c r="H356" i="8"/>
  <c r="I357" i="8"/>
  <c r="H357" i="8"/>
  <c r="H359" i="8"/>
  <c r="H355" i="8"/>
  <c r="I358" i="8"/>
  <c r="G353" i="8"/>
  <c r="G356" i="8"/>
  <c r="G357" i="8"/>
  <c r="G360" i="8"/>
  <c r="G354" i="8"/>
  <c r="G355" i="8"/>
  <c r="G359" i="8"/>
  <c r="G358" i="8"/>
  <c r="F353" i="8"/>
  <c r="F359" i="8"/>
  <c r="F357" i="8"/>
  <c r="F354" i="8"/>
  <c r="F360" i="8"/>
  <c r="F356" i="8"/>
  <c r="F355" i="8"/>
  <c r="F358" i="8"/>
  <c r="E356" i="8"/>
  <c r="E357" i="8"/>
  <c r="E354" i="8"/>
  <c r="E358" i="8"/>
  <c r="E359" i="8"/>
  <c r="E353" i="8"/>
  <c r="E355" i="8"/>
  <c r="E360" i="8"/>
  <c r="D358" i="8"/>
  <c r="D356" i="8"/>
  <c r="D353" i="8"/>
  <c r="D355" i="8"/>
  <c r="D359" i="8"/>
  <c r="D357" i="8"/>
  <c r="D354" i="8"/>
  <c r="D360" i="8"/>
  <c r="K368" i="8"/>
  <c r="K365" i="8"/>
  <c r="K366" i="8"/>
  <c r="K363" i="8"/>
  <c r="K362" i="8"/>
  <c r="K367" i="8"/>
  <c r="K364" i="8"/>
  <c r="K369" i="8"/>
  <c r="J367" i="8"/>
  <c r="J362" i="8"/>
  <c r="J363" i="8"/>
  <c r="J365" i="8"/>
  <c r="J369" i="8"/>
  <c r="J366" i="8"/>
  <c r="J368" i="8"/>
  <c r="J364" i="8"/>
  <c r="H367" i="8"/>
  <c r="I369" i="8"/>
  <c r="H362" i="8"/>
  <c r="I363" i="8"/>
  <c r="H368" i="8"/>
  <c r="I367" i="8"/>
  <c r="H363" i="8"/>
  <c r="I364" i="8"/>
  <c r="I362" i="8"/>
  <c r="I365" i="8"/>
  <c r="I368" i="8"/>
  <c r="H365" i="8"/>
  <c r="H369" i="8"/>
  <c r="H364" i="8"/>
  <c r="H366" i="8"/>
  <c r="I366" i="8"/>
  <c r="G366" i="8"/>
  <c r="G367" i="8"/>
  <c r="G368" i="8"/>
  <c r="G365" i="8"/>
  <c r="G369" i="8"/>
  <c r="G364" i="8"/>
  <c r="G363" i="8"/>
  <c r="G362" i="8"/>
  <c r="F362" i="8"/>
  <c r="E365" i="8"/>
  <c r="E366" i="8"/>
  <c r="F366" i="8"/>
  <c r="E367" i="8"/>
  <c r="F364" i="8"/>
  <c r="F367" i="8"/>
  <c r="E362" i="8"/>
  <c r="E369" i="8"/>
  <c r="F365" i="8"/>
  <c r="F369" i="8"/>
  <c r="E368" i="8"/>
  <c r="F363" i="8"/>
  <c r="F368" i="8"/>
  <c r="E364" i="8"/>
  <c r="E363" i="8"/>
  <c r="D364" i="8"/>
  <c r="D366" i="8"/>
  <c r="D369" i="8"/>
  <c r="D365" i="8"/>
  <c r="D368" i="8"/>
  <c r="D363" i="8"/>
  <c r="D362" i="8"/>
  <c r="D367" i="8"/>
  <c r="K377" i="8"/>
  <c r="K378" i="8"/>
  <c r="K372" i="8"/>
  <c r="K371" i="8"/>
  <c r="K376" i="8"/>
  <c r="K373" i="8"/>
  <c r="K374" i="8"/>
  <c r="K375" i="8"/>
  <c r="J378" i="8"/>
  <c r="J372" i="8"/>
  <c r="J375" i="8"/>
  <c r="J376" i="8"/>
  <c r="J371" i="8"/>
  <c r="J373" i="8"/>
  <c r="J377" i="8"/>
  <c r="J374" i="8"/>
  <c r="H378" i="8"/>
  <c r="I376" i="8"/>
  <c r="I374" i="8"/>
  <c r="H372" i="8"/>
  <c r="I377" i="8"/>
  <c r="I373" i="8"/>
  <c r="H377" i="8"/>
  <c r="H373" i="8"/>
  <c r="I372" i="8"/>
  <c r="H375" i="8"/>
  <c r="H371" i="8"/>
  <c r="I375" i="8"/>
  <c r="I371" i="8"/>
  <c r="H376" i="8"/>
  <c r="I378" i="8"/>
  <c r="H374" i="8"/>
  <c r="G376" i="8"/>
  <c r="G378" i="8"/>
  <c r="G372" i="8"/>
  <c r="G374" i="8"/>
  <c r="G377" i="8"/>
  <c r="G375" i="8"/>
  <c r="G371" i="8"/>
  <c r="G373" i="8"/>
  <c r="F375" i="8"/>
  <c r="F376" i="8"/>
  <c r="F378" i="8"/>
  <c r="F372" i="8"/>
  <c r="F377" i="8"/>
  <c r="F371" i="8"/>
  <c r="F374" i="8"/>
  <c r="F373" i="8"/>
  <c r="E372" i="8"/>
  <c r="E373" i="8"/>
  <c r="E371" i="8"/>
  <c r="E378" i="8"/>
  <c r="E375" i="8"/>
  <c r="E374" i="8"/>
  <c r="E377" i="8"/>
  <c r="E376" i="8"/>
  <c r="D377" i="8"/>
  <c r="D376" i="8"/>
  <c r="C377" i="8"/>
  <c r="D372" i="8"/>
  <c r="D371" i="8"/>
  <c r="C376" i="8"/>
  <c r="C371" i="8"/>
  <c r="C378" i="8"/>
  <c r="D374" i="8"/>
  <c r="C373" i="8"/>
  <c r="C372" i="8"/>
  <c r="C374" i="8"/>
  <c r="D378" i="8"/>
  <c r="D375" i="8"/>
  <c r="C375" i="8"/>
  <c r="D373" i="8"/>
  <c r="K384" i="8"/>
  <c r="K380" i="8"/>
  <c r="K383" i="8"/>
  <c r="K386" i="8"/>
  <c r="K387" i="8"/>
  <c r="K385" i="8"/>
  <c r="K381" i="8"/>
  <c r="K382" i="8"/>
  <c r="J383" i="8"/>
  <c r="J381" i="8"/>
  <c r="J387" i="8"/>
  <c r="J386" i="8"/>
  <c r="J384" i="8"/>
  <c r="J385" i="8"/>
  <c r="J382" i="8"/>
  <c r="J380" i="8"/>
  <c r="H384" i="8"/>
  <c r="H386" i="8"/>
  <c r="H383" i="8"/>
  <c r="I380" i="8"/>
  <c r="H385" i="8"/>
  <c r="I384" i="8"/>
  <c r="H382" i="8"/>
  <c r="I381" i="8"/>
  <c r="I383" i="8"/>
  <c r="H381" i="8"/>
  <c r="I385" i="8"/>
  <c r="H380" i="8"/>
  <c r="I386" i="8"/>
  <c r="I382" i="8"/>
  <c r="I387" i="8"/>
  <c r="H387" i="8"/>
  <c r="G381" i="8"/>
  <c r="G387" i="8"/>
  <c r="G383" i="8"/>
  <c r="G382" i="8"/>
  <c r="G386" i="8"/>
  <c r="G385" i="8"/>
  <c r="G384" i="8"/>
  <c r="G380" i="8"/>
  <c r="F387" i="8"/>
  <c r="F381" i="8"/>
  <c r="F380" i="8"/>
  <c r="F385" i="8"/>
  <c r="F383" i="8"/>
  <c r="F386" i="8"/>
  <c r="F384" i="8"/>
  <c r="F382" i="8"/>
  <c r="D385" i="8"/>
  <c r="E386" i="8"/>
  <c r="D383" i="8"/>
  <c r="D387" i="8"/>
  <c r="E380" i="8"/>
  <c r="D380" i="8"/>
  <c r="E382" i="8"/>
  <c r="E384" i="8"/>
  <c r="D384" i="8"/>
  <c r="D386" i="8"/>
  <c r="E383" i="8"/>
  <c r="E381" i="8"/>
  <c r="E387" i="8"/>
  <c r="D382" i="8"/>
  <c r="E385" i="8"/>
  <c r="D381" i="8"/>
  <c r="D130" i="37"/>
  <c r="B130" i="35"/>
  <c r="B130" i="37"/>
  <c r="J130" i="37"/>
  <c r="F130" i="37"/>
  <c r="H130" i="37"/>
  <c r="E130" i="37"/>
  <c r="K130" i="37"/>
  <c r="I130" i="37"/>
  <c r="G130" i="37"/>
  <c r="B497" i="8" a="1"/>
  <c r="B497" i="8"/>
  <c r="B497" i="39"/>
  <c r="B499" i="8"/>
  <c r="B500" i="8"/>
  <c r="B515" i="8" a="1"/>
  <c r="B520" i="8"/>
  <c r="B520" i="39"/>
  <c r="B506" i="8" a="1"/>
  <c r="C508" i="8"/>
  <c r="C508" i="39"/>
  <c r="C497" i="8"/>
  <c r="C497" i="39"/>
  <c r="C500" i="8"/>
  <c r="C500" i="39"/>
  <c r="B524" i="8" a="1"/>
  <c r="B531" i="8"/>
  <c r="B531" i="39"/>
  <c r="B515" i="8"/>
  <c r="B515" i="39"/>
  <c r="B530" i="8"/>
  <c r="B530" i="39"/>
  <c r="C498" i="8"/>
  <c r="C498" i="39"/>
  <c r="C504" i="8"/>
  <c r="C504" i="39"/>
  <c r="B519" i="8"/>
  <c r="B519" i="39"/>
  <c r="B507" i="8"/>
  <c r="B507" i="39"/>
  <c r="B521" i="8"/>
  <c r="B521" i="39"/>
  <c r="B498" i="8"/>
  <c r="B498" i="39"/>
  <c r="B522" i="8"/>
  <c r="B522" i="39"/>
  <c r="B529" i="8"/>
  <c r="B529" i="39"/>
  <c r="B503" i="8"/>
  <c r="B503" i="39"/>
  <c r="B512" i="8"/>
  <c r="B512" i="39"/>
  <c r="B502" i="8"/>
  <c r="B502" i="39"/>
  <c r="C510" i="8"/>
  <c r="C510" i="39"/>
  <c r="B516" i="8"/>
  <c r="B516" i="39"/>
  <c r="B526" i="8"/>
  <c r="B526" i="39"/>
  <c r="B506" i="8"/>
  <c r="B506" i="39"/>
  <c r="D504" i="8"/>
  <c r="D360" i="39"/>
  <c r="D373" i="39"/>
  <c r="D517" i="8"/>
  <c r="C530" i="8"/>
  <c r="C501" i="8"/>
  <c r="C501" i="39"/>
  <c r="B508" i="8"/>
  <c r="B508" i="39"/>
  <c r="C375" i="39"/>
  <c r="C519" i="8"/>
  <c r="D375" i="39"/>
  <c r="D519" i="8"/>
  <c r="D498" i="8"/>
  <c r="D354" i="39"/>
  <c r="B511" i="8"/>
  <c r="B511" i="39"/>
  <c r="B509" i="8"/>
  <c r="B509" i="39"/>
  <c r="B524" i="8"/>
  <c r="B524" i="39"/>
  <c r="C528" i="8"/>
  <c r="D522" i="8"/>
  <c r="D378" i="39"/>
  <c r="C518" i="8"/>
  <c r="C374" i="39"/>
  <c r="D357" i="39"/>
  <c r="D501" i="8"/>
  <c r="D359" i="39"/>
  <c r="D503" i="8"/>
  <c r="C531" i="8"/>
  <c r="C525" i="8"/>
  <c r="C527" i="8"/>
  <c r="C516" i="8"/>
  <c r="C372" i="39"/>
  <c r="C506" i="8"/>
  <c r="C506" i="39"/>
  <c r="C512" i="8"/>
  <c r="C512" i="39"/>
  <c r="B517" i="8"/>
  <c r="B517" i="39"/>
  <c r="B500" i="39"/>
  <c r="B499" i="39"/>
  <c r="B528" i="8"/>
  <c r="B528" i="39"/>
  <c r="B504" i="8"/>
  <c r="B504" i="39"/>
  <c r="D499" i="8"/>
  <c r="D355" i="39"/>
  <c r="C373" i="39"/>
  <c r="C517" i="8"/>
  <c r="D518" i="8"/>
  <c r="D374" i="39"/>
  <c r="C503" i="8"/>
  <c r="C503" i="39"/>
  <c r="B501" i="8"/>
  <c r="B501" i="39"/>
  <c r="C522" i="8"/>
  <c r="C378" i="39"/>
  <c r="C515" i="8"/>
  <c r="C371" i="39"/>
  <c r="C520" i="8"/>
  <c r="C376" i="39"/>
  <c r="D515" i="8"/>
  <c r="D371" i="39"/>
  <c r="D497" i="8"/>
  <c r="D353" i="39"/>
  <c r="D372" i="39"/>
  <c r="D516" i="8"/>
  <c r="D500" i="8"/>
  <c r="D356" i="39"/>
  <c r="C511" i="8"/>
  <c r="C511" i="39"/>
  <c r="B513" i="8"/>
  <c r="B513" i="39"/>
  <c r="C499" i="8"/>
  <c r="C499" i="39"/>
  <c r="C521" i="8"/>
  <c r="C377" i="39"/>
  <c r="C526" i="8"/>
  <c r="C524" i="8"/>
  <c r="D502" i="8"/>
  <c r="D358" i="39"/>
  <c r="C529" i="8"/>
  <c r="D520" i="8"/>
  <c r="D376" i="39"/>
  <c r="B527" i="8"/>
  <c r="B527" i="39"/>
  <c r="C502" i="8"/>
  <c r="C502" i="39"/>
  <c r="D377" i="39"/>
  <c r="D521" i="8"/>
  <c r="B510" i="8"/>
  <c r="B510" i="39"/>
  <c r="C507" i="8"/>
  <c r="C507" i="39"/>
  <c r="B518" i="8"/>
  <c r="B518" i="39"/>
  <c r="C513" i="8"/>
  <c r="C513" i="39"/>
  <c r="B525" i="8"/>
  <c r="B525" i="39"/>
  <c r="C509" i="8"/>
  <c r="C509" i="39"/>
  <c r="D381" i="39"/>
  <c r="D525" i="8"/>
  <c r="E520" i="8"/>
  <c r="E376" i="39"/>
  <c r="E360" i="39"/>
  <c r="E504" i="8"/>
  <c r="E385" i="39"/>
  <c r="E529" i="8"/>
  <c r="D526" i="8"/>
  <c r="D382" i="39"/>
  <c r="E521" i="8"/>
  <c r="E377" i="39"/>
  <c r="E518" i="8"/>
  <c r="E374" i="39"/>
  <c r="E387" i="39"/>
  <c r="E531" i="8"/>
  <c r="E525" i="8"/>
  <c r="E381" i="39"/>
  <c r="E355" i="39"/>
  <c r="E499" i="8"/>
  <c r="D367" i="39"/>
  <c r="D511" i="8"/>
  <c r="E353" i="39"/>
  <c r="E497" i="8"/>
  <c r="E375" i="39"/>
  <c r="E519" i="8"/>
  <c r="D362" i="39"/>
  <c r="D506" i="8"/>
  <c r="C524" i="39"/>
  <c r="C526" i="39"/>
  <c r="E527" i="8"/>
  <c r="E383" i="39"/>
  <c r="C525" i="39"/>
  <c r="C528" i="39"/>
  <c r="D530" i="8"/>
  <c r="D386" i="39"/>
  <c r="D363" i="39"/>
  <c r="D507" i="8"/>
  <c r="D528" i="8"/>
  <c r="D384" i="39"/>
  <c r="E522" i="8"/>
  <c r="E378" i="39"/>
  <c r="E528" i="8"/>
  <c r="E384" i="39"/>
  <c r="E359" i="39"/>
  <c r="E503" i="8"/>
  <c r="E382" i="39"/>
  <c r="E526" i="8"/>
  <c r="E358" i="39"/>
  <c r="D368" i="39"/>
  <c r="D512" i="8"/>
  <c r="D524" i="8"/>
  <c r="D380" i="39"/>
  <c r="C527" i="39"/>
  <c r="C531" i="39"/>
  <c r="E524" i="8"/>
  <c r="E380" i="39"/>
  <c r="E498" i="8"/>
  <c r="E354" i="39"/>
  <c r="D365" i="39"/>
  <c r="D509" i="8"/>
  <c r="D369" i="39"/>
  <c r="D513" i="8"/>
  <c r="E515" i="8"/>
  <c r="E371" i="39"/>
  <c r="D531" i="8"/>
  <c r="D387" i="39"/>
  <c r="D527" i="8"/>
  <c r="D383" i="39"/>
  <c r="D510" i="8"/>
  <c r="D366" i="39"/>
  <c r="E373" i="39"/>
  <c r="E517" i="8"/>
  <c r="C530" i="39"/>
  <c r="E530" i="8"/>
  <c r="E386" i="39"/>
  <c r="E357" i="39"/>
  <c r="E372" i="39"/>
  <c r="E516" i="8"/>
  <c r="C529" i="39"/>
  <c r="E500" i="8"/>
  <c r="E356" i="39"/>
  <c r="D508" i="8"/>
  <c r="D364" i="39"/>
  <c r="D385" i="39"/>
  <c r="D529" i="8"/>
  <c r="E502" i="8"/>
  <c r="F502" i="8"/>
  <c r="F358" i="39"/>
  <c r="E507" i="8"/>
  <c r="E363" i="39"/>
  <c r="E364" i="39"/>
  <c r="E508" i="8"/>
  <c r="F355" i="39"/>
  <c r="F368" i="39"/>
  <c r="F512" i="8"/>
  <c r="F507" i="8"/>
  <c r="F363" i="39"/>
  <c r="E368" i="39"/>
  <c r="E512" i="8"/>
  <c r="F369" i="39"/>
  <c r="F513" i="8"/>
  <c r="F365" i="39"/>
  <c r="F509" i="8"/>
  <c r="E369" i="39"/>
  <c r="E513" i="8"/>
  <c r="E506" i="8"/>
  <c r="E362" i="39"/>
  <c r="F356" i="39"/>
  <c r="F500" i="8"/>
  <c r="F382" i="39"/>
  <c r="F526" i="8"/>
  <c r="F360" i="39"/>
  <c r="F504" i="8"/>
  <c r="F354" i="39"/>
  <c r="F498" i="8"/>
  <c r="F367" i="39"/>
  <c r="F511" i="8"/>
  <c r="F528" i="8"/>
  <c r="F384" i="39"/>
  <c r="F364" i="39"/>
  <c r="F508" i="8"/>
  <c r="F386" i="39"/>
  <c r="F530" i="8"/>
  <c r="F501" i="8"/>
  <c r="F357" i="39"/>
  <c r="F527" i="8"/>
  <c r="F383" i="39"/>
  <c r="F529" i="8"/>
  <c r="F385" i="39"/>
  <c r="E511" i="8"/>
  <c r="E367" i="39"/>
  <c r="F366" i="39"/>
  <c r="F510" i="8"/>
  <c r="F503" i="8"/>
  <c r="F359" i="39"/>
  <c r="E510" i="8"/>
  <c r="E366" i="39"/>
  <c r="F380" i="39"/>
  <c r="F524" i="8"/>
  <c r="F381" i="39"/>
  <c r="F525" i="8"/>
  <c r="F531" i="8"/>
  <c r="F387" i="39"/>
  <c r="E365" i="39"/>
  <c r="E509" i="8"/>
  <c r="F353" i="39"/>
  <c r="F497" i="8"/>
  <c r="F506" i="8"/>
  <c r="F362" i="39"/>
  <c r="E501" i="8"/>
  <c r="F373" i="39"/>
  <c r="F517" i="8"/>
  <c r="G506" i="8"/>
  <c r="G362" i="39"/>
  <c r="F518" i="8"/>
  <c r="F374" i="39"/>
  <c r="F371" i="39"/>
  <c r="F515" i="8"/>
  <c r="G507" i="8"/>
  <c r="G363" i="39"/>
  <c r="F377" i="39"/>
  <c r="F521" i="8"/>
  <c r="G364" i="39"/>
  <c r="G508" i="8"/>
  <c r="G513" i="8"/>
  <c r="G369" i="39"/>
  <c r="F499" i="8"/>
  <c r="F516" i="8"/>
  <c r="F372" i="39"/>
  <c r="F378" i="39"/>
  <c r="F522" i="8"/>
  <c r="F376" i="39"/>
  <c r="F520" i="8"/>
  <c r="F519" i="8"/>
  <c r="F375" i="39"/>
  <c r="G509" i="8"/>
  <c r="G365" i="39"/>
  <c r="G512" i="8"/>
  <c r="G368" i="39"/>
  <c r="G511" i="8"/>
  <c r="G367" i="39"/>
  <c r="G510" i="8"/>
  <c r="G366" i="39"/>
  <c r="G517" i="8"/>
  <c r="G373" i="39"/>
  <c r="G371" i="39"/>
  <c r="G515" i="8"/>
  <c r="G502" i="8"/>
  <c r="G358" i="39"/>
  <c r="G359" i="39"/>
  <c r="G503" i="8"/>
  <c r="G380" i="39"/>
  <c r="G524" i="8"/>
  <c r="G384" i="39"/>
  <c r="G528" i="8"/>
  <c r="G519" i="8"/>
  <c r="G375" i="39"/>
  <c r="G521" i="8"/>
  <c r="G377" i="39"/>
  <c r="G385" i="39"/>
  <c r="G529" i="8"/>
  <c r="G518" i="8"/>
  <c r="G374" i="39"/>
  <c r="G516" i="8"/>
  <c r="G372" i="39"/>
  <c r="G355" i="39"/>
  <c r="G378" i="39"/>
  <c r="G522" i="8"/>
  <c r="G354" i="39"/>
  <c r="G498" i="8"/>
  <c r="G386" i="39"/>
  <c r="G530" i="8"/>
  <c r="G360" i="39"/>
  <c r="G504" i="8"/>
  <c r="G526" i="8"/>
  <c r="G382" i="39"/>
  <c r="G357" i="39"/>
  <c r="G501" i="8"/>
  <c r="G500" i="8"/>
  <c r="G356" i="39"/>
  <c r="G383" i="39"/>
  <c r="G527" i="8"/>
  <c r="G531" i="8"/>
  <c r="G387" i="39"/>
  <c r="G381" i="39"/>
  <c r="G525" i="8"/>
  <c r="G497" i="8"/>
  <c r="G353" i="39"/>
  <c r="G376" i="39"/>
  <c r="G520" i="8"/>
  <c r="G499" i="8"/>
  <c r="H518" i="8"/>
  <c r="H374" i="39"/>
  <c r="H531" i="8"/>
  <c r="H387" i="39"/>
  <c r="I387" i="39"/>
  <c r="I531" i="8"/>
  <c r="I378" i="39"/>
  <c r="I522" i="8"/>
  <c r="I502" i="8"/>
  <c r="I358" i="39"/>
  <c r="H376" i="39"/>
  <c r="H520" i="8"/>
  <c r="I382" i="39"/>
  <c r="I526" i="8"/>
  <c r="I515" i="8"/>
  <c r="I371" i="39"/>
  <c r="I510" i="8"/>
  <c r="I366" i="39"/>
  <c r="H366" i="39"/>
  <c r="H510" i="8"/>
  <c r="H499" i="8"/>
  <c r="H355" i="39"/>
  <c r="I519" i="8"/>
  <c r="I375" i="39"/>
  <c r="H364" i="39"/>
  <c r="H508" i="8"/>
  <c r="I386" i="39"/>
  <c r="I530" i="8"/>
  <c r="H380" i="39"/>
  <c r="H524" i="8"/>
  <c r="H503" i="8"/>
  <c r="H359" i="39"/>
  <c r="H513" i="8"/>
  <c r="H369" i="39"/>
  <c r="H357" i="39"/>
  <c r="H501" i="8"/>
  <c r="H365" i="39"/>
  <c r="H509" i="8"/>
  <c r="I529" i="8"/>
  <c r="I385" i="39"/>
  <c r="H371" i="39"/>
  <c r="H515" i="8"/>
  <c r="H519" i="8"/>
  <c r="H375" i="39"/>
  <c r="I368" i="39"/>
  <c r="I512" i="8"/>
  <c r="I501" i="8"/>
  <c r="I357" i="39"/>
  <c r="I365" i="39"/>
  <c r="I509" i="8"/>
  <c r="I516" i="8"/>
  <c r="I372" i="39"/>
  <c r="H356" i="39"/>
  <c r="H500" i="8"/>
  <c r="H381" i="39"/>
  <c r="H525" i="8"/>
  <c r="H497" i="8"/>
  <c r="H353" i="39"/>
  <c r="I383" i="39"/>
  <c r="I527" i="8"/>
  <c r="H517" i="8"/>
  <c r="H373" i="39"/>
  <c r="I506" i="8"/>
  <c r="I362" i="39"/>
  <c r="I497" i="8"/>
  <c r="I353" i="39"/>
  <c r="I499" i="8"/>
  <c r="I355" i="39"/>
  <c r="I504" i="8"/>
  <c r="I360" i="39"/>
  <c r="H502" i="8"/>
  <c r="H358" i="39"/>
  <c r="I381" i="39"/>
  <c r="I525" i="8"/>
  <c r="H360" i="39"/>
  <c r="H504" i="8"/>
  <c r="I364" i="39"/>
  <c r="I508" i="8"/>
  <c r="H377" i="39"/>
  <c r="H521" i="8"/>
  <c r="H507" i="8"/>
  <c r="H363" i="39"/>
  <c r="H382" i="39"/>
  <c r="H526" i="8"/>
  <c r="I384" i="39"/>
  <c r="I528" i="8"/>
  <c r="I367" i="39"/>
  <c r="I511" i="8"/>
  <c r="I354" i="39"/>
  <c r="I498" i="8"/>
  <c r="I356" i="39"/>
  <c r="I500" i="8"/>
  <c r="I517" i="8"/>
  <c r="I373" i="39"/>
  <c r="H385" i="39"/>
  <c r="H529" i="8"/>
  <c r="H368" i="39"/>
  <c r="H512" i="8"/>
  <c r="I524" i="8"/>
  <c r="I380" i="39"/>
  <c r="H383" i="39"/>
  <c r="H527" i="8"/>
  <c r="I377" i="39"/>
  <c r="I521" i="8"/>
  <c r="H530" i="8"/>
  <c r="H386" i="39"/>
  <c r="I363" i="39"/>
  <c r="I507" i="8"/>
  <c r="H506" i="8"/>
  <c r="H362" i="39"/>
  <c r="H516" i="8"/>
  <c r="H372" i="39"/>
  <c r="I369" i="39"/>
  <c r="I513" i="8"/>
  <c r="I374" i="39"/>
  <c r="I518" i="8"/>
  <c r="I376" i="39"/>
  <c r="I520" i="8"/>
  <c r="H498" i="8"/>
  <c r="H354" i="39"/>
  <c r="I359" i="39"/>
  <c r="I503" i="8"/>
  <c r="H511" i="8"/>
  <c r="H367" i="39"/>
  <c r="H378" i="39"/>
  <c r="H522" i="8"/>
  <c r="H528" i="8"/>
  <c r="H384" i="39"/>
  <c r="J524" i="8"/>
  <c r="J380" i="39"/>
  <c r="J518" i="8"/>
  <c r="J374" i="39"/>
  <c r="J526" i="8"/>
  <c r="J382" i="39"/>
  <c r="J521" i="8"/>
  <c r="J377" i="39"/>
  <c r="J529" i="8"/>
  <c r="J385" i="39"/>
  <c r="J508" i="8"/>
  <c r="J364" i="39"/>
  <c r="J517" i="8"/>
  <c r="J373" i="39"/>
  <c r="J368" i="39"/>
  <c r="J512" i="8"/>
  <c r="J515" i="8"/>
  <c r="J371" i="39"/>
  <c r="J366" i="39"/>
  <c r="J510" i="8"/>
  <c r="J369" i="39"/>
  <c r="J513" i="8"/>
  <c r="J357" i="39"/>
  <c r="J501" i="8"/>
  <c r="J528" i="8"/>
  <c r="J384" i="39"/>
  <c r="J359" i="39"/>
  <c r="J503" i="8"/>
  <c r="J365" i="39"/>
  <c r="J509" i="8"/>
  <c r="J530" i="8"/>
  <c r="J386" i="39"/>
  <c r="J353" i="39"/>
  <c r="J497" i="8"/>
  <c r="J387" i="39"/>
  <c r="J531" i="8"/>
  <c r="J520" i="8"/>
  <c r="J376" i="39"/>
  <c r="J375" i="39"/>
  <c r="J519" i="8"/>
  <c r="J502" i="8"/>
  <c r="J358" i="39"/>
  <c r="J363" i="39"/>
  <c r="J507" i="8"/>
  <c r="J381" i="39"/>
  <c r="J525" i="8"/>
  <c r="J498" i="8"/>
  <c r="J354" i="39"/>
  <c r="J504" i="8"/>
  <c r="J360" i="39"/>
  <c r="J362" i="39"/>
  <c r="J506" i="8"/>
  <c r="J516" i="8"/>
  <c r="J372" i="39"/>
  <c r="J527" i="8"/>
  <c r="J383" i="39"/>
  <c r="J356" i="39"/>
  <c r="J522" i="8"/>
  <c r="J378" i="39"/>
  <c r="J355" i="39"/>
  <c r="J367" i="39"/>
  <c r="J511" i="8"/>
  <c r="J500" i="8"/>
  <c r="K513" i="8"/>
  <c r="K369" i="39"/>
  <c r="K526" i="8"/>
  <c r="K382" i="39"/>
  <c r="K497" i="8"/>
  <c r="K353" i="39"/>
  <c r="K381" i="39"/>
  <c r="K525" i="8"/>
  <c r="K354" i="39"/>
  <c r="K498" i="8"/>
  <c r="K364" i="39"/>
  <c r="K508" i="8"/>
  <c r="K501" i="8"/>
  <c r="K357" i="39"/>
  <c r="K358" i="39"/>
  <c r="K502" i="8"/>
  <c r="K529" i="8"/>
  <c r="K385" i="39"/>
  <c r="K531" i="8"/>
  <c r="K387" i="39"/>
  <c r="K386" i="39"/>
  <c r="K530" i="8"/>
  <c r="K511" i="8"/>
  <c r="K367" i="39"/>
  <c r="K527" i="8"/>
  <c r="K383" i="39"/>
  <c r="K504" i="8"/>
  <c r="K360" i="39"/>
  <c r="K524" i="8"/>
  <c r="K380" i="39"/>
  <c r="K503" i="8"/>
  <c r="K359" i="39"/>
  <c r="K356" i="39"/>
  <c r="K500" i="8"/>
  <c r="K506" i="8"/>
  <c r="K362" i="39"/>
  <c r="K528" i="8"/>
  <c r="K384" i="39"/>
  <c r="J499" i="8"/>
  <c r="K499" i="8"/>
  <c r="K355" i="39"/>
  <c r="K507" i="8"/>
  <c r="K363" i="39"/>
  <c r="K366" i="39"/>
  <c r="K510" i="8"/>
  <c r="K365" i="39"/>
  <c r="K509" i="8"/>
  <c r="K512" i="8"/>
  <c r="K368" i="39"/>
  <c r="K519" i="8"/>
  <c r="K375" i="39"/>
  <c r="K374" i="39"/>
  <c r="K518" i="8"/>
  <c r="K517" i="8"/>
  <c r="K373" i="39"/>
  <c r="K520" i="8"/>
  <c r="K376" i="39"/>
  <c r="K515" i="8"/>
  <c r="K371" i="39"/>
  <c r="K372" i="39"/>
  <c r="K516" i="8"/>
  <c r="K378" i="39"/>
  <c r="K522" i="8"/>
  <c r="K521" i="8"/>
  <c r="K377" i="39"/>
  <c r="B605" i="38" a="1"/>
  <c r="B605" i="38"/>
  <c r="B610" i="38"/>
  <c r="B607" i="38"/>
  <c r="B606" i="38"/>
  <c r="B609" i="38"/>
  <c r="B611" i="38"/>
  <c r="B612" i="38"/>
  <c r="B608" i="38"/>
  <c r="K605" i="38"/>
  <c r="K611" i="38"/>
  <c r="K608" i="38"/>
  <c r="K612" i="38"/>
  <c r="K606" i="38"/>
  <c r="K607" i="38"/>
  <c r="K610" i="38"/>
  <c r="K609" i="38"/>
  <c r="J612" i="38"/>
  <c r="J609" i="38"/>
  <c r="J605" i="38"/>
  <c r="J611" i="38"/>
  <c r="J610" i="38"/>
  <c r="J606" i="38"/>
  <c r="H608" i="38"/>
  <c r="H606" i="38"/>
  <c r="I609" i="38"/>
  <c r="H607" i="38"/>
  <c r="I605" i="38"/>
  <c r="I606" i="38"/>
  <c r="I610" i="38"/>
  <c r="H609" i="38"/>
  <c r="I608" i="38"/>
  <c r="I607" i="38"/>
  <c r="H605" i="38"/>
  <c r="I612" i="38"/>
  <c r="I611" i="38"/>
  <c r="H610" i="38"/>
  <c r="H612" i="38"/>
  <c r="H611" i="38"/>
  <c r="G610" i="38"/>
  <c r="G606" i="38"/>
  <c r="G605" i="38"/>
  <c r="G612" i="38"/>
  <c r="G609" i="38"/>
  <c r="G611" i="38"/>
  <c r="F610" i="38"/>
  <c r="F611" i="38"/>
  <c r="F606" i="38"/>
  <c r="F609" i="38"/>
  <c r="F605" i="38"/>
  <c r="F612" i="38"/>
  <c r="E611" i="38"/>
  <c r="E612" i="38"/>
  <c r="E606" i="38"/>
  <c r="E605" i="38"/>
  <c r="F607" i="38"/>
  <c r="D608" i="38"/>
  <c r="C611" i="38"/>
  <c r="D606" i="38"/>
  <c r="E607" i="38"/>
  <c r="F608" i="38"/>
  <c r="E608" i="38"/>
  <c r="D612" i="38"/>
  <c r="E609" i="38"/>
  <c r="E610" i="38"/>
  <c r="C607" i="38"/>
  <c r="C610" i="38"/>
  <c r="D611" i="38"/>
  <c r="G608" i="38"/>
  <c r="C608" i="38"/>
  <c r="J607" i="38"/>
  <c r="D609" i="38"/>
  <c r="D607" i="38"/>
  <c r="C612" i="38"/>
  <c r="C609" i="38"/>
  <c r="D610" i="38"/>
  <c r="C605" i="38"/>
  <c r="G607" i="38"/>
  <c r="C606" i="38"/>
  <c r="D605" i="38"/>
  <c r="J608" i="38"/>
  <c r="B587" i="38" a="1"/>
  <c r="K593" i="38"/>
  <c r="K589" i="38"/>
  <c r="K591" i="38"/>
  <c r="K588" i="38"/>
  <c r="K592" i="38"/>
  <c r="K590" i="38"/>
  <c r="K594" i="38"/>
  <c r="K587" i="38"/>
  <c r="J593" i="38"/>
  <c r="J592" i="38"/>
  <c r="J587" i="38"/>
  <c r="J589" i="38"/>
  <c r="J591" i="38"/>
  <c r="J590" i="38"/>
  <c r="J594" i="38"/>
  <c r="I594" i="38"/>
  <c r="I591" i="38"/>
  <c r="H593" i="38"/>
  <c r="H592" i="38"/>
  <c r="I589" i="38"/>
  <c r="H590" i="38"/>
  <c r="H589" i="38"/>
  <c r="I587" i="38"/>
  <c r="I590" i="38"/>
  <c r="H588" i="38"/>
  <c r="J588" i="38"/>
  <c r="H594" i="38"/>
  <c r="I592" i="38"/>
  <c r="H587" i="38"/>
  <c r="I593" i="38"/>
  <c r="I588" i="38"/>
  <c r="G589" i="38"/>
  <c r="H591" i="38"/>
  <c r="G587" i="38"/>
  <c r="G593" i="38"/>
  <c r="G590" i="38"/>
  <c r="G594" i="38"/>
  <c r="G591" i="38"/>
  <c r="G592" i="38"/>
  <c r="G588" i="38"/>
  <c r="F591" i="38"/>
  <c r="F593" i="38"/>
  <c r="F594" i="38"/>
  <c r="F588" i="38"/>
  <c r="F590" i="38"/>
  <c r="F589" i="38"/>
  <c r="F592" i="38"/>
  <c r="F587" i="38"/>
  <c r="E588" i="38"/>
  <c r="E590" i="38"/>
  <c r="E587" i="38"/>
  <c r="E591" i="38"/>
  <c r="E589" i="38"/>
  <c r="E592" i="38"/>
  <c r="E593" i="38"/>
  <c r="C592" i="38"/>
  <c r="E594" i="38"/>
  <c r="C587" i="38"/>
  <c r="C590" i="38"/>
  <c r="C593" i="38"/>
  <c r="D589" i="38"/>
  <c r="D587" i="38"/>
  <c r="D588" i="38"/>
  <c r="C591" i="38"/>
  <c r="D591" i="38"/>
  <c r="D594" i="38"/>
  <c r="C589" i="38"/>
  <c r="C594" i="38"/>
  <c r="C588" i="38"/>
  <c r="D590" i="38"/>
  <c r="D592" i="38"/>
  <c r="D593" i="38"/>
  <c r="B592" i="38"/>
  <c r="B594" i="38"/>
  <c r="B591" i="38"/>
  <c r="B590" i="38"/>
  <c r="B587" i="38"/>
  <c r="B589" i="38"/>
  <c r="B593" i="38"/>
  <c r="B588" i="38"/>
  <c r="B587" i="8" a="1"/>
  <c r="K593" i="8"/>
  <c r="K593" i="39"/>
  <c r="K589" i="8"/>
  <c r="K589" i="39"/>
  <c r="K591" i="8"/>
  <c r="K591" i="39"/>
  <c r="B623" i="38" a="1"/>
  <c r="K628" i="38"/>
  <c r="K624" i="38"/>
  <c r="K626" i="38"/>
  <c r="K629" i="38"/>
  <c r="K623" i="38"/>
  <c r="K627" i="38"/>
  <c r="K625" i="38"/>
  <c r="K630" i="38"/>
  <c r="J627" i="38"/>
  <c r="J625" i="38"/>
  <c r="J624" i="38"/>
  <c r="J630" i="38"/>
  <c r="J623" i="38"/>
  <c r="J626" i="38"/>
  <c r="J629" i="38"/>
  <c r="J628" i="38"/>
  <c r="H626" i="38"/>
  <c r="I628" i="38"/>
  <c r="I623" i="38"/>
  <c r="I626" i="38"/>
  <c r="H628" i="38"/>
  <c r="H624" i="38"/>
  <c r="I624" i="38"/>
  <c r="I630" i="38"/>
  <c r="H623" i="38"/>
  <c r="I629" i="38"/>
  <c r="H627" i="38"/>
  <c r="I627" i="38"/>
  <c r="I625" i="38"/>
  <c r="H625" i="38"/>
  <c r="H630" i="38"/>
  <c r="G623" i="38"/>
  <c r="G629" i="38"/>
  <c r="G628" i="38"/>
  <c r="G625" i="38"/>
  <c r="H629" i="38"/>
  <c r="G626" i="38"/>
  <c r="G630" i="38"/>
  <c r="G627" i="38"/>
  <c r="G624" i="38"/>
  <c r="F630" i="38"/>
  <c r="F628" i="38"/>
  <c r="F626" i="38"/>
  <c r="F629" i="38"/>
  <c r="F623" i="38"/>
  <c r="F625" i="38"/>
  <c r="F624" i="38"/>
  <c r="F627" i="38"/>
  <c r="E626" i="38"/>
  <c r="E628" i="38"/>
  <c r="E627" i="38"/>
  <c r="E630" i="38"/>
  <c r="E624" i="38"/>
  <c r="E623" i="38"/>
  <c r="E625" i="38"/>
  <c r="E629" i="38"/>
  <c r="D628" i="38"/>
  <c r="C625" i="38"/>
  <c r="B628" i="38"/>
  <c r="C629" i="38"/>
  <c r="C628" i="38"/>
  <c r="C623" i="38"/>
  <c r="D626" i="38"/>
  <c r="B626" i="38"/>
  <c r="D623" i="38"/>
  <c r="D624" i="38"/>
  <c r="B630" i="38"/>
  <c r="D629" i="38"/>
  <c r="C624" i="38"/>
  <c r="C626" i="38"/>
  <c r="C630" i="38"/>
  <c r="B629" i="38"/>
  <c r="D630" i="38"/>
  <c r="B624" i="38"/>
  <c r="D625" i="38"/>
  <c r="C627" i="38"/>
  <c r="B627" i="38"/>
  <c r="D627" i="38"/>
  <c r="B623" i="38"/>
  <c r="B625" i="38"/>
  <c r="B623" i="8" a="1"/>
  <c r="K628" i="8"/>
  <c r="K628" i="39"/>
  <c r="K624" i="8"/>
  <c r="K624" i="39"/>
  <c r="K588" i="8"/>
  <c r="K588" i="39"/>
  <c r="H623" i="8"/>
  <c r="H626" i="8"/>
  <c r="K626" i="8"/>
  <c r="K626" i="39"/>
  <c r="K592" i="8"/>
  <c r="K592" i="39"/>
  <c r="I630" i="8"/>
  <c r="H627" i="8"/>
  <c r="K590" i="8"/>
  <c r="K590" i="39"/>
  <c r="K594" i="8"/>
  <c r="K594" i="39"/>
  <c r="I625" i="8"/>
  <c r="K629" i="8"/>
  <c r="K629" i="39"/>
  <c r="I628" i="8"/>
  <c r="I626" i="8"/>
  <c r="K623" i="8"/>
  <c r="K623" i="39"/>
  <c r="K587" i="8"/>
  <c r="K587" i="39"/>
  <c r="K627" i="8"/>
  <c r="K627" i="39"/>
  <c r="K625" i="8"/>
  <c r="K625" i="39"/>
  <c r="K630" i="8"/>
  <c r="K630" i="39"/>
  <c r="B632" i="38" a="1"/>
  <c r="K636" i="38"/>
  <c r="K638" i="38"/>
  <c r="K637" i="38"/>
  <c r="K634" i="38"/>
  <c r="K632" i="38"/>
  <c r="K639" i="38"/>
  <c r="K635" i="38"/>
  <c r="K633" i="38"/>
  <c r="J636" i="38"/>
  <c r="J639" i="38"/>
  <c r="J638" i="38"/>
  <c r="J633" i="38"/>
  <c r="J637" i="38"/>
  <c r="J632" i="38"/>
  <c r="J635" i="38"/>
  <c r="J634" i="38"/>
  <c r="I639" i="38"/>
  <c r="H632" i="38"/>
  <c r="I638" i="38"/>
  <c r="I633" i="38"/>
  <c r="I637" i="38"/>
  <c r="H636" i="38"/>
  <c r="I634" i="38"/>
  <c r="H639" i="38"/>
  <c r="H635" i="38"/>
  <c r="H633" i="38"/>
  <c r="I635" i="38"/>
  <c r="H638" i="38"/>
  <c r="I632" i="38"/>
  <c r="H634" i="38"/>
  <c r="G638" i="38"/>
  <c r="G635" i="38"/>
  <c r="H637" i="38"/>
  <c r="G639" i="38"/>
  <c r="G636" i="38"/>
  <c r="G633" i="38"/>
  <c r="I636" i="38"/>
  <c r="G634" i="38"/>
  <c r="G637" i="38"/>
  <c r="G632" i="38"/>
  <c r="F635" i="38"/>
  <c r="F636" i="38"/>
  <c r="F638" i="38"/>
  <c r="F637" i="38"/>
  <c r="F632" i="38"/>
  <c r="F634" i="38"/>
  <c r="F639" i="38"/>
  <c r="F633" i="38"/>
  <c r="E637" i="38"/>
  <c r="D637" i="38"/>
  <c r="E638" i="38"/>
  <c r="D636" i="38"/>
  <c r="E636" i="38"/>
  <c r="E632" i="38"/>
  <c r="D633" i="38"/>
  <c r="D635" i="38"/>
  <c r="E633" i="38"/>
  <c r="D632" i="38"/>
  <c r="E635" i="38"/>
  <c r="E639" i="38"/>
  <c r="D634" i="38"/>
  <c r="E634" i="38"/>
  <c r="D639" i="38"/>
  <c r="D638" i="38"/>
  <c r="C639" i="38"/>
  <c r="C634" i="38"/>
  <c r="C636" i="38"/>
  <c r="B633" i="38"/>
  <c r="B634" i="38"/>
  <c r="C635" i="38"/>
  <c r="C637" i="38"/>
  <c r="C632" i="38"/>
  <c r="B636" i="38"/>
  <c r="C638" i="38"/>
  <c r="B638" i="38"/>
  <c r="B635" i="38"/>
  <c r="C633" i="38"/>
  <c r="B639" i="38"/>
  <c r="B632" i="38"/>
  <c r="B637" i="38"/>
  <c r="B632" i="8" a="1"/>
  <c r="K636" i="8"/>
  <c r="K636" i="39"/>
  <c r="B614" i="38" a="1"/>
  <c r="K619" i="38"/>
  <c r="K618" i="38"/>
  <c r="K617" i="38"/>
  <c r="K614" i="38"/>
  <c r="K615" i="38"/>
  <c r="K616" i="38"/>
  <c r="K621" i="38"/>
  <c r="K620" i="38"/>
  <c r="J618" i="38"/>
  <c r="J616" i="38"/>
  <c r="J617" i="38"/>
  <c r="J615" i="38"/>
  <c r="J620" i="38"/>
  <c r="J621" i="38"/>
  <c r="J614" i="38"/>
  <c r="I615" i="38"/>
  <c r="I614" i="38"/>
  <c r="I616" i="38"/>
  <c r="I617" i="38"/>
  <c r="I620" i="38"/>
  <c r="I621" i="38"/>
  <c r="I618" i="38"/>
  <c r="I619" i="38"/>
  <c r="H615" i="38"/>
  <c r="H614" i="38"/>
  <c r="J619" i="38"/>
  <c r="H620" i="38"/>
  <c r="H616" i="38"/>
  <c r="H617" i="38"/>
  <c r="H621" i="38"/>
  <c r="H618" i="38"/>
  <c r="H619" i="38"/>
  <c r="G619" i="38"/>
  <c r="G618" i="38"/>
  <c r="G617" i="38"/>
  <c r="G616" i="38"/>
  <c r="G621" i="38"/>
  <c r="G620" i="38"/>
  <c r="G614" i="38"/>
  <c r="G615" i="38"/>
  <c r="E619" i="38"/>
  <c r="E620" i="38"/>
  <c r="E617" i="38"/>
  <c r="E615" i="38"/>
  <c r="E621" i="38"/>
  <c r="F618" i="38"/>
  <c r="F617" i="38"/>
  <c r="E618" i="38"/>
  <c r="F616" i="38"/>
  <c r="F614" i="38"/>
  <c r="E616" i="38"/>
  <c r="F621" i="38"/>
  <c r="F619" i="38"/>
  <c r="F615" i="38"/>
  <c r="F620" i="38"/>
  <c r="E614" i="38"/>
  <c r="D617" i="38"/>
  <c r="D621" i="38"/>
  <c r="D614" i="38"/>
  <c r="D618" i="38"/>
  <c r="D620" i="38"/>
  <c r="D615" i="38"/>
  <c r="D619" i="38"/>
  <c r="D616" i="38"/>
  <c r="C614" i="38"/>
  <c r="B620" i="38"/>
  <c r="B614" i="38"/>
  <c r="B617" i="38"/>
  <c r="C616" i="38"/>
  <c r="C621" i="38"/>
  <c r="B616" i="38"/>
  <c r="B621" i="38"/>
  <c r="B618" i="38"/>
  <c r="C615" i="38"/>
  <c r="C620" i="38"/>
  <c r="C619" i="38"/>
  <c r="B615" i="38"/>
  <c r="C618" i="38"/>
  <c r="B619" i="38"/>
  <c r="C617" i="38"/>
  <c r="B614" i="8" a="1"/>
  <c r="K619" i="8"/>
  <c r="K619" i="39"/>
  <c r="B578" i="38" a="1"/>
  <c r="K579" i="38"/>
  <c r="K581" i="38"/>
  <c r="K585" i="38"/>
  <c r="K583" i="38"/>
  <c r="K578" i="38"/>
  <c r="K584" i="38"/>
  <c r="K580" i="38"/>
  <c r="K582" i="38"/>
  <c r="J585" i="38"/>
  <c r="J584" i="38"/>
  <c r="J579" i="38"/>
  <c r="J583" i="38"/>
  <c r="J582" i="38"/>
  <c r="J580" i="38"/>
  <c r="J578" i="38"/>
  <c r="J581" i="38"/>
  <c r="H579" i="38"/>
  <c r="H578" i="38"/>
  <c r="I579" i="38"/>
  <c r="I578" i="38"/>
  <c r="I580" i="38"/>
  <c r="H582" i="38"/>
  <c r="I582" i="38"/>
  <c r="H585" i="38"/>
  <c r="I585" i="38"/>
  <c r="H580" i="38"/>
  <c r="H583" i="38"/>
  <c r="I581" i="38"/>
  <c r="H581" i="38"/>
  <c r="I584" i="38"/>
  <c r="I583" i="38"/>
  <c r="H584" i="38"/>
  <c r="G579" i="38"/>
  <c r="G584" i="38"/>
  <c r="G583" i="38"/>
  <c r="G582" i="38"/>
  <c r="G580" i="38"/>
  <c r="G578" i="38"/>
  <c r="F583" i="38"/>
  <c r="F581" i="38"/>
  <c r="E585" i="38"/>
  <c r="G585" i="38"/>
  <c r="F582" i="38"/>
  <c r="E582" i="38"/>
  <c r="G581" i="38"/>
  <c r="E579" i="38"/>
  <c r="F584" i="38"/>
  <c r="E578" i="38"/>
  <c r="E580" i="38"/>
  <c r="F578" i="38"/>
  <c r="E583" i="38"/>
  <c r="F585" i="38"/>
  <c r="F579" i="38"/>
  <c r="E581" i="38"/>
  <c r="E584" i="38"/>
  <c r="F580" i="38"/>
  <c r="D580" i="38"/>
  <c r="D585" i="38"/>
  <c r="D578" i="38"/>
  <c r="D582" i="38"/>
  <c r="D584" i="38"/>
  <c r="D581" i="38"/>
  <c r="D583" i="38"/>
  <c r="D579" i="38"/>
  <c r="C584" i="38"/>
  <c r="C578" i="38"/>
  <c r="B583" i="38"/>
  <c r="C582" i="38"/>
  <c r="B579" i="38"/>
  <c r="B578" i="38"/>
  <c r="C579" i="38"/>
  <c r="B585" i="38"/>
  <c r="B584" i="38"/>
  <c r="C581" i="38"/>
  <c r="B580" i="38"/>
  <c r="C585" i="38"/>
  <c r="B582" i="38"/>
  <c r="C583" i="38"/>
  <c r="B581" i="38"/>
  <c r="C580" i="38"/>
  <c r="B578" i="8" a="1"/>
  <c r="K579" i="8"/>
  <c r="K579" i="39"/>
  <c r="C580" i="8"/>
  <c r="B580" i="8"/>
  <c r="B581" i="8"/>
  <c r="B585" i="8"/>
  <c r="C585" i="8"/>
  <c r="C583" i="8"/>
  <c r="B569" i="38" a="1"/>
  <c r="K573" i="38"/>
  <c r="K575" i="38"/>
  <c r="K572" i="38"/>
  <c r="K576" i="38"/>
  <c r="K570" i="38"/>
  <c r="K574" i="38"/>
  <c r="K571" i="38"/>
  <c r="K569" i="38"/>
  <c r="J576" i="38"/>
  <c r="J574" i="38"/>
  <c r="J569" i="38"/>
  <c r="J573" i="38"/>
  <c r="J575" i="38"/>
  <c r="J570" i="38"/>
  <c r="H575" i="38"/>
  <c r="I571" i="38"/>
  <c r="I570" i="38"/>
  <c r="H569" i="38"/>
  <c r="H573" i="38"/>
  <c r="H570" i="38"/>
  <c r="I572" i="38"/>
  <c r="H571" i="38"/>
  <c r="H576" i="38"/>
  <c r="I575" i="38"/>
  <c r="I569" i="38"/>
  <c r="I574" i="38"/>
  <c r="H574" i="38"/>
  <c r="H572" i="38"/>
  <c r="I573" i="38"/>
  <c r="G575" i="38"/>
  <c r="G570" i="38"/>
  <c r="G576" i="38"/>
  <c r="I576" i="38"/>
  <c r="G573" i="38"/>
  <c r="G569" i="38"/>
  <c r="G574" i="38"/>
  <c r="F573" i="38"/>
  <c r="F570" i="38"/>
  <c r="F575" i="38"/>
  <c r="F569" i="38"/>
  <c r="F574" i="38"/>
  <c r="F576" i="38"/>
  <c r="E575" i="38"/>
  <c r="E569" i="38"/>
  <c r="E570" i="38"/>
  <c r="E576" i="38"/>
  <c r="D569" i="38"/>
  <c r="D570" i="38"/>
  <c r="C570" i="38"/>
  <c r="C572" i="38"/>
  <c r="B576" i="38"/>
  <c r="C575" i="38"/>
  <c r="G571" i="38"/>
  <c r="D576" i="38"/>
  <c r="C573" i="38"/>
  <c r="D571" i="38"/>
  <c r="C569" i="38"/>
  <c r="C574" i="38"/>
  <c r="D575" i="38"/>
  <c r="J572" i="38"/>
  <c r="C576" i="38"/>
  <c r="B574" i="38"/>
  <c r="E574" i="38"/>
  <c r="E573" i="38"/>
  <c r="D573" i="38"/>
  <c r="F571" i="38"/>
  <c r="E571" i="38"/>
  <c r="B573" i="38"/>
  <c r="J571" i="38"/>
  <c r="B571" i="38"/>
  <c r="D572" i="38"/>
  <c r="C571" i="38"/>
  <c r="E572" i="38"/>
  <c r="F572" i="38"/>
  <c r="D574" i="38"/>
  <c r="B570" i="38"/>
  <c r="B575" i="38"/>
  <c r="B569" i="38"/>
  <c r="G572" i="38"/>
  <c r="B572" i="38"/>
  <c r="B569" i="8" a="1"/>
  <c r="K573" i="8"/>
  <c r="K573" i="39"/>
  <c r="C569" i="8"/>
  <c r="B576" i="8"/>
  <c r="C575" i="8"/>
  <c r="G571" i="8"/>
  <c r="D573" i="8"/>
  <c r="D576" i="8"/>
  <c r="C576" i="8"/>
  <c r="C574" i="8"/>
  <c r="B572" i="8"/>
  <c r="K581" i="8"/>
  <c r="K581" i="39"/>
  <c r="K638" i="8"/>
  <c r="K638" i="39"/>
  <c r="K637" i="8"/>
  <c r="K637" i="39"/>
  <c r="K585" i="8"/>
  <c r="K585" i="39"/>
  <c r="B596" i="38" a="1"/>
  <c r="K599" i="38"/>
  <c r="K600" i="38"/>
  <c r="K602" i="38"/>
  <c r="K601" i="38"/>
  <c r="K598" i="38"/>
  <c r="K597" i="38"/>
  <c r="K603" i="38"/>
  <c r="K596" i="38"/>
  <c r="J598" i="38"/>
  <c r="J601" i="38"/>
  <c r="J599" i="38"/>
  <c r="J603" i="38"/>
  <c r="J597" i="38"/>
  <c r="J600" i="38"/>
  <c r="J602" i="38"/>
  <c r="I601" i="38"/>
  <c r="H600" i="38"/>
  <c r="J596" i="38"/>
  <c r="I599" i="38"/>
  <c r="H601" i="38"/>
  <c r="H599" i="38"/>
  <c r="H598" i="38"/>
  <c r="I598" i="38"/>
  <c r="H596" i="38"/>
  <c r="I600" i="38"/>
  <c r="I603" i="38"/>
  <c r="I602" i="38"/>
  <c r="H603" i="38"/>
  <c r="H602" i="38"/>
  <c r="I597" i="38"/>
  <c r="I596" i="38"/>
  <c r="G597" i="38"/>
  <c r="G603" i="38"/>
  <c r="G596" i="38"/>
  <c r="G602" i="38"/>
  <c r="G598" i="38"/>
  <c r="G600" i="38"/>
  <c r="H597" i="38"/>
  <c r="G601" i="38"/>
  <c r="G599" i="38"/>
  <c r="F601" i="38"/>
  <c r="F598" i="38"/>
  <c r="F597" i="38"/>
  <c r="F596" i="38"/>
  <c r="F603" i="38"/>
  <c r="F602" i="38"/>
  <c r="F600" i="38"/>
  <c r="F599" i="38"/>
  <c r="D602" i="38"/>
  <c r="E599" i="38"/>
  <c r="E597" i="38"/>
  <c r="D598" i="38"/>
  <c r="D596" i="38"/>
  <c r="E603" i="38"/>
  <c r="E602" i="38"/>
  <c r="D600" i="38"/>
  <c r="E600" i="38"/>
  <c r="D601" i="38"/>
  <c r="D597" i="38"/>
  <c r="E598" i="38"/>
  <c r="C597" i="38"/>
  <c r="E601" i="38"/>
  <c r="C598" i="38"/>
  <c r="D603" i="38"/>
  <c r="D599" i="38"/>
  <c r="C599" i="38"/>
  <c r="E596" i="38"/>
  <c r="C596" i="38"/>
  <c r="C603" i="38"/>
  <c r="C601" i="38"/>
  <c r="C602" i="38"/>
  <c r="B601" i="38"/>
  <c r="C600" i="38"/>
  <c r="B600" i="38"/>
  <c r="B597" i="38"/>
  <c r="B602" i="38"/>
  <c r="B599" i="38"/>
  <c r="B598" i="38"/>
  <c r="B596" i="38"/>
  <c r="B603" i="38"/>
  <c r="B596" i="8" a="1"/>
  <c r="K599" i="8"/>
  <c r="K599" i="39"/>
  <c r="B598" i="8"/>
  <c r="B603" i="8"/>
  <c r="B602" i="8"/>
  <c r="B596" i="8"/>
  <c r="B599" i="8"/>
  <c r="B597" i="8"/>
  <c r="K618" i="8"/>
  <c r="K618" i="39"/>
  <c r="G618" i="8"/>
  <c r="G627" i="8"/>
  <c r="G636" i="8"/>
  <c r="G619" i="8"/>
  <c r="G628" i="8"/>
  <c r="G637" i="8"/>
  <c r="K600" i="8"/>
  <c r="K600" i="39"/>
  <c r="K583" i="8"/>
  <c r="K583" i="39"/>
  <c r="K602" i="8"/>
  <c r="K602" i="39"/>
  <c r="K601" i="8"/>
  <c r="K601" i="39"/>
  <c r="K634" i="8"/>
  <c r="K634" i="39"/>
  <c r="G616" i="8"/>
  <c r="G625" i="8"/>
  <c r="G634" i="8"/>
  <c r="G621" i="8"/>
  <c r="G630" i="8"/>
  <c r="G639" i="8"/>
  <c r="G620" i="8"/>
  <c r="G629" i="8"/>
  <c r="G638" i="8"/>
  <c r="K575" i="8"/>
  <c r="K575" i="39"/>
  <c r="G617" i="8"/>
  <c r="G626" i="8"/>
  <c r="G635" i="8"/>
  <c r="K632" i="8"/>
  <c r="K632" i="39"/>
  <c r="G615" i="8"/>
  <c r="G624" i="8"/>
  <c r="G633" i="8"/>
  <c r="K617" i="8"/>
  <c r="K617" i="39"/>
  <c r="K639" i="8"/>
  <c r="K639" i="39"/>
  <c r="G614" i="8"/>
  <c r="G623" i="8"/>
  <c r="G632" i="8"/>
  <c r="K635" i="8"/>
  <c r="K635" i="39"/>
  <c r="K614" i="8"/>
  <c r="K614" i="39"/>
  <c r="K615" i="8"/>
  <c r="K615" i="39"/>
  <c r="K572" i="8"/>
  <c r="K572" i="39"/>
  <c r="K576" i="8"/>
  <c r="K576" i="39"/>
  <c r="K578" i="8"/>
  <c r="K578" i="39"/>
  <c r="K584" i="8"/>
  <c r="K584" i="39"/>
  <c r="K616" i="8"/>
  <c r="K616" i="39"/>
  <c r="K598" i="8"/>
  <c r="K598" i="39"/>
  <c r="K580" i="8"/>
  <c r="K580" i="39"/>
  <c r="K570" i="8"/>
  <c r="K570" i="39"/>
  <c r="K574" i="8"/>
  <c r="K574" i="39"/>
  <c r="K621" i="8"/>
  <c r="K621" i="39"/>
  <c r="K571" i="8"/>
  <c r="K571" i="39"/>
  <c r="K633" i="8"/>
  <c r="K633" i="39"/>
  <c r="K597" i="8"/>
  <c r="K597" i="39"/>
  <c r="K620" i="8"/>
  <c r="K620" i="39"/>
  <c r="K582" i="8"/>
  <c r="K582" i="39"/>
  <c r="K603" i="8"/>
  <c r="K603" i="39"/>
  <c r="K596" i="8"/>
  <c r="K596" i="39"/>
  <c r="K569" i="8"/>
  <c r="K569" i="39"/>
  <c r="J593" i="8"/>
  <c r="J593" i="39"/>
  <c r="J592" i="8"/>
  <c r="J592" i="39"/>
  <c r="J636" i="8"/>
  <c r="J636" i="39"/>
  <c r="J585" i="8"/>
  <c r="J585" i="39"/>
  <c r="J587" i="8"/>
  <c r="J587" i="39"/>
  <c r="J589" i="8"/>
  <c r="J589" i="39"/>
  <c r="J627" i="8"/>
  <c r="J627" i="39"/>
  <c r="J576" i="8"/>
  <c r="J576" i="39"/>
  <c r="J625" i="8"/>
  <c r="J625" i="39"/>
  <c r="J639" i="8"/>
  <c r="J639" i="39"/>
  <c r="F614" i="8"/>
  <c r="F623" i="8"/>
  <c r="F632" i="8"/>
  <c r="J598" i="8"/>
  <c r="J598" i="39"/>
  <c r="J574" i="8"/>
  <c r="J574" i="39"/>
  <c r="J591" i="8"/>
  <c r="J591" i="39"/>
  <c r="J618" i="8"/>
  <c r="J618" i="39"/>
  <c r="J638" i="8"/>
  <c r="J638" i="39"/>
  <c r="F616" i="8"/>
  <c r="F625" i="8"/>
  <c r="F634" i="8"/>
  <c r="J601" i="8"/>
  <c r="J601" i="39"/>
  <c r="J569" i="8"/>
  <c r="J569" i="39"/>
  <c r="J616" i="8"/>
  <c r="J616" i="39"/>
  <c r="J624" i="8"/>
  <c r="J624" i="39"/>
  <c r="J599" i="8"/>
  <c r="J599" i="39"/>
  <c r="J633" i="8"/>
  <c r="J633" i="39"/>
  <c r="J630" i="8"/>
  <c r="J630" i="39"/>
  <c r="F618" i="8"/>
  <c r="F627" i="8"/>
  <c r="F636" i="8"/>
  <c r="J617" i="8"/>
  <c r="J617" i="39"/>
  <c r="F619" i="8"/>
  <c r="F628" i="8"/>
  <c r="F637" i="8"/>
  <c r="J603" i="8"/>
  <c r="J603" i="39"/>
  <c r="J584" i="8"/>
  <c r="J584" i="39"/>
  <c r="J637" i="8"/>
  <c r="J637" i="39"/>
  <c r="J590" i="8"/>
  <c r="J590" i="39"/>
  <c r="J632" i="8"/>
  <c r="J632" i="39"/>
  <c r="J573" i="8"/>
  <c r="J573" i="39"/>
  <c r="J597" i="8"/>
  <c r="J597" i="39"/>
  <c r="J615" i="8"/>
  <c r="J615" i="39"/>
  <c r="J579" i="8"/>
  <c r="J579" i="39"/>
  <c r="J575" i="8"/>
  <c r="J575" i="39"/>
  <c r="J623" i="8"/>
  <c r="J623" i="39"/>
  <c r="J620" i="8"/>
  <c r="J620" i="39"/>
  <c r="J583" i="8"/>
  <c r="J583" i="39"/>
  <c r="J626" i="8"/>
  <c r="J626" i="39"/>
  <c r="J594" i="8"/>
  <c r="J594" i="39"/>
  <c r="J621" i="8"/>
  <c r="J621" i="39"/>
  <c r="J600" i="8"/>
  <c r="J600" i="39"/>
  <c r="J582" i="8"/>
  <c r="J582" i="39"/>
  <c r="J629" i="8"/>
  <c r="J629" i="39"/>
  <c r="J635" i="8"/>
  <c r="J635" i="39"/>
  <c r="J580" i="8"/>
  <c r="J580" i="39"/>
  <c r="J628" i="8"/>
  <c r="J628" i="39"/>
  <c r="J578" i="8"/>
  <c r="J578" i="39"/>
  <c r="J570" i="8"/>
  <c r="J570" i="39"/>
  <c r="J581" i="8"/>
  <c r="J581" i="39"/>
  <c r="J602" i="8"/>
  <c r="J602" i="39"/>
  <c r="J614" i="8"/>
  <c r="J614" i="39"/>
  <c r="J634" i="8"/>
  <c r="J634" i="39"/>
  <c r="E616" i="8"/>
  <c r="E625" i="8"/>
  <c r="E634" i="8"/>
  <c r="I601" i="8"/>
  <c r="I601" i="39"/>
  <c r="H626" i="39"/>
  <c r="H579" i="8"/>
  <c r="H579" i="39"/>
  <c r="H575" i="8"/>
  <c r="H575" i="39"/>
  <c r="I639" i="8"/>
  <c r="I639" i="39"/>
  <c r="H600" i="8"/>
  <c r="H600" i="39"/>
  <c r="I628" i="39"/>
  <c r="I615" i="8"/>
  <c r="I615" i="39"/>
  <c r="I614" i="8"/>
  <c r="I614" i="39"/>
  <c r="H632" i="8"/>
  <c r="H632" i="39"/>
  <c r="E614" i="8"/>
  <c r="E623" i="8"/>
  <c r="E632" i="8"/>
  <c r="I616" i="8"/>
  <c r="I616" i="39"/>
  <c r="I617" i="8"/>
  <c r="I617" i="39"/>
  <c r="F621" i="8"/>
  <c r="F630" i="8"/>
  <c r="F639" i="8"/>
  <c r="H578" i="8"/>
  <c r="H578" i="39"/>
  <c r="I594" i="8"/>
  <c r="I594" i="39"/>
  <c r="I591" i="8"/>
  <c r="I591" i="39"/>
  <c r="H593" i="8"/>
  <c r="H593" i="39"/>
  <c r="I620" i="8"/>
  <c r="I620" i="39"/>
  <c r="I579" i="8"/>
  <c r="I579" i="39"/>
  <c r="I578" i="8"/>
  <c r="I578" i="39"/>
  <c r="I580" i="8"/>
  <c r="I580" i="39"/>
  <c r="H592" i="8"/>
  <c r="H592" i="39"/>
  <c r="J596" i="8"/>
  <c r="J596" i="39"/>
  <c r="I589" i="8"/>
  <c r="I589" i="39"/>
  <c r="I599" i="8"/>
  <c r="I599" i="39"/>
  <c r="H590" i="8"/>
  <c r="H590" i="39"/>
  <c r="I623" i="8"/>
  <c r="I623" i="39"/>
  <c r="I621" i="8"/>
  <c r="I621" i="39"/>
  <c r="H601" i="8"/>
  <c r="H601" i="39"/>
  <c r="I638" i="8"/>
  <c r="I638" i="39"/>
  <c r="I618" i="8"/>
  <c r="I618" i="39"/>
  <c r="E618" i="8"/>
  <c r="E627" i="8"/>
  <c r="E636" i="8"/>
  <c r="I626" i="39"/>
  <c r="H628" i="8"/>
  <c r="H628" i="39"/>
  <c r="H624" i="8"/>
  <c r="H624" i="39"/>
  <c r="I633" i="8"/>
  <c r="I633" i="39"/>
  <c r="H589" i="8"/>
  <c r="H589" i="39"/>
  <c r="I587" i="8"/>
  <c r="I587" i="39"/>
  <c r="I637" i="8"/>
  <c r="I637" i="39"/>
  <c r="F617" i="8"/>
  <c r="F626" i="8"/>
  <c r="F635" i="8"/>
  <c r="I619" i="8"/>
  <c r="I619" i="39"/>
  <c r="H615" i="8"/>
  <c r="H615" i="39"/>
  <c r="H636" i="8"/>
  <c r="H636" i="39"/>
  <c r="I571" i="8"/>
  <c r="I571" i="39"/>
  <c r="H599" i="8"/>
  <c r="H599" i="39"/>
  <c r="I570" i="8"/>
  <c r="I570" i="39"/>
  <c r="I624" i="8"/>
  <c r="I624" i="39"/>
  <c r="I590" i="8"/>
  <c r="I590" i="39"/>
  <c r="I634" i="8"/>
  <c r="I634" i="39"/>
  <c r="E619" i="8"/>
  <c r="E628" i="8"/>
  <c r="E637" i="8"/>
  <c r="H588" i="8"/>
  <c r="H588" i="39"/>
  <c r="H598" i="8"/>
  <c r="H598" i="39"/>
  <c r="H639" i="8"/>
  <c r="H639" i="39"/>
  <c r="H582" i="8"/>
  <c r="H582" i="39"/>
  <c r="H614" i="8"/>
  <c r="H614" i="39"/>
  <c r="I582" i="8"/>
  <c r="I582" i="39"/>
  <c r="I630" i="39"/>
  <c r="H569" i="8"/>
  <c r="H569" i="39"/>
  <c r="I598" i="8"/>
  <c r="I598" i="39"/>
  <c r="F620" i="8"/>
  <c r="F629" i="8"/>
  <c r="F638" i="8"/>
  <c r="J588" i="8"/>
  <c r="J588" i="39"/>
  <c r="J619" i="8"/>
  <c r="J619" i="39"/>
  <c r="E617" i="8"/>
  <c r="E626" i="8"/>
  <c r="E635" i="8"/>
  <c r="F615" i="8"/>
  <c r="F624" i="8"/>
  <c r="F633" i="8"/>
  <c r="H573" i="8"/>
  <c r="H573" i="39"/>
  <c r="H585" i="8"/>
  <c r="H585" i="39"/>
  <c r="H594" i="8"/>
  <c r="H594" i="39"/>
  <c r="I592" i="8"/>
  <c r="I592" i="39"/>
  <c r="H596" i="8"/>
  <c r="H596" i="39"/>
  <c r="I585" i="8"/>
  <c r="I585" i="39"/>
  <c r="H635" i="8"/>
  <c r="H635" i="39"/>
  <c r="H620" i="8"/>
  <c r="H620" i="39"/>
  <c r="I600" i="8"/>
  <c r="I600" i="39"/>
  <c r="H633" i="8"/>
  <c r="H633" i="39"/>
  <c r="I635" i="8"/>
  <c r="I635" i="39"/>
  <c r="H616" i="8"/>
  <c r="H616" i="39"/>
  <c r="I603" i="8"/>
  <c r="I603" i="39"/>
  <c r="H570" i="8"/>
  <c r="H570" i="39"/>
  <c r="I572" i="8"/>
  <c r="I572" i="39"/>
  <c r="I602" i="8"/>
  <c r="I602" i="39"/>
  <c r="H617" i="8"/>
  <c r="H617" i="39"/>
  <c r="H571" i="8"/>
  <c r="H571" i="39"/>
  <c r="H638" i="8"/>
  <c r="H638" i="39"/>
  <c r="H576" i="8"/>
  <c r="H576" i="39"/>
  <c r="H580" i="8"/>
  <c r="H580" i="39"/>
  <c r="H623" i="39"/>
  <c r="I629" i="8"/>
  <c r="I629" i="39"/>
  <c r="I632" i="8"/>
  <c r="I632" i="39"/>
  <c r="H603" i="8"/>
  <c r="H603" i="39"/>
  <c r="H583" i="8"/>
  <c r="H583" i="39"/>
  <c r="H621" i="8"/>
  <c r="H621" i="39"/>
  <c r="I575" i="8"/>
  <c r="I575" i="39"/>
  <c r="H602" i="8"/>
  <c r="H602" i="39"/>
  <c r="I569" i="8"/>
  <c r="I569" i="39"/>
  <c r="I574" i="8"/>
  <c r="I574" i="39"/>
  <c r="I581" i="8"/>
  <c r="I581" i="39"/>
  <c r="H587" i="8"/>
  <c r="H587" i="39"/>
  <c r="H581" i="8"/>
  <c r="H581" i="39"/>
  <c r="I593" i="8"/>
  <c r="I593" i="39"/>
  <c r="I588" i="8"/>
  <c r="I588" i="39"/>
  <c r="H627" i="39"/>
  <c r="I627" i="8"/>
  <c r="I627" i="39"/>
  <c r="I625" i="39"/>
  <c r="H574" i="8"/>
  <c r="H574" i="39"/>
  <c r="I597" i="8"/>
  <c r="I597" i="39"/>
  <c r="H572" i="8"/>
  <c r="H572" i="39"/>
  <c r="I573" i="8"/>
  <c r="I573" i="39"/>
  <c r="H625" i="8"/>
  <c r="H625" i="39"/>
  <c r="I584" i="8"/>
  <c r="I584" i="39"/>
  <c r="I583" i="8"/>
  <c r="I583" i="39"/>
  <c r="H630" i="8"/>
  <c r="H630" i="39"/>
  <c r="I596" i="8"/>
  <c r="I596" i="39"/>
  <c r="H634" i="8"/>
  <c r="H634" i="39"/>
  <c r="H584" i="8"/>
  <c r="H584" i="39"/>
  <c r="G597" i="8"/>
  <c r="G597" i="39"/>
  <c r="G575" i="8"/>
  <c r="G575" i="39"/>
  <c r="G623" i="39"/>
  <c r="G638" i="39"/>
  <c r="G629" i="39"/>
  <c r="G603" i="8"/>
  <c r="G603" i="39"/>
  <c r="D621" i="8"/>
  <c r="D630" i="8"/>
  <c r="D639" i="8"/>
  <c r="G589" i="8"/>
  <c r="G589" i="39"/>
  <c r="D618" i="8"/>
  <c r="D636" i="8"/>
  <c r="D615" i="8"/>
  <c r="D624" i="8"/>
  <c r="D633" i="8"/>
  <c r="H591" i="8"/>
  <c r="H591" i="39"/>
  <c r="G635" i="39"/>
  <c r="G587" i="8"/>
  <c r="G587" i="39"/>
  <c r="G593" i="8"/>
  <c r="G593" i="39"/>
  <c r="G596" i="8"/>
  <c r="G596" i="39"/>
  <c r="G590" i="8"/>
  <c r="G590" i="39"/>
  <c r="H637" i="8"/>
  <c r="H637" i="39"/>
  <c r="E615" i="8"/>
  <c r="E624" i="8"/>
  <c r="E633" i="8"/>
  <c r="G570" i="8"/>
  <c r="G570" i="39"/>
  <c r="G602" i="8"/>
  <c r="G602" i="39"/>
  <c r="G628" i="39"/>
  <c r="D616" i="8"/>
  <c r="D634" i="8"/>
  <c r="D620" i="8"/>
  <c r="D629" i="8"/>
  <c r="D638" i="8"/>
  <c r="G594" i="8"/>
  <c r="G594" i="39"/>
  <c r="H618" i="8"/>
  <c r="H618" i="39"/>
  <c r="D614" i="8"/>
  <c r="D623" i="8"/>
  <c r="D632" i="8"/>
  <c r="G576" i="8"/>
  <c r="G576" i="39"/>
  <c r="G639" i="39"/>
  <c r="G636" i="39"/>
  <c r="E621" i="8"/>
  <c r="E630" i="8"/>
  <c r="E639" i="8"/>
  <c r="D617" i="8"/>
  <c r="D626" i="8"/>
  <c r="D635" i="8"/>
  <c r="H619" i="8"/>
  <c r="H619" i="39"/>
  <c r="G633" i="39"/>
  <c r="G598" i="8"/>
  <c r="G598" i="39"/>
  <c r="G591" i="8"/>
  <c r="G591" i="39"/>
  <c r="G600" i="8"/>
  <c r="G600" i="39"/>
  <c r="G625" i="39"/>
  <c r="D619" i="8"/>
  <c r="D628" i="8"/>
  <c r="D637" i="8"/>
  <c r="H597" i="8"/>
  <c r="H597" i="39"/>
  <c r="I576" i="8"/>
  <c r="I576" i="39"/>
  <c r="H629" i="8"/>
  <c r="H629" i="39"/>
  <c r="I636" i="8"/>
  <c r="I636" i="39"/>
  <c r="E620" i="8"/>
  <c r="E629" i="8"/>
  <c r="E638" i="8"/>
  <c r="G634" i="39"/>
  <c r="G573" i="8"/>
  <c r="G573" i="39"/>
  <c r="G637" i="39"/>
  <c r="G626" i="39"/>
  <c r="G630" i="39"/>
  <c r="G592" i="8"/>
  <c r="G592" i="39"/>
  <c r="G627" i="39"/>
  <c r="G624" i="39"/>
  <c r="G588" i="8"/>
  <c r="G588" i="39"/>
  <c r="G569" i="8"/>
  <c r="G569" i="39"/>
  <c r="G601" i="8"/>
  <c r="G601" i="39"/>
  <c r="G632" i="39"/>
  <c r="G599" i="8"/>
  <c r="G599" i="39"/>
  <c r="F591" i="8"/>
  <c r="F591" i="39"/>
  <c r="F593" i="8"/>
  <c r="F593" i="39"/>
  <c r="G579" i="8"/>
  <c r="G579" i="39"/>
  <c r="F630" i="39"/>
  <c r="C628" i="8"/>
  <c r="C637" i="8"/>
  <c r="G584" i="8"/>
  <c r="G584" i="39"/>
  <c r="F594" i="8"/>
  <c r="F594" i="39"/>
  <c r="G619" i="39"/>
  <c r="F628" i="39"/>
  <c r="C623" i="8"/>
  <c r="C632" i="8"/>
  <c r="C625" i="8"/>
  <c r="C634" i="8"/>
  <c r="C617" i="8"/>
  <c r="C626" i="8"/>
  <c r="G574" i="8"/>
  <c r="G574" i="39"/>
  <c r="G618" i="39"/>
  <c r="G583" i="8"/>
  <c r="G583" i="39"/>
  <c r="G617" i="39"/>
  <c r="F626" i="39"/>
  <c r="G616" i="39"/>
  <c r="G582" i="8"/>
  <c r="G582" i="39"/>
  <c r="F588" i="8"/>
  <c r="F588" i="39"/>
  <c r="F629" i="39"/>
  <c r="F590" i="8"/>
  <c r="F590" i="39"/>
  <c r="G621" i="39"/>
  <c r="G580" i="8"/>
  <c r="G580" i="39"/>
  <c r="G620" i="39"/>
  <c r="G614" i="39"/>
  <c r="G578" i="8"/>
  <c r="G578" i="39"/>
  <c r="F623" i="39"/>
  <c r="G615" i="39"/>
  <c r="F589" i="8"/>
  <c r="F589" i="39"/>
  <c r="F592" i="8"/>
  <c r="F592" i="39"/>
  <c r="F625" i="39"/>
  <c r="F624" i="39"/>
  <c r="F583" i="8"/>
  <c r="F583" i="39"/>
  <c r="F581" i="8"/>
  <c r="F581" i="39"/>
  <c r="C615" i="8"/>
  <c r="C624" i="8"/>
  <c r="E619" i="39"/>
  <c r="C621" i="8"/>
  <c r="C630" i="8"/>
  <c r="F601" i="8"/>
  <c r="F601" i="39"/>
  <c r="F598" i="8"/>
  <c r="F598" i="39"/>
  <c r="E620" i="39"/>
  <c r="E617" i="39"/>
  <c r="E615" i="39"/>
  <c r="F635" i="39"/>
  <c r="E621" i="39"/>
  <c r="C629" i="8"/>
  <c r="F597" i="8"/>
  <c r="F597" i="39"/>
  <c r="F573" i="8"/>
  <c r="F573" i="39"/>
  <c r="F570" i="8"/>
  <c r="F570" i="39"/>
  <c r="E585" i="8"/>
  <c r="E585" i="39"/>
  <c r="F596" i="8"/>
  <c r="F596" i="39"/>
  <c r="F618" i="39"/>
  <c r="F636" i="39"/>
  <c r="F575" i="8"/>
  <c r="F575" i="39"/>
  <c r="F627" i="39"/>
  <c r="G585" i="8"/>
  <c r="G585" i="39"/>
  <c r="F617" i="39"/>
  <c r="F587" i="8"/>
  <c r="F587" i="39"/>
  <c r="E618" i="39"/>
  <c r="F616" i="39"/>
  <c r="F614" i="39"/>
  <c r="F638" i="39"/>
  <c r="F582" i="8"/>
  <c r="F582" i="39"/>
  <c r="E616" i="39"/>
  <c r="E582" i="8"/>
  <c r="E582" i="39"/>
  <c r="F603" i="8"/>
  <c r="F603" i="39"/>
  <c r="G581" i="8"/>
  <c r="G581" i="39"/>
  <c r="F637" i="39"/>
  <c r="F602" i="8"/>
  <c r="F602" i="39"/>
  <c r="E579" i="8"/>
  <c r="E579" i="39"/>
  <c r="F621" i="39"/>
  <c r="F569" i="8"/>
  <c r="F569" i="39"/>
  <c r="F584" i="8"/>
  <c r="F584" i="39"/>
  <c r="E578" i="8"/>
  <c r="E578" i="39"/>
  <c r="F619" i="39"/>
  <c r="F632" i="39"/>
  <c r="F615" i="39"/>
  <c r="E580" i="8"/>
  <c r="E580" i="39"/>
  <c r="F578" i="8"/>
  <c r="F578" i="39"/>
  <c r="E583" i="8"/>
  <c r="E583" i="39"/>
  <c r="F634" i="39"/>
  <c r="F585" i="8"/>
  <c r="F585" i="39"/>
  <c r="F574" i="8"/>
  <c r="F574" i="39"/>
  <c r="F579" i="8"/>
  <c r="F579" i="39"/>
  <c r="F576" i="8"/>
  <c r="F576" i="39"/>
  <c r="F600" i="8"/>
  <c r="F600" i="39"/>
  <c r="F639" i="39"/>
  <c r="E581" i="8"/>
  <c r="E581" i="39"/>
  <c r="E584" i="8"/>
  <c r="E584" i="39"/>
  <c r="F599" i="8"/>
  <c r="F599" i="39"/>
  <c r="F620" i="39"/>
  <c r="F580" i="8"/>
  <c r="F580" i="39"/>
  <c r="E614" i="39"/>
  <c r="F633" i="39"/>
  <c r="D602" i="8"/>
  <c r="D602" i="39"/>
  <c r="E599" i="8"/>
  <c r="E599" i="39"/>
  <c r="E626" i="39"/>
  <c r="E588" i="8"/>
  <c r="E588" i="39"/>
  <c r="E628" i="39"/>
  <c r="E597" i="8"/>
  <c r="E597" i="39"/>
  <c r="D598" i="8"/>
  <c r="D598" i="39"/>
  <c r="D580" i="8"/>
  <c r="D580" i="39"/>
  <c r="D596" i="8"/>
  <c r="D596" i="39"/>
  <c r="E637" i="39"/>
  <c r="D617" i="39"/>
  <c r="D621" i="39"/>
  <c r="D614" i="39"/>
  <c r="E590" i="8"/>
  <c r="E590" i="39"/>
  <c r="D637" i="39"/>
  <c r="D585" i="8"/>
  <c r="D585" i="39"/>
  <c r="E638" i="39"/>
  <c r="D618" i="39"/>
  <c r="D620" i="39"/>
  <c r="D615" i="39"/>
  <c r="E603" i="8"/>
  <c r="E603" i="39"/>
  <c r="D636" i="39"/>
  <c r="D578" i="8"/>
  <c r="D578" i="39"/>
  <c r="E627" i="39"/>
  <c r="E575" i="8"/>
  <c r="E575" i="39"/>
  <c r="E587" i="8"/>
  <c r="E587" i="39"/>
  <c r="E602" i="8"/>
  <c r="E602" i="39"/>
  <c r="E636" i="39"/>
  <c r="E630" i="39"/>
  <c r="D619" i="39"/>
  <c r="E632" i="39"/>
  <c r="D582" i="8"/>
  <c r="D582" i="39"/>
  <c r="D600" i="8"/>
  <c r="D600" i="39"/>
  <c r="D633" i="39"/>
  <c r="D635" i="39"/>
  <c r="E591" i="8"/>
  <c r="E591" i="39"/>
  <c r="E633" i="39"/>
  <c r="D632" i="39"/>
  <c r="E569" i="8"/>
  <c r="E569" i="39"/>
  <c r="E635" i="39"/>
  <c r="E589" i="8"/>
  <c r="E589" i="39"/>
  <c r="E624" i="39"/>
  <c r="E600" i="8"/>
  <c r="E600" i="39"/>
  <c r="D616" i="39"/>
  <c r="E623" i="39"/>
  <c r="E639" i="39"/>
  <c r="E625" i="39"/>
  <c r="D601" i="8"/>
  <c r="D601" i="39"/>
  <c r="D597" i="8"/>
  <c r="D597" i="39"/>
  <c r="D634" i="39"/>
  <c r="E634" i="39"/>
  <c r="E629" i="39"/>
  <c r="E592" i="8"/>
  <c r="E592" i="39"/>
  <c r="D639" i="39"/>
  <c r="D584" i="8"/>
  <c r="D584" i="39"/>
  <c r="E598" i="8"/>
  <c r="E598" i="39"/>
  <c r="E570" i="8"/>
  <c r="E570" i="39"/>
  <c r="E593" i="8"/>
  <c r="E593" i="39"/>
  <c r="D581" i="8"/>
  <c r="D581" i="39"/>
  <c r="D583" i="8"/>
  <c r="D583" i="39"/>
  <c r="C592" i="8"/>
  <c r="C592" i="39"/>
  <c r="C597" i="8"/>
  <c r="C597" i="39"/>
  <c r="D628" i="39"/>
  <c r="E576" i="8"/>
  <c r="E576" i="39"/>
  <c r="E601" i="8"/>
  <c r="E601" i="39"/>
  <c r="D579" i="8"/>
  <c r="D579" i="39"/>
  <c r="E594" i="8"/>
  <c r="E594" i="39"/>
  <c r="C587" i="8"/>
  <c r="C587" i="39"/>
  <c r="C590" i="8"/>
  <c r="C590" i="39"/>
  <c r="C593" i="8"/>
  <c r="C593" i="39"/>
  <c r="C598" i="8"/>
  <c r="C598" i="39"/>
  <c r="D569" i="8"/>
  <c r="D569" i="39"/>
  <c r="D603" i="8"/>
  <c r="D603" i="39"/>
  <c r="D599" i="8"/>
  <c r="D599" i="39"/>
  <c r="C599" i="8"/>
  <c r="C599" i="39"/>
  <c r="D638" i="39"/>
  <c r="E596" i="8"/>
  <c r="E596" i="39"/>
  <c r="D589" i="8"/>
  <c r="D589" i="39"/>
  <c r="D587" i="8"/>
  <c r="D587" i="39"/>
  <c r="D588" i="8"/>
  <c r="D588" i="39"/>
  <c r="C591" i="8"/>
  <c r="C591" i="39"/>
  <c r="D570" i="8"/>
  <c r="D570" i="39"/>
  <c r="C596" i="8"/>
  <c r="C596" i="39"/>
  <c r="D591" i="8"/>
  <c r="D591" i="39"/>
  <c r="D594" i="8"/>
  <c r="D594" i="39"/>
  <c r="C589" i="8"/>
  <c r="C589" i="39"/>
  <c r="C594" i="8"/>
  <c r="C594" i="39"/>
  <c r="C588" i="8"/>
  <c r="C588" i="39"/>
  <c r="D590" i="8"/>
  <c r="D590" i="39"/>
  <c r="C603" i="8"/>
  <c r="C603" i="39"/>
  <c r="D592" i="8"/>
  <c r="D592" i="39"/>
  <c r="D593" i="8"/>
  <c r="D593" i="39"/>
  <c r="C601" i="8"/>
  <c r="C601" i="39"/>
  <c r="C602" i="8"/>
  <c r="C602" i="39"/>
  <c r="C625" i="39"/>
  <c r="B628" i="8"/>
  <c r="B628" i="39"/>
  <c r="C614" i="8"/>
  <c r="C614" i="39"/>
  <c r="C629" i="39"/>
  <c r="C584" i="8"/>
  <c r="C584" i="39"/>
  <c r="C628" i="39"/>
  <c r="C639" i="8"/>
  <c r="C639" i="39"/>
  <c r="C634" i="39"/>
  <c r="C578" i="8"/>
  <c r="C578" i="39"/>
  <c r="C623" i="39"/>
  <c r="B592" i="8"/>
  <c r="B592" i="39"/>
  <c r="C636" i="8"/>
  <c r="C636" i="39"/>
  <c r="B620" i="8"/>
  <c r="B620" i="39"/>
  <c r="B633" i="8"/>
  <c r="B633" i="39"/>
  <c r="B614" i="8"/>
  <c r="B614" i="39"/>
  <c r="B594" i="8"/>
  <c r="B594" i="39"/>
  <c r="D626" i="39"/>
  <c r="B626" i="8"/>
  <c r="B626" i="39"/>
  <c r="B634" i="8"/>
  <c r="B634" i="39"/>
  <c r="C635" i="8"/>
  <c r="C635" i="39"/>
  <c r="B617" i="8"/>
  <c r="B617" i="39"/>
  <c r="C637" i="39"/>
  <c r="D623" i="39"/>
  <c r="D624" i="39"/>
  <c r="B583" i="8"/>
  <c r="B583" i="39"/>
  <c r="C616" i="8"/>
  <c r="C616" i="39"/>
  <c r="C621" i="39"/>
  <c r="C582" i="8"/>
  <c r="C582" i="39"/>
  <c r="B616" i="8"/>
  <c r="B616" i="39"/>
  <c r="B630" i="8"/>
  <c r="B630" i="39"/>
  <c r="D629" i="39"/>
  <c r="C632" i="39"/>
  <c r="B636" i="8"/>
  <c r="B636" i="39"/>
  <c r="B601" i="8"/>
  <c r="B601" i="39"/>
  <c r="C638" i="8"/>
  <c r="C638" i="39"/>
  <c r="C624" i="39"/>
  <c r="C600" i="8"/>
  <c r="C600" i="39"/>
  <c r="C626" i="39"/>
  <c r="B591" i="8"/>
  <c r="B591" i="39"/>
  <c r="B638" i="8"/>
  <c r="B638" i="39"/>
  <c r="B635" i="8"/>
  <c r="B635" i="39"/>
  <c r="C630" i="39"/>
  <c r="B629" i="8"/>
  <c r="B629" i="39"/>
  <c r="D630" i="39"/>
  <c r="B579" i="8"/>
  <c r="B579" i="39"/>
  <c r="B600" i="8"/>
  <c r="B600" i="39"/>
  <c r="B624" i="8"/>
  <c r="B624" i="39"/>
  <c r="B578" i="8"/>
  <c r="B578" i="39"/>
  <c r="B621" i="8"/>
  <c r="B621" i="39"/>
  <c r="B618" i="8"/>
  <c r="B618" i="39"/>
  <c r="C633" i="8"/>
  <c r="C633" i="39"/>
  <c r="D625" i="8"/>
  <c r="D625" i="39"/>
  <c r="C615" i="39"/>
  <c r="C579" i="8"/>
  <c r="C579" i="39"/>
  <c r="B597" i="39"/>
  <c r="B590" i="8"/>
  <c r="B590" i="39"/>
  <c r="B587" i="8"/>
  <c r="B587" i="39"/>
  <c r="C620" i="8"/>
  <c r="C620" i="39"/>
  <c r="C619" i="8"/>
  <c r="C619" i="39"/>
  <c r="B585" i="39"/>
  <c r="B639" i="8"/>
  <c r="B639" i="39"/>
  <c r="B589" i="8"/>
  <c r="B589" i="39"/>
  <c r="C570" i="8"/>
  <c r="C570" i="39"/>
  <c r="C572" i="8"/>
  <c r="C572" i="39"/>
  <c r="B584" i="8"/>
  <c r="B584" i="39"/>
  <c r="B615" i="8"/>
  <c r="B615" i="39"/>
  <c r="C618" i="8"/>
  <c r="C618" i="39"/>
  <c r="C581" i="8"/>
  <c r="C581" i="39"/>
  <c r="B602" i="39"/>
  <c r="C627" i="8"/>
  <c r="C627" i="39"/>
  <c r="B619" i="8"/>
  <c r="B619" i="39"/>
  <c r="C617" i="39"/>
  <c r="B627" i="8"/>
  <c r="B627" i="39"/>
  <c r="D627" i="8"/>
  <c r="D627" i="39"/>
  <c r="B576" i="39"/>
  <c r="C575" i="39"/>
  <c r="G571" i="39"/>
  <c r="D576" i="39"/>
  <c r="C573" i="8"/>
  <c r="C573" i="39"/>
  <c r="B580" i="39"/>
  <c r="C585" i="39"/>
  <c r="B582" i="8"/>
  <c r="B582" i="39"/>
  <c r="B623" i="8"/>
  <c r="B623" i="39"/>
  <c r="D571" i="8"/>
  <c r="D571" i="39"/>
  <c r="C583" i="39"/>
  <c r="B599" i="39"/>
  <c r="B632" i="8"/>
  <c r="B632" i="39"/>
  <c r="B637" i="8"/>
  <c r="B637" i="39"/>
  <c r="C569" i="39"/>
  <c r="C574" i="39"/>
  <c r="D575" i="8"/>
  <c r="D575" i="39"/>
  <c r="J572" i="8"/>
  <c r="J572" i="39"/>
  <c r="B598" i="39"/>
  <c r="B593" i="8"/>
  <c r="B593" i="39"/>
  <c r="B625" i="8"/>
  <c r="B625" i="39"/>
  <c r="C576" i="39"/>
  <c r="B574" i="8"/>
  <c r="B574" i="39"/>
  <c r="E574" i="8"/>
  <c r="E574" i="39"/>
  <c r="B596" i="39"/>
  <c r="E573" i="8"/>
  <c r="E573" i="39"/>
  <c r="B581" i="39"/>
  <c r="B588" i="8"/>
  <c r="B588" i="39"/>
  <c r="D573" i="39"/>
  <c r="F571" i="8"/>
  <c r="F571" i="39"/>
  <c r="E571" i="8"/>
  <c r="E571" i="39"/>
  <c r="B573" i="8"/>
  <c r="B573" i="39"/>
  <c r="B603" i="39"/>
  <c r="J571" i="8"/>
  <c r="J571" i="39"/>
  <c r="B571" i="8"/>
  <c r="B571" i="39"/>
  <c r="D572" i="8"/>
  <c r="D572" i="39"/>
  <c r="C580" i="39"/>
  <c r="C571" i="8"/>
  <c r="C571" i="39"/>
  <c r="E572" i="8"/>
  <c r="E572" i="39"/>
  <c r="F572" i="8"/>
  <c r="F572" i="39"/>
  <c r="D574" i="8"/>
  <c r="D574" i="39"/>
  <c r="B570" i="8"/>
  <c r="B570" i="39"/>
  <c r="B575" i="8"/>
  <c r="B575" i="39"/>
  <c r="B569" i="8"/>
  <c r="B569" i="39"/>
  <c r="G572" i="8"/>
  <c r="G572" i="39"/>
  <c r="B572" i="39"/>
  <c r="K519" i="38"/>
  <c r="K519" i="39"/>
  <c r="K520" i="38"/>
  <c r="K520" i="39"/>
  <c r="K516" i="38"/>
  <c r="K516" i="39"/>
  <c r="K517" i="38"/>
  <c r="K517" i="39"/>
  <c r="K521" i="38"/>
  <c r="K521" i="39"/>
  <c r="K522" i="38"/>
  <c r="K522" i="39"/>
  <c r="K518" i="38"/>
  <c r="K518" i="39"/>
  <c r="K515" i="38"/>
  <c r="K515" i="39"/>
  <c r="K510" i="38"/>
  <c r="K510" i="39"/>
  <c r="K513" i="38"/>
  <c r="K513" i="39"/>
  <c r="K526" i="38"/>
  <c r="K526" i="39"/>
  <c r="K508" i="38"/>
  <c r="K508" i="39"/>
  <c r="K529" i="38"/>
  <c r="K529" i="39"/>
  <c r="K531" i="38"/>
  <c r="K531" i="39"/>
  <c r="K530" i="38"/>
  <c r="K530" i="39"/>
  <c r="K509" i="38"/>
  <c r="K509" i="39"/>
  <c r="K501" i="38"/>
  <c r="K501" i="39"/>
  <c r="K502" i="38"/>
  <c r="K502" i="39"/>
  <c r="K524" i="38"/>
  <c r="K524" i="39"/>
  <c r="K507" i="38"/>
  <c r="K507" i="39"/>
  <c r="K511" i="38"/>
  <c r="K511" i="39"/>
  <c r="K512" i="38"/>
  <c r="K512" i="39"/>
  <c r="K499" i="38"/>
  <c r="K499" i="39"/>
  <c r="K498" i="38"/>
  <c r="K498" i="39"/>
  <c r="K503" i="38"/>
  <c r="K503" i="39"/>
  <c r="K528" i="38"/>
  <c r="K528" i="39"/>
  <c r="K497" i="38"/>
  <c r="K497" i="39"/>
  <c r="K506" i="38"/>
  <c r="K506" i="39"/>
  <c r="K525" i="38"/>
  <c r="K525" i="39"/>
  <c r="K527" i="38"/>
  <c r="K527" i="39"/>
  <c r="K504" i="38"/>
  <c r="K504" i="39"/>
  <c r="K500" i="38"/>
  <c r="K500" i="39"/>
  <c r="J530" i="38"/>
  <c r="J530" i="39"/>
  <c r="J507" i="38"/>
  <c r="J507" i="39"/>
  <c r="J522" i="38"/>
  <c r="J522" i="39"/>
  <c r="J517" i="38"/>
  <c r="J517" i="39"/>
  <c r="J510" i="38"/>
  <c r="J510" i="39"/>
  <c r="J499" i="38"/>
  <c r="J499" i="39"/>
  <c r="J524" i="38"/>
  <c r="J524" i="39"/>
  <c r="J515" i="38"/>
  <c r="J515" i="39"/>
  <c r="J513" i="38"/>
  <c r="J513" i="39"/>
  <c r="J509" i="38"/>
  <c r="J509" i="39"/>
  <c r="J498" i="38"/>
  <c r="J498" i="39"/>
  <c r="J518" i="38"/>
  <c r="J518" i="39"/>
  <c r="J508" i="38"/>
  <c r="J508" i="39"/>
  <c r="J528" i="38"/>
  <c r="J528" i="39"/>
  <c r="J519" i="38"/>
  <c r="J519" i="39"/>
  <c r="J502" i="38"/>
  <c r="J502" i="39"/>
  <c r="J526" i="38"/>
  <c r="J526" i="39"/>
  <c r="J503" i="38"/>
  <c r="J503" i="39"/>
  <c r="J497" i="38"/>
  <c r="J497" i="39"/>
  <c r="J520" i="38"/>
  <c r="J520" i="39"/>
  <c r="J525" i="38"/>
  <c r="J525" i="39"/>
  <c r="J527" i="38"/>
  <c r="J527" i="39"/>
  <c r="J521" i="38"/>
  <c r="J521" i="39"/>
  <c r="J529" i="38"/>
  <c r="J529" i="39"/>
  <c r="J501" i="38"/>
  <c r="J501" i="39"/>
  <c r="J516" i="38"/>
  <c r="J516" i="39"/>
  <c r="J511" i="38"/>
  <c r="J511" i="39"/>
  <c r="J504" i="38"/>
  <c r="J504" i="39"/>
  <c r="J506" i="38"/>
  <c r="J506" i="39"/>
  <c r="J512" i="38"/>
  <c r="J512" i="39"/>
  <c r="J531" i="38"/>
  <c r="J531" i="39"/>
  <c r="J500" i="38"/>
  <c r="J500" i="39"/>
  <c r="I502" i="38"/>
  <c r="I502" i="39"/>
  <c r="H520" i="38"/>
  <c r="H520" i="39"/>
  <c r="I526" i="38"/>
  <c r="I526" i="39"/>
  <c r="H499" i="38"/>
  <c r="H499" i="39"/>
  <c r="I519" i="38"/>
  <c r="I519" i="39"/>
  <c r="H509" i="38"/>
  <c r="H509" i="39"/>
  <c r="H497" i="38"/>
  <c r="H497" i="39"/>
  <c r="I497" i="38"/>
  <c r="I497" i="39"/>
  <c r="H504" i="38"/>
  <c r="H504" i="39"/>
  <c r="H512" i="38"/>
  <c r="H512" i="39"/>
  <c r="H530" i="38"/>
  <c r="H530" i="39"/>
  <c r="I518" i="38"/>
  <c r="I518" i="39"/>
  <c r="I522" i="38"/>
  <c r="I522" i="39"/>
  <c r="I510" i="38"/>
  <c r="I510" i="39"/>
  <c r="H519" i="38"/>
  <c r="H519" i="39"/>
  <c r="I516" i="38"/>
  <c r="I516" i="39"/>
  <c r="I498" i="38"/>
  <c r="I498" i="39"/>
  <c r="H527" i="38"/>
  <c r="H527" i="39"/>
  <c r="I521" i="38"/>
  <c r="I521" i="39"/>
  <c r="I530" i="38"/>
  <c r="I530" i="39"/>
  <c r="H515" i="38"/>
  <c r="H515" i="39"/>
  <c r="I509" i="38"/>
  <c r="I509" i="39"/>
  <c r="I499" i="38"/>
  <c r="I499" i="39"/>
  <c r="I508" i="38"/>
  <c r="I508" i="39"/>
  <c r="I500" i="38"/>
  <c r="I500" i="39"/>
  <c r="H529" i="38"/>
  <c r="H529" i="39"/>
  <c r="H506" i="38"/>
  <c r="H506" i="39"/>
  <c r="I513" i="38"/>
  <c r="I513" i="39"/>
  <c r="H498" i="38"/>
  <c r="H498" i="39"/>
  <c r="I515" i="38"/>
  <c r="I515" i="39"/>
  <c r="H524" i="38"/>
  <c r="H524" i="39"/>
  <c r="H517" i="38"/>
  <c r="H517" i="39"/>
  <c r="I506" i="38"/>
  <c r="I506" i="39"/>
  <c r="I525" i="38"/>
  <c r="I525" i="39"/>
  <c r="I507" i="38"/>
  <c r="I507" i="39"/>
  <c r="I520" i="38"/>
  <c r="I520" i="39"/>
  <c r="I503" i="38"/>
  <c r="I503" i="39"/>
  <c r="H522" i="38"/>
  <c r="H522" i="39"/>
  <c r="H513" i="38"/>
  <c r="H513" i="39"/>
  <c r="H528" i="38"/>
  <c r="H528" i="39"/>
  <c r="I531" i="38"/>
  <c r="I531" i="39"/>
  <c r="H510" i="38"/>
  <c r="H510" i="39"/>
  <c r="H508" i="38"/>
  <c r="H508" i="39"/>
  <c r="H503" i="38"/>
  <c r="H503" i="39"/>
  <c r="H501" i="38"/>
  <c r="H501" i="39"/>
  <c r="I501" i="38"/>
  <c r="I501" i="39"/>
  <c r="H500" i="38"/>
  <c r="H500" i="39"/>
  <c r="H502" i="38"/>
  <c r="H502" i="39"/>
  <c r="H507" i="38"/>
  <c r="H507" i="39"/>
  <c r="I511" i="38"/>
  <c r="I511" i="39"/>
  <c r="H518" i="38"/>
  <c r="H518" i="39"/>
  <c r="I512" i="38"/>
  <c r="I512" i="39"/>
  <c r="I527" i="38"/>
  <c r="I527" i="39"/>
  <c r="I517" i="38"/>
  <c r="I517" i="39"/>
  <c r="H511" i="38"/>
  <c r="H511" i="39"/>
  <c r="H531" i="38"/>
  <c r="H531" i="39"/>
  <c r="I529" i="38"/>
  <c r="I529" i="39"/>
  <c r="H525" i="38"/>
  <c r="H525" i="39"/>
  <c r="I504" i="38"/>
  <c r="I504" i="39"/>
  <c r="H521" i="38"/>
  <c r="H521" i="39"/>
  <c r="H526" i="38"/>
  <c r="H526" i="39"/>
  <c r="I528" i="38"/>
  <c r="I528" i="39"/>
  <c r="I524" i="38"/>
  <c r="I524" i="39"/>
  <c r="H516" i="38"/>
  <c r="H516" i="39"/>
  <c r="G518" i="38"/>
  <c r="G518" i="39"/>
  <c r="G517" i="38"/>
  <c r="G517" i="39"/>
  <c r="G524" i="38"/>
  <c r="G524" i="39"/>
  <c r="G528" i="38"/>
  <c r="G528" i="39"/>
  <c r="G519" i="38"/>
  <c r="G519" i="39"/>
  <c r="G531" i="38"/>
  <c r="G531" i="39"/>
  <c r="G520" i="38"/>
  <c r="G520" i="39"/>
  <c r="G502" i="38"/>
  <c r="G502" i="39"/>
  <c r="G522" i="38"/>
  <c r="G522" i="39"/>
  <c r="G501" i="38"/>
  <c r="G501" i="39"/>
  <c r="G504" i="38"/>
  <c r="G504" i="39"/>
  <c r="G497" i="38"/>
  <c r="G497" i="39"/>
  <c r="G529" i="38"/>
  <c r="G529" i="39"/>
  <c r="G521" i="38"/>
  <c r="G521" i="39"/>
  <c r="G530" i="38"/>
  <c r="G530" i="39"/>
  <c r="G515" i="38"/>
  <c r="G515" i="39"/>
  <c r="G503" i="38"/>
  <c r="G503" i="39"/>
  <c r="G516" i="38"/>
  <c r="G516" i="39"/>
  <c r="G498" i="38"/>
  <c r="G498" i="39"/>
  <c r="G526" i="38"/>
  <c r="G526" i="39"/>
  <c r="G527" i="38"/>
  <c r="G527" i="39"/>
  <c r="G525" i="38"/>
  <c r="G525" i="39"/>
  <c r="G499" i="38"/>
  <c r="G499" i="39"/>
  <c r="G500" i="38"/>
  <c r="G500" i="39"/>
  <c r="G511" i="38"/>
  <c r="G511" i="39"/>
  <c r="G508" i="38"/>
  <c r="G508" i="39"/>
  <c r="F520" i="38"/>
  <c r="F520" i="39"/>
  <c r="F519" i="38"/>
  <c r="F519" i="39"/>
  <c r="G513" i="38"/>
  <c r="G513" i="39"/>
  <c r="F517" i="38"/>
  <c r="F517" i="39"/>
  <c r="F518" i="38"/>
  <c r="F518" i="39"/>
  <c r="F515" i="38"/>
  <c r="F515" i="39"/>
  <c r="G506" i="38"/>
  <c r="G506" i="39"/>
  <c r="F522" i="38"/>
  <c r="F522" i="39"/>
  <c r="G512" i="38"/>
  <c r="G512" i="39"/>
  <c r="G507" i="38"/>
  <c r="G507" i="39"/>
  <c r="F521" i="38"/>
  <c r="F521" i="39"/>
  <c r="F516" i="38"/>
  <c r="F516" i="39"/>
  <c r="G509" i="38"/>
  <c r="G509" i="39"/>
  <c r="G510" i="38"/>
  <c r="G510" i="39"/>
  <c r="E507" i="38"/>
  <c r="E507" i="39"/>
  <c r="F503" i="38"/>
  <c r="F503" i="39"/>
  <c r="F531" i="38"/>
  <c r="F531" i="39"/>
  <c r="E509" i="38"/>
  <c r="E509" i="39"/>
  <c r="F528" i="38"/>
  <c r="F528" i="39"/>
  <c r="F504" i="38"/>
  <c r="F504" i="39"/>
  <c r="F510" i="38"/>
  <c r="F510" i="39"/>
  <c r="F512" i="38"/>
  <c r="F512" i="39"/>
  <c r="F507" i="38"/>
  <c r="F507" i="39"/>
  <c r="F524" i="38"/>
  <c r="F524" i="39"/>
  <c r="F497" i="38"/>
  <c r="F497" i="39"/>
  <c r="F499" i="38"/>
  <c r="F499" i="39"/>
  <c r="E512" i="38"/>
  <c r="E512" i="39"/>
  <c r="F513" i="38"/>
  <c r="F513" i="39"/>
  <c r="E513" i="38"/>
  <c r="E513" i="39"/>
  <c r="F526" i="38"/>
  <c r="F526" i="39"/>
  <c r="F498" i="38"/>
  <c r="F498" i="39"/>
  <c r="F508" i="38"/>
  <c r="F508" i="39"/>
  <c r="F501" i="38"/>
  <c r="F501" i="39"/>
  <c r="E511" i="38"/>
  <c r="E511" i="39"/>
  <c r="E510" i="38"/>
  <c r="E510" i="39"/>
  <c r="E506" i="38"/>
  <c r="E506" i="39"/>
  <c r="F530" i="38"/>
  <c r="F530" i="39"/>
  <c r="F527" i="38"/>
  <c r="F527" i="39"/>
  <c r="F529" i="38"/>
  <c r="F529" i="39"/>
  <c r="F506" i="38"/>
  <c r="F506" i="39"/>
  <c r="E508" i="38"/>
  <c r="E508" i="39"/>
  <c r="F502" i="38"/>
  <c r="F502" i="39"/>
  <c r="F509" i="38"/>
  <c r="F509" i="39"/>
  <c r="F511" i="38"/>
  <c r="F511" i="39"/>
  <c r="F525" i="38"/>
  <c r="F525" i="39"/>
  <c r="F500" i="38"/>
  <c r="F500" i="39"/>
  <c r="E501" i="38"/>
  <c r="E501" i="39"/>
  <c r="E504" i="38"/>
  <c r="E504" i="39"/>
  <c r="E529" i="38"/>
  <c r="E529" i="39"/>
  <c r="D507" i="38"/>
  <c r="D507" i="39"/>
  <c r="E522" i="38"/>
  <c r="E522" i="39"/>
  <c r="E528" i="38"/>
  <c r="E528" i="39"/>
  <c r="E526" i="38"/>
  <c r="E526" i="39"/>
  <c r="D511" i="38"/>
  <c r="D511" i="39"/>
  <c r="D524" i="38"/>
  <c r="D524" i="39"/>
  <c r="D508" i="38"/>
  <c r="D508" i="39"/>
  <c r="E530" i="38"/>
  <c r="E530" i="39"/>
  <c r="D526" i="38"/>
  <c r="D526" i="39"/>
  <c r="E525" i="38"/>
  <c r="E525" i="39"/>
  <c r="E498" i="38"/>
  <c r="E498" i="39"/>
  <c r="D509" i="38"/>
  <c r="D509" i="39"/>
  <c r="D512" i="38"/>
  <c r="D512" i="39"/>
  <c r="E520" i="38"/>
  <c r="E520" i="39"/>
  <c r="D513" i="38"/>
  <c r="D513" i="39"/>
  <c r="E521" i="38"/>
  <c r="E521" i="39"/>
  <c r="E519" i="38"/>
  <c r="E519" i="39"/>
  <c r="D506" i="38"/>
  <c r="D506" i="39"/>
  <c r="D531" i="38"/>
  <c r="D531" i="39"/>
  <c r="D527" i="38"/>
  <c r="D527" i="39"/>
  <c r="E516" i="38"/>
  <c r="E516" i="39"/>
  <c r="D529" i="38"/>
  <c r="D529" i="39"/>
  <c r="E518" i="38"/>
  <c r="E518" i="39"/>
  <c r="E517" i="38"/>
  <c r="E517" i="39"/>
  <c r="E499" i="38"/>
  <c r="E499" i="39"/>
  <c r="D525" i="38"/>
  <c r="D525" i="39"/>
  <c r="E527" i="38"/>
  <c r="E527" i="39"/>
  <c r="D530" i="38"/>
  <c r="D530" i="39"/>
  <c r="D528" i="38"/>
  <c r="D528" i="39"/>
  <c r="D510" i="38"/>
  <c r="D510" i="39"/>
  <c r="E524" i="38"/>
  <c r="E524" i="39"/>
  <c r="E531" i="38"/>
  <c r="E531" i="39"/>
  <c r="E497" i="38"/>
  <c r="E497" i="39"/>
  <c r="E515" i="38"/>
  <c r="E515" i="39"/>
  <c r="E503" i="38"/>
  <c r="E503" i="39"/>
  <c r="E500" i="38"/>
  <c r="E500" i="39"/>
  <c r="E502" i="38"/>
  <c r="E502" i="39"/>
  <c r="D504" i="38"/>
  <c r="D504" i="39"/>
  <c r="D503" i="38"/>
  <c r="D503" i="39"/>
  <c r="D521" i="38"/>
  <c r="D521" i="39"/>
  <c r="D519" i="38"/>
  <c r="D519" i="39"/>
  <c r="C521" i="38"/>
  <c r="C521" i="39"/>
  <c r="D498" i="38"/>
  <c r="D498" i="39"/>
  <c r="C518" i="38"/>
  <c r="C518" i="39"/>
  <c r="C516" i="38"/>
  <c r="C516" i="39"/>
  <c r="C522" i="38"/>
  <c r="C522" i="39"/>
  <c r="C515" i="38"/>
  <c r="C515" i="39"/>
  <c r="D500" i="38"/>
  <c r="D500" i="39"/>
  <c r="C519" i="38"/>
  <c r="C519" i="39"/>
  <c r="D497" i="38"/>
  <c r="D497" i="39"/>
  <c r="D518" i="38"/>
  <c r="D518" i="39"/>
  <c r="D516" i="38"/>
  <c r="D516" i="39"/>
  <c r="D522" i="38"/>
  <c r="D522" i="39"/>
  <c r="C517" i="38"/>
  <c r="C517" i="39"/>
  <c r="D515" i="38"/>
  <c r="D515" i="39"/>
  <c r="D517" i="38"/>
  <c r="D517" i="39"/>
  <c r="C520" i="38"/>
  <c r="C520" i="39"/>
  <c r="D520" i="38"/>
  <c r="D520" i="39"/>
  <c r="D501" i="38"/>
  <c r="D501" i="39"/>
  <c r="D502" i="38"/>
  <c r="D502" i="39"/>
  <c r="D499" i="38"/>
  <c r="D499" i="39"/>
  <c r="B224" i="38" a="1"/>
  <c r="B230" i="38"/>
  <c r="B230" i="39"/>
  <c r="B215" i="38" a="1"/>
  <c r="B221" i="38"/>
  <c r="B221" i="39"/>
  <c r="B206" i="38" a="1"/>
  <c r="B211" i="38"/>
  <c r="B211" i="39"/>
  <c r="B206" i="38"/>
  <c r="B206" i="39"/>
  <c r="B207" i="38"/>
  <c r="B207" i="39"/>
  <c r="B219" i="38"/>
  <c r="B219" i="39"/>
  <c r="B228" i="38"/>
  <c r="B228" i="39"/>
  <c r="B222" i="38"/>
  <c r="B222" i="39"/>
  <c r="B197" i="38" a="1"/>
  <c r="B201" i="38"/>
  <c r="B201" i="39"/>
  <c r="B218" i="38"/>
  <c r="B218" i="39"/>
  <c r="B216" i="38"/>
  <c r="B216" i="39"/>
  <c r="B204" i="38"/>
  <c r="B204" i="39"/>
  <c r="B224" i="38"/>
  <c r="B224" i="39"/>
  <c r="B212" i="38"/>
  <c r="B212" i="39"/>
  <c r="B225" i="38"/>
  <c r="B225" i="39"/>
  <c r="B209" i="38"/>
  <c r="B209" i="39"/>
  <c r="B227" i="38"/>
  <c r="B227" i="39"/>
  <c r="B231" i="38"/>
  <c r="B231" i="39"/>
  <c r="B210" i="38"/>
  <c r="B210" i="39"/>
  <c r="B197" i="38"/>
  <c r="B197" i="39"/>
  <c r="B203" i="38"/>
  <c r="B203" i="39"/>
  <c r="B202" i="38"/>
  <c r="B202" i="39"/>
  <c r="B220" i="38"/>
  <c r="B220" i="39"/>
  <c r="B213" i="38"/>
  <c r="B213" i="39"/>
  <c r="B226" i="38"/>
  <c r="B226" i="39"/>
  <c r="B198" i="38"/>
  <c r="B198" i="39"/>
  <c r="B208" i="38"/>
  <c r="B208" i="39"/>
  <c r="B215" i="38"/>
  <c r="B215" i="39"/>
  <c r="B199" i="38"/>
  <c r="B199" i="39"/>
  <c r="B200" i="38"/>
  <c r="B200" i="39"/>
  <c r="B229" i="38"/>
  <c r="B229" i="39"/>
  <c r="B217" i="38"/>
  <c r="B217" i="39"/>
  <c r="C226" i="38"/>
  <c r="C226" i="39"/>
  <c r="C228" i="38"/>
  <c r="C228" i="39"/>
  <c r="C224" i="38"/>
  <c r="C224" i="39"/>
  <c r="C229" i="38"/>
  <c r="C229" i="39"/>
  <c r="C231" i="38"/>
  <c r="C231" i="39"/>
  <c r="C225" i="38"/>
  <c r="C225" i="39"/>
  <c r="C227" i="38"/>
  <c r="C227" i="39"/>
  <c r="C230" i="38"/>
  <c r="C230" i="39"/>
  <c r="C203" i="38"/>
  <c r="C203" i="39"/>
  <c r="C200" i="38"/>
  <c r="C200" i="39"/>
  <c r="C213" i="38"/>
  <c r="C213" i="39"/>
  <c r="C209" i="38"/>
  <c r="C209" i="39"/>
  <c r="C199" i="38"/>
  <c r="C199" i="39"/>
  <c r="C202" i="38"/>
  <c r="C202" i="39"/>
  <c r="C212" i="38"/>
  <c r="C212" i="39"/>
  <c r="C197" i="38"/>
  <c r="C197" i="39"/>
  <c r="C206" i="38"/>
  <c r="C206" i="39"/>
  <c r="C204" i="38"/>
  <c r="C204" i="39"/>
  <c r="C210" i="38"/>
  <c r="C210" i="39"/>
  <c r="C207" i="38"/>
  <c r="C207" i="39"/>
  <c r="C201" i="38"/>
  <c r="C201" i="39"/>
  <c r="C211" i="38"/>
  <c r="C211" i="39"/>
  <c r="C208" i="38"/>
  <c r="C208" i="39"/>
  <c r="C198" i="38"/>
  <c r="C198" i="39"/>
  <c r="D198" i="38"/>
  <c r="D198" i="39"/>
  <c r="D200" i="38"/>
  <c r="D200" i="39"/>
  <c r="C216" i="38"/>
  <c r="C216" i="39"/>
  <c r="D219" i="38"/>
  <c r="D219" i="39"/>
  <c r="D216" i="38"/>
  <c r="D216" i="39"/>
  <c r="D220" i="38"/>
  <c r="D220" i="39"/>
  <c r="D197" i="38"/>
  <c r="D197" i="39"/>
  <c r="C219" i="38"/>
  <c r="C219" i="39"/>
  <c r="D218" i="38"/>
  <c r="D218" i="39"/>
  <c r="C217" i="38"/>
  <c r="C217" i="39"/>
  <c r="D217" i="38"/>
  <c r="D217" i="39"/>
  <c r="D215" i="38"/>
  <c r="D215" i="39"/>
  <c r="D199" i="38"/>
  <c r="D199" i="39"/>
  <c r="D203" i="38"/>
  <c r="D203" i="39"/>
  <c r="D201" i="38"/>
  <c r="D201" i="39"/>
  <c r="D202" i="38"/>
  <c r="D202" i="39"/>
  <c r="D221" i="38"/>
  <c r="D221" i="39"/>
  <c r="D222" i="38"/>
  <c r="D222" i="39"/>
  <c r="C220" i="38"/>
  <c r="C220" i="39"/>
  <c r="D204" i="38"/>
  <c r="D204" i="39"/>
  <c r="C218" i="38"/>
  <c r="C218" i="39"/>
  <c r="C215" i="38"/>
  <c r="C215" i="39"/>
  <c r="C222" i="38"/>
  <c r="C222" i="39"/>
  <c r="C221" i="38"/>
  <c r="C221" i="39"/>
  <c r="E222" i="38"/>
  <c r="E222" i="39"/>
  <c r="D209" i="38"/>
  <c r="D209" i="39"/>
  <c r="E202" i="38"/>
  <c r="E202" i="39"/>
  <c r="E231" i="38"/>
  <c r="E231" i="39"/>
  <c r="E226" i="38"/>
  <c r="E226" i="39"/>
  <c r="D229" i="38"/>
  <c r="D229" i="39"/>
  <c r="D228" i="38"/>
  <c r="D228" i="39"/>
  <c r="E217" i="38"/>
  <c r="E217" i="39"/>
  <c r="D207" i="38"/>
  <c r="D207" i="39"/>
  <c r="E198" i="38"/>
  <c r="E198" i="39"/>
  <c r="E229" i="38"/>
  <c r="E229" i="39"/>
  <c r="E224" i="38"/>
  <c r="E224" i="39"/>
  <c r="D230" i="38"/>
  <c r="D230" i="39"/>
  <c r="D227" i="38"/>
  <c r="D227" i="39"/>
  <c r="E218" i="38"/>
  <c r="E218" i="39"/>
  <c r="E204" i="38"/>
  <c r="E204" i="39"/>
  <c r="E227" i="38"/>
  <c r="E227" i="39"/>
  <c r="D231" i="38"/>
  <c r="D231" i="39"/>
  <c r="E215" i="38"/>
  <c r="E215" i="39"/>
  <c r="E220" i="38"/>
  <c r="E220" i="39"/>
  <c r="D210" i="38"/>
  <c r="D210" i="39"/>
  <c r="D224" i="38"/>
  <c r="D224" i="39"/>
  <c r="E221" i="38"/>
  <c r="E221" i="39"/>
  <c r="D213" i="38"/>
  <c r="D213" i="39"/>
  <c r="D208" i="38"/>
  <c r="D208" i="39"/>
  <c r="E200" i="38"/>
  <c r="E200" i="39"/>
  <c r="E203" i="38"/>
  <c r="E203" i="39"/>
  <c r="D206" i="38"/>
  <c r="D206" i="39"/>
  <c r="E228" i="38"/>
  <c r="E228" i="39"/>
  <c r="E219" i="38"/>
  <c r="E219" i="39"/>
  <c r="D212" i="38"/>
  <c r="D212" i="39"/>
  <c r="E197" i="38"/>
  <c r="E197" i="39"/>
  <c r="D225" i="38"/>
  <c r="D225" i="39"/>
  <c r="E216" i="38"/>
  <c r="E216" i="39"/>
  <c r="D211" i="38"/>
  <c r="D211" i="39"/>
  <c r="E201" i="38"/>
  <c r="E201" i="39"/>
  <c r="E199" i="38"/>
  <c r="E199" i="39"/>
  <c r="E230" i="38"/>
  <c r="E230" i="39"/>
  <c r="E225" i="38"/>
  <c r="E225" i="39"/>
  <c r="D226" i="38"/>
  <c r="D226" i="39"/>
  <c r="F212" i="38"/>
  <c r="F212" i="39"/>
  <c r="E213" i="38"/>
  <c r="E213" i="39"/>
  <c r="F228" i="38"/>
  <c r="F228" i="39"/>
  <c r="F227" i="38"/>
  <c r="F227" i="39"/>
  <c r="F199" i="38"/>
  <c r="F199" i="39"/>
  <c r="F209" i="38"/>
  <c r="F209" i="39"/>
  <c r="F206" i="38"/>
  <c r="F206" i="39"/>
  <c r="E209" i="38"/>
  <c r="E209" i="39"/>
  <c r="F213" i="38"/>
  <c r="F213" i="39"/>
  <c r="E212" i="38"/>
  <c r="E212" i="39"/>
  <c r="F204" i="38"/>
  <c r="F204" i="39"/>
  <c r="F210" i="38"/>
  <c r="F210" i="39"/>
  <c r="F225" i="38"/>
  <c r="F225" i="39"/>
  <c r="F201" i="38"/>
  <c r="F201" i="39"/>
  <c r="F207" i="38"/>
  <c r="F207" i="39"/>
  <c r="E208" i="38"/>
  <c r="E208" i="39"/>
  <c r="F230" i="38"/>
  <c r="F230" i="39"/>
  <c r="F208" i="38"/>
  <c r="F208" i="39"/>
  <c r="E207" i="38"/>
  <c r="E207" i="39"/>
  <c r="F211" i="38"/>
  <c r="F211" i="39"/>
  <c r="E206" i="38"/>
  <c r="E206" i="39"/>
  <c r="E211" i="38"/>
  <c r="E211" i="39"/>
  <c r="F229" i="38"/>
  <c r="F229" i="39"/>
  <c r="F224" i="38"/>
  <c r="F224" i="39"/>
  <c r="F200" i="38"/>
  <c r="F200" i="39"/>
  <c r="F198" i="38"/>
  <c r="F198" i="39"/>
  <c r="E210" i="38"/>
  <c r="E210" i="39"/>
  <c r="F231" i="38"/>
  <c r="F231" i="39"/>
  <c r="F226" i="38"/>
  <c r="F226" i="39"/>
  <c r="F203" i="38"/>
  <c r="F203" i="39"/>
  <c r="F202" i="38"/>
  <c r="F202" i="39"/>
  <c r="F197" i="38"/>
  <c r="F197" i="39"/>
  <c r="G213" i="38"/>
  <c r="G213" i="39"/>
  <c r="G212" i="38"/>
  <c r="G212" i="39"/>
  <c r="G206" i="38"/>
  <c r="G206" i="39"/>
  <c r="G208" i="38"/>
  <c r="G208" i="39"/>
  <c r="F219" i="38"/>
  <c r="F219" i="39"/>
  <c r="G207" i="38"/>
  <c r="G207" i="39"/>
  <c r="F217" i="38"/>
  <c r="F217" i="39"/>
  <c r="F220" i="38"/>
  <c r="F220" i="39"/>
  <c r="G209" i="38"/>
  <c r="G209" i="39"/>
  <c r="F215" i="38"/>
  <c r="F215" i="39"/>
  <c r="F222" i="38"/>
  <c r="F222" i="39"/>
  <c r="F218" i="38"/>
  <c r="F218" i="39"/>
  <c r="G210" i="38"/>
  <c r="G210" i="39"/>
  <c r="F221" i="38"/>
  <c r="F221" i="39"/>
  <c r="F216" i="38"/>
  <c r="F216" i="39"/>
  <c r="G211" i="38"/>
  <c r="G211" i="39"/>
  <c r="G226" i="38"/>
  <c r="G226" i="39"/>
  <c r="G203" i="38"/>
  <c r="G203" i="39"/>
  <c r="G204" i="38"/>
  <c r="G204" i="39"/>
  <c r="G200" i="38"/>
  <c r="G200" i="39"/>
  <c r="G222" i="38"/>
  <c r="G222" i="39"/>
  <c r="G228" i="38"/>
  <c r="G228" i="39"/>
  <c r="G199" i="38"/>
  <c r="G199" i="39"/>
  <c r="G220" i="38"/>
  <c r="G220" i="39"/>
  <c r="G216" i="38"/>
  <c r="G216" i="39"/>
  <c r="G225" i="38"/>
  <c r="G225" i="39"/>
  <c r="G202" i="38"/>
  <c r="G202" i="39"/>
  <c r="G215" i="38"/>
  <c r="G215" i="39"/>
  <c r="G218" i="38"/>
  <c r="G218" i="39"/>
  <c r="G217" i="38"/>
  <c r="G217" i="39"/>
  <c r="G229" i="38"/>
  <c r="G229" i="39"/>
  <c r="G230" i="38"/>
  <c r="G230" i="39"/>
  <c r="G231" i="38"/>
  <c r="G231" i="39"/>
  <c r="G201" i="38"/>
  <c r="G201" i="39"/>
  <c r="G221" i="38"/>
  <c r="G221" i="39"/>
  <c r="G197" i="38"/>
  <c r="G197" i="39"/>
  <c r="G219" i="38"/>
  <c r="G219" i="39"/>
  <c r="G227" i="38"/>
  <c r="G227" i="39"/>
  <c r="G224" i="38"/>
  <c r="G224" i="39"/>
  <c r="G198" i="38"/>
  <c r="G198" i="39"/>
  <c r="H228" i="38"/>
  <c r="H228" i="39"/>
  <c r="H213" i="38"/>
  <c r="H213" i="39"/>
  <c r="I203" i="38"/>
  <c r="I203" i="39"/>
  <c r="I202" i="38"/>
  <c r="I202" i="39"/>
  <c r="I213" i="38"/>
  <c r="I213" i="39"/>
  <c r="H202" i="38"/>
  <c r="H202" i="39"/>
  <c r="H216" i="38"/>
  <c r="H216" i="39"/>
  <c r="I222" i="38"/>
  <c r="I222" i="39"/>
  <c r="I216" i="38"/>
  <c r="I216" i="39"/>
  <c r="I231" i="38"/>
  <c r="I231" i="39"/>
  <c r="H206" i="38"/>
  <c r="H206" i="39"/>
  <c r="I204" i="38"/>
  <c r="I204" i="39"/>
  <c r="I209" i="38"/>
  <c r="I209" i="39"/>
  <c r="I207" i="38"/>
  <c r="I207" i="39"/>
  <c r="H203" i="38"/>
  <c r="H203" i="39"/>
  <c r="H198" i="38"/>
  <c r="H198" i="39"/>
  <c r="H220" i="38"/>
  <c r="H220" i="39"/>
  <c r="I220" i="38"/>
  <c r="I220" i="39"/>
  <c r="H224" i="38"/>
  <c r="H224" i="39"/>
  <c r="H230" i="38"/>
  <c r="H230" i="39"/>
  <c r="H215" i="38"/>
  <c r="H215" i="39"/>
  <c r="I218" i="38"/>
  <c r="I218" i="39"/>
  <c r="I229" i="38"/>
  <c r="I229" i="39"/>
  <c r="I230" i="38"/>
  <c r="I230" i="39"/>
  <c r="H209" i="38"/>
  <c r="H209" i="39"/>
  <c r="H208" i="38"/>
  <c r="H208" i="39"/>
  <c r="I199" i="38"/>
  <c r="I199" i="39"/>
  <c r="H231" i="38"/>
  <c r="H231" i="39"/>
  <c r="I201" i="38"/>
  <c r="I201" i="39"/>
  <c r="I212" i="38"/>
  <c r="I212" i="39"/>
  <c r="H200" i="38"/>
  <c r="H200" i="39"/>
  <c r="H222" i="38"/>
  <c r="H222" i="39"/>
  <c r="I219" i="38"/>
  <c r="I219" i="39"/>
  <c r="I221" i="38"/>
  <c r="I221" i="39"/>
  <c r="H227" i="38"/>
  <c r="H227" i="39"/>
  <c r="H211" i="38"/>
  <c r="H211" i="39"/>
  <c r="I197" i="38"/>
  <c r="I197" i="39"/>
  <c r="I206" i="38"/>
  <c r="I206" i="39"/>
  <c r="H197" i="38"/>
  <c r="H197" i="39"/>
  <c r="H199" i="38"/>
  <c r="H199" i="39"/>
  <c r="H217" i="38"/>
  <c r="H217" i="39"/>
  <c r="H219" i="38"/>
  <c r="H219" i="39"/>
  <c r="I224" i="38"/>
  <c r="I224" i="39"/>
  <c r="H225" i="38"/>
  <c r="H225" i="39"/>
  <c r="I198" i="38"/>
  <c r="I198" i="39"/>
  <c r="I211" i="38"/>
  <c r="I211" i="39"/>
  <c r="I227" i="38"/>
  <c r="I227" i="39"/>
  <c r="I228" i="38"/>
  <c r="I228" i="39"/>
  <c r="H212" i="38"/>
  <c r="H212" i="39"/>
  <c r="H229" i="38"/>
  <c r="H229" i="39"/>
  <c r="H210" i="38"/>
  <c r="H210" i="39"/>
  <c r="H207" i="38"/>
  <c r="H207" i="39"/>
  <c r="I210" i="38"/>
  <c r="I210" i="39"/>
  <c r="H204" i="38"/>
  <c r="H204" i="39"/>
  <c r="H201" i="38"/>
  <c r="H201" i="39"/>
  <c r="H221" i="38"/>
  <c r="H221" i="39"/>
  <c r="I217" i="38"/>
  <c r="I217" i="39"/>
  <c r="I215" i="38"/>
  <c r="I215" i="39"/>
  <c r="I225" i="38"/>
  <c r="I225" i="39"/>
  <c r="H226" i="38"/>
  <c r="H226" i="39"/>
  <c r="I200" i="38"/>
  <c r="I200" i="39"/>
  <c r="I208" i="38"/>
  <c r="I208" i="39"/>
  <c r="H218" i="38"/>
  <c r="H218" i="39"/>
  <c r="I226" i="38"/>
  <c r="I226" i="39"/>
  <c r="J215" i="38"/>
  <c r="J215" i="39"/>
  <c r="J200" i="38"/>
  <c r="J200" i="39"/>
  <c r="J226" i="38"/>
  <c r="J226" i="39"/>
  <c r="J206" i="38"/>
  <c r="J206" i="39"/>
  <c r="J210" i="38"/>
  <c r="J210" i="39"/>
  <c r="J227" i="38"/>
  <c r="J227" i="39"/>
  <c r="J212" i="38"/>
  <c r="J212" i="39"/>
  <c r="J219" i="38"/>
  <c r="J219" i="39"/>
  <c r="J218" i="38"/>
  <c r="J218" i="39"/>
  <c r="J201" i="38"/>
  <c r="J201" i="39"/>
  <c r="J204" i="38"/>
  <c r="J204" i="39"/>
  <c r="J230" i="38"/>
  <c r="J230" i="39"/>
  <c r="J213" i="38"/>
  <c r="J213" i="39"/>
  <c r="J216" i="38"/>
  <c r="J216" i="39"/>
  <c r="J217" i="38"/>
  <c r="J217" i="39"/>
  <c r="J198" i="38"/>
  <c r="J198" i="39"/>
  <c r="J224" i="38"/>
  <c r="J224" i="39"/>
  <c r="J211" i="38"/>
  <c r="J211" i="39"/>
  <c r="J208" i="38"/>
  <c r="J208" i="39"/>
  <c r="J220" i="38"/>
  <c r="J220" i="39"/>
  <c r="J199" i="38"/>
  <c r="J199" i="39"/>
  <c r="J229" i="38"/>
  <c r="J229" i="39"/>
  <c r="J225" i="38"/>
  <c r="J225" i="39"/>
  <c r="J209" i="38"/>
  <c r="J209" i="39"/>
  <c r="J221" i="38"/>
  <c r="J221" i="39"/>
  <c r="J203" i="38"/>
  <c r="J203" i="39"/>
  <c r="J231" i="38"/>
  <c r="J231" i="39"/>
  <c r="J228" i="38"/>
  <c r="J228" i="39"/>
  <c r="J207" i="38"/>
  <c r="J207" i="39"/>
  <c r="J222" i="38"/>
  <c r="J222" i="39"/>
  <c r="J197" i="38"/>
  <c r="J197" i="39"/>
  <c r="J202" i="38"/>
  <c r="J202" i="39"/>
  <c r="K229" i="38"/>
  <c r="K229" i="39"/>
  <c r="K207" i="38"/>
  <c r="K207" i="39"/>
  <c r="K202" i="38"/>
  <c r="K202" i="39"/>
  <c r="K199" i="38"/>
  <c r="K199" i="39"/>
  <c r="K212" i="38"/>
  <c r="K212" i="39"/>
  <c r="K230" i="38"/>
  <c r="K230" i="39"/>
  <c r="K209" i="38"/>
  <c r="K209" i="39"/>
  <c r="K225" i="38"/>
  <c r="K225" i="39"/>
  <c r="K228" i="38"/>
  <c r="K228" i="39"/>
  <c r="K204" i="38"/>
  <c r="K204" i="39"/>
  <c r="K206" i="38"/>
  <c r="K206" i="39"/>
  <c r="K210" i="38"/>
  <c r="K210" i="39"/>
  <c r="K201" i="38"/>
  <c r="K201" i="39"/>
  <c r="K200" i="38"/>
  <c r="K200" i="39"/>
  <c r="K197" i="38"/>
  <c r="K197" i="39"/>
  <c r="K203" i="38"/>
  <c r="K203" i="39"/>
  <c r="K226" i="38"/>
  <c r="K226" i="39"/>
  <c r="K227" i="38"/>
  <c r="K227" i="39"/>
  <c r="K208" i="38"/>
  <c r="K208" i="39"/>
  <c r="K224" i="38"/>
  <c r="K224" i="39"/>
  <c r="K198" i="38"/>
  <c r="K198" i="39"/>
  <c r="K213" i="38"/>
  <c r="K213" i="39"/>
  <c r="K211" i="38"/>
  <c r="K211" i="39"/>
  <c r="K231" i="38"/>
  <c r="K231" i="39"/>
  <c r="K222" i="38"/>
  <c r="K222" i="39"/>
  <c r="K217" i="38"/>
  <c r="K217" i="39"/>
  <c r="K216" i="38"/>
  <c r="K216" i="39"/>
  <c r="K221" i="38"/>
  <c r="K221" i="39"/>
  <c r="K218" i="38"/>
  <c r="K218" i="39"/>
  <c r="K215" i="38"/>
  <c r="K215" i="39"/>
  <c r="K219" i="38"/>
  <c r="K219" i="39"/>
  <c r="K220" i="38"/>
  <c r="K220" i="39"/>
  <c r="M14" i="29"/>
  <c r="G17" i="4"/>
  <c r="G17" i="33"/>
  <c r="L18" i="4"/>
  <c r="L18" i="33"/>
  <c r="E18" i="4"/>
  <c r="E18" i="33"/>
  <c r="L17" i="4"/>
  <c r="L17" i="33"/>
  <c r="K18" i="4"/>
  <c r="K18" i="33"/>
  <c r="J17" i="4"/>
  <c r="J17" i="33"/>
  <c r="E14" i="29"/>
  <c r="G14" i="29"/>
  <c r="E17" i="33"/>
  <c r="F17" i="4"/>
  <c r="F17" i="33"/>
  <c r="M18" i="4"/>
  <c r="M18" i="33"/>
  <c r="G18" i="4"/>
  <c r="G18" i="33"/>
  <c r="I17" i="4"/>
  <c r="I17" i="33"/>
  <c r="K17" i="4"/>
  <c r="K17" i="33"/>
  <c r="I18" i="4"/>
  <c r="I18" i="33"/>
  <c r="I14" i="29"/>
  <c r="D18" i="33"/>
  <c r="L14" i="29"/>
  <c r="F14" i="29"/>
  <c r="H17" i="4"/>
  <c r="H17" i="33"/>
  <c r="F18" i="4"/>
  <c r="F18" i="33"/>
  <c r="D17" i="33"/>
  <c r="K14" i="29"/>
  <c r="H18" i="4"/>
  <c r="H18" i="33"/>
  <c r="H14" i="29"/>
  <c r="J14" i="29"/>
  <c r="M17" i="4"/>
  <c r="M17" i="33"/>
  <c r="J18" i="4"/>
  <c r="J18" i="33"/>
  <c r="D19" i="33"/>
  <c r="E19" i="29" a="1"/>
  <c r="D21" i="29" a="1"/>
  <c r="E16" i="29" a="1"/>
  <c r="B605" i="8" a="1"/>
  <c r="B605" i="8"/>
  <c r="K605" i="8"/>
  <c r="K607" i="8"/>
  <c r="K611" i="8"/>
  <c r="K609" i="8"/>
  <c r="K606" i="8"/>
  <c r="K612" i="8"/>
  <c r="K608" i="8"/>
  <c r="K610" i="8"/>
  <c r="B612" i="8"/>
  <c r="B611" i="8"/>
  <c r="B610" i="8"/>
  <c r="B609" i="8"/>
  <c r="B608" i="8"/>
  <c r="B607" i="8"/>
  <c r="B606" i="8"/>
  <c r="J611" i="8"/>
  <c r="J607" i="8"/>
  <c r="J606" i="8"/>
  <c r="J609" i="8"/>
  <c r="J610" i="8"/>
  <c r="J608" i="8"/>
  <c r="J612" i="8"/>
  <c r="J605" i="8"/>
  <c r="I605" i="8"/>
  <c r="I611" i="8"/>
  <c r="I606" i="8"/>
  <c r="I607" i="8"/>
  <c r="I610" i="8"/>
  <c r="I609" i="8"/>
  <c r="I608" i="8"/>
  <c r="I612" i="8"/>
  <c r="H608" i="8"/>
  <c r="H609" i="8"/>
  <c r="H607" i="8"/>
  <c r="H611" i="8"/>
  <c r="H610" i="8"/>
  <c r="H606" i="8"/>
  <c r="H612" i="8"/>
  <c r="H605" i="8"/>
  <c r="G605" i="8"/>
  <c r="G607" i="8"/>
  <c r="G612" i="8"/>
  <c r="G611" i="8"/>
  <c r="G608" i="8"/>
  <c r="G606" i="8"/>
  <c r="G610" i="8"/>
  <c r="G609" i="8"/>
  <c r="F611" i="8"/>
  <c r="F607" i="8"/>
  <c r="F608" i="8"/>
  <c r="F610" i="8"/>
  <c r="F612" i="8"/>
  <c r="F609" i="8"/>
  <c r="F606" i="8"/>
  <c r="F605" i="8"/>
  <c r="E605" i="8"/>
  <c r="E606" i="8"/>
  <c r="E612" i="8"/>
  <c r="E610" i="8"/>
  <c r="E607" i="8"/>
  <c r="E611" i="8"/>
  <c r="E608" i="8"/>
  <c r="E609" i="8"/>
  <c r="C605" i="8"/>
  <c r="D605" i="8"/>
  <c r="D610" i="8"/>
  <c r="D611" i="8"/>
  <c r="D607" i="8"/>
  <c r="D608" i="8"/>
  <c r="D612" i="8"/>
  <c r="D609" i="8"/>
  <c r="D606" i="8"/>
  <c r="C610" i="8"/>
  <c r="C611" i="8"/>
  <c r="C608" i="8"/>
  <c r="C609" i="8"/>
  <c r="C612" i="8"/>
  <c r="C607" i="8"/>
  <c r="C606" i="8"/>
  <c r="D605" i="39"/>
  <c r="C605" i="39"/>
  <c r="E605" i="39"/>
  <c r="F605" i="39"/>
  <c r="G605" i="39"/>
  <c r="H605" i="39"/>
  <c r="I605" i="39"/>
  <c r="J605" i="39"/>
  <c r="K605" i="39"/>
  <c r="B608" i="39"/>
  <c r="B612" i="39"/>
  <c r="B611" i="39"/>
  <c r="B609" i="39"/>
  <c r="B606" i="39"/>
  <c r="B607" i="39"/>
  <c r="B610" i="39"/>
  <c r="B605" i="39"/>
  <c r="J608" i="39"/>
  <c r="C606" i="39"/>
  <c r="G607" i="39"/>
  <c r="D610" i="39"/>
  <c r="C609" i="39"/>
  <c r="C612" i="39"/>
  <c r="D607" i="39"/>
  <c r="D609" i="39"/>
  <c r="J607" i="39"/>
  <c r="C608" i="39"/>
  <c r="G608" i="39"/>
  <c r="D611" i="39"/>
  <c r="C610" i="39"/>
  <c r="C607" i="39"/>
  <c r="E610" i="39"/>
  <c r="E609" i="39"/>
  <c r="D612" i="39"/>
  <c r="E608" i="39"/>
  <c r="F608" i="39"/>
  <c r="E607" i="39"/>
  <c r="D606" i="39"/>
  <c r="C611" i="39"/>
  <c r="D608" i="39"/>
  <c r="F607" i="39"/>
  <c r="E606" i="39"/>
  <c r="E612" i="39"/>
  <c r="E611" i="39"/>
  <c r="F612" i="39"/>
  <c r="F609" i="39"/>
  <c r="F606" i="39"/>
  <c r="F611" i="39"/>
  <c r="F610" i="39"/>
  <c r="G611" i="39"/>
  <c r="G609" i="39"/>
  <c r="G612" i="39"/>
  <c r="G606" i="39"/>
  <c r="G610" i="39"/>
  <c r="H611" i="39"/>
  <c r="H612" i="39"/>
  <c r="H610" i="39"/>
  <c r="I611" i="39"/>
  <c r="I612" i="39"/>
  <c r="I607" i="39"/>
  <c r="I608" i="39"/>
  <c r="H609" i="39"/>
  <c r="I610" i="39"/>
  <c r="I606" i="39"/>
  <c r="H607" i="39"/>
  <c r="I609" i="39"/>
  <c r="H606" i="39"/>
  <c r="H608" i="39"/>
  <c r="J606" i="39"/>
  <c r="J610" i="39"/>
  <c r="J611" i="39"/>
  <c r="J609" i="39"/>
  <c r="J612" i="39"/>
  <c r="K609" i="39"/>
  <c r="K610" i="39"/>
  <c r="K607" i="39"/>
  <c r="K606" i="39"/>
  <c r="K612" i="39"/>
  <c r="K608" i="39"/>
  <c r="K611" i="39"/>
  <c r="D10" i="4" a="1"/>
  <c r="G10" i="4"/>
  <c r="D57" i="4"/>
  <c r="D59" i="4"/>
  <c r="E10" i="4"/>
  <c r="D33" i="4"/>
  <c r="D35" i="4"/>
  <c r="F10" i="4"/>
  <c r="D43" i="4"/>
  <c r="D45" i="4"/>
  <c r="D57" i="29"/>
  <c r="D59" i="29"/>
  <c r="D43" i="29"/>
  <c r="D45" i="29"/>
  <c r="D33" i="29"/>
  <c r="D35" i="29"/>
  <c r="D10" i="4"/>
  <c r="D60" i="29" a="1"/>
  <c r="D60" i="29"/>
  <c r="D46" i="29" a="1"/>
  <c r="D46" i="29"/>
  <c r="D36" i="29" a="1"/>
  <c r="D36" i="29"/>
  <c r="D20" i="33"/>
  <c r="D16" i="33"/>
  <c r="C22" i="29"/>
  <c r="C22" i="33"/>
  <c r="D15" i="33"/>
  <c r="J14" i="4"/>
  <c r="J14" i="33"/>
  <c r="H14" i="4"/>
  <c r="H14" i="33"/>
  <c r="K14" i="4"/>
  <c r="K14" i="33"/>
  <c r="F14" i="4"/>
  <c r="F14" i="33"/>
  <c r="L14" i="4"/>
  <c r="L14" i="33"/>
  <c r="I14" i="4"/>
  <c r="I14" i="33"/>
  <c r="D14" i="33"/>
  <c r="G14" i="4"/>
  <c r="G14" i="33"/>
  <c r="E14" i="4"/>
  <c r="E14" i="33"/>
  <c r="M14" i="4"/>
  <c r="M14" i="33"/>
  <c r="C45" i="4"/>
  <c r="C45" i="29"/>
  <c r="C45" i="33"/>
  <c r="C59" i="4"/>
  <c r="C59" i="29"/>
  <c r="C59" i="33"/>
  <c r="C35" i="4"/>
  <c r="C35" i="29"/>
  <c r="C35" i="33"/>
  <c r="E10" i="33"/>
  <c r="G10" i="33"/>
  <c r="D10" i="33"/>
  <c r="F10" i="33"/>
  <c r="D33" i="33"/>
  <c r="D57" i="33"/>
  <c r="D43" i="33"/>
  <c r="D59" i="33"/>
  <c r="D45" i="33"/>
  <c r="D35" i="33"/>
  <c r="B148" i="6"/>
  <c r="B148" i="34"/>
  <c r="B144" i="6"/>
  <c r="B144" i="34"/>
  <c r="B149" i="6"/>
  <c r="B149" i="34"/>
  <c r="B146" i="6"/>
  <c r="B146" i="34"/>
  <c r="B147" i="6"/>
  <c r="B147" i="34"/>
  <c r="B143" i="34"/>
  <c r="B145" i="6"/>
  <c r="B145" i="34"/>
  <c r="B150" i="6"/>
  <c r="B150" i="34"/>
  <c r="B171" i="6"/>
  <c r="B171" i="30"/>
  <c r="B171" i="34"/>
  <c r="C447" i="6" a="1"/>
  <c r="C447" i="6"/>
  <c r="D447" i="6"/>
  <c r="E447" i="6"/>
  <c r="F447" i="6"/>
  <c r="G447" i="6"/>
  <c r="H447" i="6"/>
  <c r="I447" i="6"/>
  <c r="J447" i="6"/>
  <c r="K447" i="6"/>
  <c r="L447" i="6"/>
  <c r="M447" i="6"/>
  <c r="B163" i="6" a="1"/>
  <c r="B164" i="6"/>
  <c r="B163" i="30" a="1"/>
  <c r="B164" i="30"/>
  <c r="B164" i="34"/>
  <c r="B170" i="6"/>
  <c r="B170" i="30"/>
  <c r="B170" i="34"/>
  <c r="B166" i="6"/>
  <c r="B166" i="30"/>
  <c r="B166" i="34"/>
  <c r="C447" i="30" a="1"/>
  <c r="C447" i="30"/>
  <c r="D447" i="30"/>
  <c r="E447" i="30"/>
  <c r="F447" i="30"/>
  <c r="G447" i="30"/>
  <c r="H447" i="30"/>
  <c r="I447" i="30"/>
  <c r="J447" i="30"/>
  <c r="K447" i="30"/>
  <c r="L447" i="30"/>
  <c r="M447" i="30"/>
  <c r="C163" i="6" a="1"/>
  <c r="L164" i="6"/>
  <c r="C163" i="30" a="1"/>
  <c r="L164" i="30"/>
  <c r="L164" i="34"/>
  <c r="G169" i="6"/>
  <c r="G169" i="30"/>
  <c r="G169" i="34"/>
  <c r="J169" i="6"/>
  <c r="J169" i="30"/>
  <c r="J169" i="34"/>
  <c r="D163" i="6"/>
  <c r="D163" i="30"/>
  <c r="D163" i="34"/>
  <c r="J166" i="6"/>
  <c r="J166" i="30"/>
  <c r="J166" i="34"/>
  <c r="E166" i="6"/>
  <c r="E166" i="30"/>
  <c r="E166" i="34"/>
  <c r="J163" i="6"/>
  <c r="J163" i="30"/>
  <c r="J163" i="34"/>
  <c r="F169" i="6"/>
  <c r="F169" i="30"/>
  <c r="F169" i="34"/>
  <c r="I168" i="6"/>
  <c r="I168" i="30"/>
  <c r="I168" i="34"/>
  <c r="F168" i="6"/>
  <c r="F168" i="30"/>
  <c r="F168" i="34"/>
  <c r="H165" i="6"/>
  <c r="H165" i="30"/>
  <c r="H165" i="34"/>
  <c r="C169" i="6"/>
  <c r="C169" i="30"/>
  <c r="C169" i="34"/>
  <c r="K165" i="6"/>
  <c r="K165" i="30"/>
  <c r="K165" i="34"/>
  <c r="G164" i="6"/>
  <c r="G164" i="30"/>
  <c r="G164" i="34"/>
  <c r="D167" i="6"/>
  <c r="D167" i="30"/>
  <c r="D167" i="34"/>
  <c r="D164" i="6"/>
  <c r="D164" i="30"/>
  <c r="D164" i="34"/>
  <c r="H167" i="6"/>
  <c r="H167" i="30"/>
  <c r="H167" i="34"/>
  <c r="J167" i="6"/>
  <c r="J167" i="30"/>
  <c r="J167" i="34"/>
  <c r="E168" i="6"/>
  <c r="E168" i="30"/>
  <c r="E168" i="34"/>
  <c r="G166" i="6"/>
  <c r="G166" i="30"/>
  <c r="G166" i="34"/>
  <c r="E167" i="6"/>
  <c r="E167" i="30"/>
  <c r="E167" i="34"/>
  <c r="K168" i="6"/>
  <c r="K168" i="30"/>
  <c r="K168" i="34"/>
  <c r="I167" i="6"/>
  <c r="I167" i="30"/>
  <c r="I167" i="34"/>
  <c r="H170" i="6"/>
  <c r="H170" i="30"/>
  <c r="H170" i="34"/>
  <c r="I165" i="6"/>
  <c r="I165" i="30"/>
  <c r="I165" i="34"/>
  <c r="E164" i="6"/>
  <c r="E164" i="30"/>
  <c r="E164" i="34"/>
  <c r="I163" i="6"/>
  <c r="I163" i="30"/>
  <c r="I163" i="34"/>
  <c r="L165" i="6"/>
  <c r="L165" i="30"/>
  <c r="L165" i="34"/>
  <c r="G167" i="6"/>
  <c r="G167" i="30"/>
  <c r="G167" i="34"/>
  <c r="G165" i="6"/>
  <c r="G165" i="30"/>
  <c r="G165" i="34"/>
  <c r="E163" i="6"/>
  <c r="E163" i="30"/>
  <c r="E163" i="34"/>
  <c r="J164" i="6"/>
  <c r="J164" i="30"/>
  <c r="J164" i="34"/>
  <c r="L169" i="6"/>
  <c r="L169" i="30"/>
  <c r="L169" i="34"/>
  <c r="J168" i="6"/>
  <c r="J168" i="30"/>
  <c r="J168" i="34"/>
  <c r="D166" i="6"/>
  <c r="D166" i="30"/>
  <c r="D166" i="34"/>
  <c r="C166" i="6"/>
  <c r="C166" i="30"/>
  <c r="C166" i="34"/>
  <c r="L166" i="6"/>
  <c r="L166" i="30"/>
  <c r="L166" i="34"/>
  <c r="J165" i="6"/>
  <c r="J165" i="30"/>
  <c r="J165" i="34"/>
  <c r="E170" i="6"/>
  <c r="E170" i="30"/>
  <c r="E170" i="34"/>
  <c r="C164" i="6"/>
  <c r="C164" i="30"/>
  <c r="C164" i="34"/>
  <c r="L168" i="6"/>
  <c r="L168" i="30"/>
  <c r="L168" i="34"/>
  <c r="I166" i="6"/>
  <c r="I166" i="30"/>
  <c r="I166" i="34"/>
  <c r="C167" i="6"/>
  <c r="C167" i="30"/>
  <c r="C167" i="34"/>
  <c r="F166" i="6"/>
  <c r="F166" i="30"/>
  <c r="F166" i="34"/>
  <c r="C163" i="6"/>
  <c r="C163" i="30"/>
  <c r="C163" i="34"/>
  <c r="K169" i="6"/>
  <c r="K169" i="30"/>
  <c r="K169" i="34"/>
  <c r="D168" i="6"/>
  <c r="D168" i="30"/>
  <c r="D168" i="34"/>
  <c r="F163" i="6"/>
  <c r="F163" i="30"/>
  <c r="F163" i="34"/>
  <c r="K166" i="6"/>
  <c r="K166" i="30"/>
  <c r="K166" i="34"/>
  <c r="H166" i="6"/>
  <c r="H166" i="30"/>
  <c r="H166" i="34"/>
  <c r="L163" i="6"/>
  <c r="L163" i="30"/>
  <c r="L163" i="34"/>
  <c r="D165" i="6"/>
  <c r="D165" i="30"/>
  <c r="D165" i="34"/>
  <c r="F164" i="6"/>
  <c r="F164" i="30"/>
  <c r="F164" i="34"/>
  <c r="I169" i="6"/>
  <c r="I169" i="30"/>
  <c r="I169" i="34"/>
  <c r="G168" i="6"/>
  <c r="G168" i="30"/>
  <c r="G168" i="34"/>
  <c r="D169" i="6"/>
  <c r="D169" i="30"/>
  <c r="D169" i="34"/>
  <c r="F167" i="6"/>
  <c r="F167" i="30"/>
  <c r="F167" i="34"/>
  <c r="B168" i="6"/>
  <c r="B168" i="30"/>
  <c r="B168" i="34"/>
  <c r="B169" i="6"/>
  <c r="B169" i="30"/>
  <c r="B169" i="34"/>
  <c r="B163" i="6"/>
  <c r="B163" i="30"/>
  <c r="B163" i="34"/>
  <c r="C171" i="6" a="1"/>
  <c r="H171" i="6"/>
  <c r="C171" i="30" a="1"/>
  <c r="H171" i="30"/>
  <c r="H171" i="34"/>
  <c r="K171" i="6"/>
  <c r="K171" i="30"/>
  <c r="K171" i="34"/>
  <c r="L171" i="6"/>
  <c r="L171" i="30"/>
  <c r="L171" i="34"/>
  <c r="C171" i="6"/>
  <c r="C171" i="30"/>
  <c r="C171" i="34"/>
  <c r="B165" i="6"/>
  <c r="B165" i="30"/>
  <c r="B165" i="34"/>
  <c r="B167" i="6"/>
  <c r="B167" i="30"/>
  <c r="B167" i="34"/>
  <c r="F171" i="6"/>
  <c r="F171" i="30"/>
  <c r="F171" i="34"/>
  <c r="J171" i="6"/>
  <c r="J171" i="30"/>
  <c r="J171" i="34"/>
  <c r="C168" i="6"/>
  <c r="C168" i="30"/>
  <c r="C168" i="34"/>
  <c r="K163" i="6"/>
  <c r="K163" i="30"/>
  <c r="K163" i="34"/>
  <c r="E169" i="6"/>
  <c r="E169" i="30"/>
  <c r="E169" i="34"/>
  <c r="D170" i="6"/>
  <c r="D170" i="30"/>
  <c r="D170" i="34"/>
  <c r="H169" i="6"/>
  <c r="H169" i="30"/>
  <c r="H169" i="34"/>
  <c r="H163" i="6"/>
  <c r="H163" i="30"/>
  <c r="H163" i="34"/>
  <c r="H164" i="6"/>
  <c r="H164" i="30"/>
  <c r="H164" i="34"/>
  <c r="K167" i="6"/>
  <c r="K167" i="30"/>
  <c r="K167" i="34"/>
  <c r="D171" i="6"/>
  <c r="D171" i="30"/>
  <c r="D171" i="34"/>
  <c r="I170" i="6"/>
  <c r="I170" i="30"/>
  <c r="I170" i="34"/>
  <c r="C447" i="34"/>
  <c r="D447" i="34"/>
  <c r="E447" i="34"/>
  <c r="F447" i="34"/>
  <c r="G447" i="34"/>
  <c r="H447" i="34"/>
  <c r="I447" i="34"/>
  <c r="J447" i="34"/>
  <c r="K447" i="34"/>
  <c r="L447" i="34"/>
  <c r="M447" i="34"/>
  <c r="J170" i="6"/>
  <c r="J170" i="30"/>
  <c r="J170" i="34"/>
  <c r="G171" i="6"/>
  <c r="G171" i="30"/>
  <c r="G171" i="34"/>
  <c r="C165" i="6"/>
  <c r="C165" i="30"/>
  <c r="C165" i="34"/>
  <c r="G170" i="6"/>
  <c r="G170" i="30"/>
  <c r="G170" i="34"/>
  <c r="L167" i="6"/>
  <c r="L167" i="30"/>
  <c r="L167" i="34"/>
  <c r="F170" i="6"/>
  <c r="F170" i="30"/>
  <c r="F170" i="34"/>
  <c r="I171" i="6"/>
  <c r="I171" i="30"/>
  <c r="I171" i="34"/>
  <c r="L170" i="6"/>
  <c r="L170" i="30"/>
  <c r="L170" i="34"/>
  <c r="K164" i="6"/>
  <c r="K164" i="30"/>
  <c r="K164" i="34"/>
  <c r="G163" i="6"/>
  <c r="G163" i="30"/>
  <c r="G163" i="34"/>
  <c r="H168" i="6"/>
  <c r="H168" i="30"/>
  <c r="H168" i="34"/>
  <c r="C170" i="6"/>
  <c r="C170" i="30"/>
  <c r="C170" i="34"/>
  <c r="I164" i="6"/>
  <c r="I164" i="30"/>
  <c r="I164" i="34"/>
  <c r="F165" i="6"/>
  <c r="F165" i="30"/>
  <c r="F165" i="34"/>
  <c r="E165" i="6"/>
  <c r="E165" i="30"/>
  <c r="E165" i="34"/>
  <c r="E171" i="6"/>
  <c r="E171" i="30"/>
  <c r="E171" i="34"/>
  <c r="K170" i="6"/>
  <c r="K170" i="30"/>
  <c r="K170" i="34"/>
  <c r="B132" i="7" a="1"/>
  <c r="C134" i="7"/>
  <c r="B132" i="35" a="1"/>
  <c r="C134" i="35"/>
  <c r="C134" i="37"/>
  <c r="B133" i="7"/>
  <c r="B133" i="35"/>
  <c r="B133" i="37"/>
  <c r="E139" i="7"/>
  <c r="E139" i="35"/>
  <c r="E139" i="37"/>
  <c r="H135" i="7"/>
  <c r="H135" i="35"/>
  <c r="H135" i="37"/>
  <c r="I134" i="7"/>
  <c r="I134" i="35"/>
  <c r="I134" i="37"/>
  <c r="E136" i="7"/>
  <c r="E136" i="35"/>
  <c r="E136" i="37"/>
  <c r="E132" i="7"/>
  <c r="E132" i="35"/>
  <c r="E132" i="37"/>
  <c r="J133" i="7"/>
  <c r="J133" i="35"/>
  <c r="J133" i="37"/>
  <c r="I139" i="7"/>
  <c r="I139" i="35"/>
  <c r="I139" i="37"/>
  <c r="D136" i="7"/>
  <c r="D136" i="35"/>
  <c r="D136" i="37"/>
  <c r="C138" i="7"/>
  <c r="C138" i="35"/>
  <c r="C138" i="37"/>
  <c r="K132" i="7"/>
  <c r="K132" i="35"/>
  <c r="K132" i="37"/>
  <c r="B134" i="7"/>
  <c r="B134" i="35"/>
  <c r="B134" i="37"/>
  <c r="G136" i="7"/>
  <c r="G136" i="35"/>
  <c r="G136" i="37"/>
  <c r="E137" i="7"/>
  <c r="E137" i="35"/>
  <c r="E137" i="37"/>
  <c r="D133" i="7"/>
  <c r="D133" i="35"/>
  <c r="D133" i="37"/>
  <c r="H137" i="7"/>
  <c r="H137" i="35"/>
  <c r="H137" i="37"/>
  <c r="G138" i="7"/>
  <c r="G138" i="35"/>
  <c r="G138" i="37"/>
  <c r="D139" i="7"/>
  <c r="D139" i="35"/>
  <c r="D139" i="37"/>
  <c r="K134" i="7"/>
  <c r="K134" i="35"/>
  <c r="K134" i="37"/>
  <c r="G132" i="7"/>
  <c r="G132" i="35"/>
  <c r="G132" i="37"/>
  <c r="J139" i="7"/>
  <c r="J139" i="35"/>
  <c r="J139" i="37"/>
  <c r="K133" i="7"/>
  <c r="K133" i="35"/>
  <c r="K133" i="37"/>
  <c r="I137" i="7"/>
  <c r="I137" i="35"/>
  <c r="I137" i="37"/>
  <c r="G133" i="7"/>
  <c r="G133" i="35"/>
  <c r="G133" i="37"/>
  <c r="J138" i="7"/>
  <c r="J138" i="35"/>
  <c r="J138" i="37"/>
  <c r="J137" i="7"/>
  <c r="J137" i="35"/>
  <c r="J137" i="37"/>
  <c r="E134" i="7"/>
  <c r="E134" i="35"/>
  <c r="E134" i="37"/>
  <c r="I132" i="7"/>
  <c r="I132" i="35"/>
  <c r="I132" i="37"/>
  <c r="E135" i="7"/>
  <c r="E135" i="35"/>
  <c r="E135" i="37"/>
  <c r="D138" i="7"/>
  <c r="D138" i="35"/>
  <c r="D138" i="37"/>
  <c r="J132" i="7"/>
  <c r="J132" i="35"/>
  <c r="J132" i="37"/>
  <c r="H132" i="7"/>
  <c r="H132" i="35"/>
  <c r="H132" i="37"/>
  <c r="H136" i="7"/>
  <c r="H136" i="35"/>
  <c r="H136" i="37"/>
  <c r="K139" i="7"/>
  <c r="K139" i="35"/>
  <c r="K139" i="37"/>
  <c r="B137" i="7"/>
  <c r="B137" i="35"/>
  <c r="B137" i="37"/>
  <c r="C136" i="7"/>
  <c r="C136" i="35"/>
  <c r="C136" i="37"/>
  <c r="E138" i="7"/>
  <c r="E138" i="35"/>
  <c r="E138" i="37"/>
  <c r="G137" i="7"/>
  <c r="G137" i="35"/>
  <c r="G137" i="37"/>
  <c r="D134" i="7"/>
  <c r="D134" i="35"/>
  <c r="D134" i="37"/>
  <c r="H133" i="7"/>
  <c r="H133" i="35"/>
  <c r="H133" i="37"/>
  <c r="F136" i="7"/>
  <c r="F136" i="35"/>
  <c r="F136" i="37"/>
  <c r="K136" i="7"/>
  <c r="K136" i="35"/>
  <c r="K136" i="37"/>
  <c r="F138" i="7"/>
  <c r="F138" i="35"/>
  <c r="F138" i="37"/>
  <c r="D135" i="7"/>
  <c r="D135" i="35"/>
  <c r="D135" i="37"/>
  <c r="G139" i="7"/>
  <c r="G139" i="35"/>
  <c r="G139" i="37"/>
  <c r="B138" i="7"/>
  <c r="B138" i="35"/>
  <c r="B138" i="37"/>
  <c r="D137" i="7"/>
  <c r="D137" i="35"/>
  <c r="D137" i="37"/>
  <c r="F135" i="7"/>
  <c r="F135" i="35"/>
  <c r="F135" i="37"/>
  <c r="B136" i="7"/>
  <c r="B136" i="35"/>
  <c r="B136" i="37"/>
  <c r="C133" i="7"/>
  <c r="C133" i="35"/>
  <c r="C133" i="37"/>
  <c r="G135" i="7"/>
  <c r="G135" i="35"/>
  <c r="G135" i="37"/>
  <c r="C132" i="7"/>
  <c r="C132" i="35"/>
  <c r="C132" i="37"/>
  <c r="K137" i="7"/>
  <c r="K137" i="35"/>
  <c r="K137" i="37"/>
  <c r="C135" i="7"/>
  <c r="C135" i="35"/>
  <c r="C135" i="37"/>
  <c r="J135" i="7"/>
  <c r="J135" i="35"/>
  <c r="J135" i="37"/>
  <c r="K135" i="7"/>
  <c r="K135" i="35"/>
  <c r="K135" i="37"/>
  <c r="C137" i="7"/>
  <c r="C137" i="35"/>
  <c r="C137" i="37"/>
  <c r="C139" i="7"/>
  <c r="C139" i="35"/>
  <c r="C139" i="37"/>
  <c r="G134" i="7"/>
  <c r="G134" i="35"/>
  <c r="G134" i="37"/>
  <c r="H139" i="7"/>
  <c r="H139" i="35"/>
  <c r="H139" i="37"/>
  <c r="F132" i="7"/>
  <c r="F132" i="35"/>
  <c r="F132" i="37"/>
  <c r="K138" i="7"/>
  <c r="K138" i="35"/>
  <c r="K138" i="37"/>
  <c r="F137" i="7"/>
  <c r="F137" i="35"/>
  <c r="F137" i="37"/>
  <c r="H134" i="7"/>
  <c r="H134" i="35"/>
  <c r="H134" i="37"/>
  <c r="J136" i="7"/>
  <c r="J136" i="35"/>
  <c r="J136" i="37"/>
  <c r="E133" i="7"/>
  <c r="E133" i="35"/>
  <c r="E133" i="37"/>
  <c r="B135" i="7"/>
  <c r="B135" i="35"/>
  <c r="B135" i="37"/>
  <c r="I136" i="7"/>
  <c r="I136" i="35"/>
  <c r="I136" i="37"/>
  <c r="I135" i="7"/>
  <c r="I135" i="35"/>
  <c r="I135" i="37"/>
  <c r="I133" i="7"/>
  <c r="I133" i="35"/>
  <c r="I133" i="37"/>
  <c r="B139" i="7"/>
  <c r="B139" i="35"/>
  <c r="B139" i="37"/>
  <c r="D132" i="7"/>
  <c r="D132" i="35"/>
  <c r="D132" i="37"/>
  <c r="J134" i="7"/>
  <c r="J134" i="35"/>
  <c r="J134" i="37"/>
  <c r="F134" i="7"/>
  <c r="F134" i="35"/>
  <c r="F134" i="37"/>
  <c r="H138" i="7"/>
  <c r="H138" i="35"/>
  <c r="H138" i="37"/>
  <c r="I138" i="7"/>
  <c r="I138" i="35"/>
  <c r="I138" i="37"/>
  <c r="F139" i="7"/>
  <c r="F139" i="35"/>
  <c r="F139" i="37"/>
  <c r="F133" i="7"/>
  <c r="F133" i="35"/>
  <c r="F133" i="37"/>
  <c r="B132" i="7"/>
  <c r="B132" i="35"/>
  <c r="B132" i="37"/>
  <c r="D48" i="29" a="1"/>
  <c r="D48" i="29"/>
  <c r="D49" i="29" a="1"/>
  <c r="D49" i="29"/>
  <c r="D61" i="29" a="1"/>
  <c r="D61" i="29"/>
  <c r="D60" i="4" a="1"/>
  <c r="D60" i="4"/>
  <c r="D60" i="33"/>
  <c r="D46" i="4" a="1"/>
  <c r="D46" i="4"/>
  <c r="D46" i="33"/>
  <c r="D36" i="4" a="1"/>
  <c r="D36" i="4"/>
  <c r="D36" i="33"/>
  <c r="D37" i="4" a="1"/>
  <c r="D37" i="4"/>
  <c r="D37" i="29" a="1"/>
  <c r="D37" i="29"/>
  <c r="D37" i="33"/>
  <c r="D48" i="4" a="1"/>
  <c r="D48" i="4"/>
  <c r="D48" i="33"/>
  <c r="D61" i="4" a="1"/>
  <c r="D61" i="4"/>
  <c r="D61" i="33"/>
  <c r="D47" i="4" a="1"/>
  <c r="D47" i="4"/>
  <c r="D47" i="29" a="1"/>
  <c r="D47" i="29"/>
  <c r="D47" i="33"/>
  <c r="D49" i="4" a="1"/>
  <c r="D49" i="4"/>
  <c r="D49" i="33"/>
  <c r="E19" i="4" a="1"/>
  <c r="E19" i="33"/>
  <c r="B141" i="35" a="1"/>
  <c r="C141" i="35"/>
  <c r="D145" i="35"/>
  <c r="I143" i="35"/>
  <c r="I146" i="35"/>
  <c r="G142" i="35"/>
  <c r="K146" i="35"/>
  <c r="K148" i="35"/>
  <c r="E145" i="35"/>
  <c r="J147" i="35"/>
  <c r="G147" i="35"/>
  <c r="C146" i="35"/>
  <c r="C148" i="35"/>
  <c r="I141" i="35"/>
  <c r="D146" i="35"/>
  <c r="J142" i="35"/>
  <c r="E142" i="35"/>
  <c r="H142" i="35"/>
  <c r="G145" i="35"/>
  <c r="B147" i="35"/>
  <c r="C145" i="35"/>
  <c r="G143" i="35"/>
  <c r="I148" i="35"/>
  <c r="F144" i="35"/>
  <c r="J145" i="35"/>
  <c r="F141" i="35"/>
  <c r="K147" i="35"/>
  <c r="C144" i="35"/>
  <c r="H144" i="35"/>
  <c r="H143" i="35"/>
  <c r="D144" i="35"/>
  <c r="I147" i="35"/>
  <c r="B144" i="35"/>
  <c r="G144" i="35"/>
  <c r="E143" i="35"/>
  <c r="J148" i="35"/>
  <c r="D142" i="35"/>
  <c r="G146" i="35"/>
  <c r="E147" i="35"/>
  <c r="B145" i="35"/>
  <c r="K145" i="35"/>
  <c r="H141" i="35"/>
  <c r="F143" i="35"/>
  <c r="D148" i="35"/>
  <c r="D143" i="35"/>
  <c r="H145" i="35"/>
  <c r="H146" i="35"/>
  <c r="H147" i="35"/>
  <c r="J146" i="35"/>
  <c r="C142" i="35"/>
  <c r="B143" i="35"/>
  <c r="D141" i="35"/>
  <c r="F146" i="35"/>
  <c r="J144" i="35"/>
  <c r="K143" i="35"/>
  <c r="C143" i="35"/>
  <c r="K142" i="35"/>
  <c r="B148" i="35"/>
  <c r="E144" i="35"/>
  <c r="K144" i="35"/>
  <c r="I144" i="35"/>
  <c r="E148" i="35"/>
  <c r="G148" i="35"/>
  <c r="F147" i="35"/>
  <c r="E146" i="35"/>
  <c r="B141" i="35"/>
  <c r="K141" i="35"/>
  <c r="F148" i="35"/>
  <c r="E141" i="35"/>
  <c r="J143" i="35"/>
  <c r="I145" i="35"/>
  <c r="F142" i="35"/>
  <c r="J141" i="35"/>
  <c r="B146" i="35"/>
  <c r="C147" i="35"/>
  <c r="F145" i="35"/>
  <c r="G141" i="35"/>
  <c r="B142" i="35"/>
  <c r="H148" i="35"/>
  <c r="I142" i="35"/>
  <c r="D147" i="35"/>
  <c r="B141" i="7" a="1"/>
  <c r="H146" i="7"/>
  <c r="H146" i="37"/>
  <c r="G142" i="7"/>
  <c r="G142" i="37"/>
  <c r="H147" i="7"/>
  <c r="H147" i="37"/>
  <c r="F142" i="7"/>
  <c r="F142" i="37"/>
  <c r="G143" i="7"/>
  <c r="G143" i="37"/>
  <c r="H144" i="7"/>
  <c r="H144" i="37"/>
  <c r="D148" i="7"/>
  <c r="D148" i="37"/>
  <c r="F141" i="7"/>
  <c r="F141" i="37"/>
  <c r="I144" i="7"/>
  <c r="I144" i="37"/>
  <c r="B142" i="7"/>
  <c r="B142" i="37"/>
  <c r="K144" i="7"/>
  <c r="K144" i="37"/>
  <c r="K146" i="7"/>
  <c r="K146" i="37"/>
  <c r="D147" i="7"/>
  <c r="D147" i="37"/>
  <c r="E147" i="7"/>
  <c r="E147" i="37"/>
  <c r="F146" i="7"/>
  <c r="F146" i="37"/>
  <c r="J147" i="7"/>
  <c r="J147" i="37"/>
  <c r="C145" i="7"/>
  <c r="C145" i="37"/>
  <c r="H145" i="7"/>
  <c r="H145" i="37"/>
  <c r="I148" i="7"/>
  <c r="I148" i="37"/>
  <c r="B146" i="7"/>
  <c r="B146" i="37"/>
  <c r="B150" i="35" a="1"/>
  <c r="J150" i="35"/>
  <c r="J151" i="35"/>
  <c r="J152" i="35"/>
  <c r="J153" i="35"/>
  <c r="J154" i="35"/>
  <c r="J155" i="35"/>
  <c r="J156" i="35"/>
  <c r="J157" i="35"/>
  <c r="J158" i="35"/>
  <c r="K141" i="7"/>
  <c r="K141" i="37"/>
  <c r="J142" i="7"/>
  <c r="J142" i="37"/>
  <c r="H143" i="7"/>
  <c r="H143" i="37"/>
  <c r="I146" i="7"/>
  <c r="I146" i="37"/>
  <c r="F147" i="7"/>
  <c r="F147" i="37"/>
  <c r="D141" i="7"/>
  <c r="D141" i="37"/>
  <c r="I147" i="7"/>
  <c r="I147" i="37"/>
  <c r="D143" i="7"/>
  <c r="D143" i="37"/>
  <c r="B144" i="7"/>
  <c r="B144" i="37"/>
  <c r="F143" i="7"/>
  <c r="F143" i="37"/>
  <c r="K150" i="35"/>
  <c r="K151" i="35"/>
  <c r="K152" i="35"/>
  <c r="K153" i="35"/>
  <c r="K154" i="35"/>
  <c r="K155" i="35"/>
  <c r="K156" i="35"/>
  <c r="K157" i="35"/>
  <c r="K158" i="35"/>
  <c r="D144" i="7"/>
  <c r="D144" i="37"/>
  <c r="C141" i="7"/>
  <c r="C141" i="37"/>
  <c r="C146" i="7"/>
  <c r="C146" i="37"/>
  <c r="E145" i="7"/>
  <c r="E145" i="37"/>
  <c r="J146" i="7"/>
  <c r="J146" i="37"/>
  <c r="J141" i="7"/>
  <c r="J141" i="37"/>
  <c r="G144" i="7"/>
  <c r="G144" i="37"/>
  <c r="H148" i="7"/>
  <c r="H148" i="37"/>
  <c r="C147" i="7"/>
  <c r="C147" i="37"/>
  <c r="E148" i="7"/>
  <c r="E148" i="37"/>
  <c r="D150" i="35"/>
  <c r="D151" i="35"/>
  <c r="D152" i="35"/>
  <c r="D153" i="35"/>
  <c r="D154" i="35"/>
  <c r="D155" i="35"/>
  <c r="D156" i="35"/>
  <c r="D157" i="35"/>
  <c r="D158" i="35"/>
  <c r="B141" i="7"/>
  <c r="B141" i="37"/>
  <c r="G146" i="7"/>
  <c r="G146" i="37"/>
  <c r="E146" i="7"/>
  <c r="E146" i="37"/>
  <c r="B145" i="7"/>
  <c r="B145" i="37"/>
  <c r="F145" i="7"/>
  <c r="F145" i="37"/>
  <c r="F148" i="7"/>
  <c r="F148" i="37"/>
  <c r="J143" i="7"/>
  <c r="J143" i="37"/>
  <c r="J145" i="7"/>
  <c r="J145" i="37"/>
  <c r="D145" i="7"/>
  <c r="D145" i="37"/>
  <c r="C144" i="7"/>
  <c r="C144" i="37"/>
  <c r="G150" i="35"/>
  <c r="G151" i="35"/>
  <c r="G152" i="35"/>
  <c r="G153" i="35"/>
  <c r="G154" i="35"/>
  <c r="G155" i="35"/>
  <c r="G156" i="35"/>
  <c r="G157" i="35"/>
  <c r="G158" i="35"/>
  <c r="E150" i="35"/>
  <c r="E151" i="35"/>
  <c r="E152" i="35"/>
  <c r="E153" i="35"/>
  <c r="E154" i="35"/>
  <c r="E155" i="35"/>
  <c r="E156" i="35"/>
  <c r="E157" i="35"/>
  <c r="E158" i="35"/>
  <c r="B147" i="7"/>
  <c r="B147" i="37"/>
  <c r="K145" i="7"/>
  <c r="K145" i="37"/>
  <c r="C143" i="7"/>
  <c r="C143" i="37"/>
  <c r="C142" i="7"/>
  <c r="C142" i="37"/>
  <c r="I142" i="7"/>
  <c r="I142" i="37"/>
  <c r="F144" i="7"/>
  <c r="F144" i="37"/>
  <c r="G148" i="7"/>
  <c r="G148" i="37"/>
  <c r="J144" i="7"/>
  <c r="J144" i="37"/>
  <c r="E144" i="7"/>
  <c r="E144" i="37"/>
  <c r="H141" i="7"/>
  <c r="H141" i="37"/>
  <c r="B150" i="35"/>
  <c r="B151" i="35"/>
  <c r="B152" i="35"/>
  <c r="B153" i="35"/>
  <c r="B154" i="35"/>
  <c r="B155" i="35"/>
  <c r="B156" i="35"/>
  <c r="B157" i="35"/>
  <c r="B158" i="35"/>
  <c r="E143" i="7"/>
  <c r="E143" i="37"/>
  <c r="K147" i="7"/>
  <c r="K147" i="37"/>
  <c r="I143" i="7"/>
  <c r="I143" i="37"/>
  <c r="G141" i="7"/>
  <c r="G141" i="37"/>
  <c r="K148" i="7"/>
  <c r="K148" i="37"/>
  <c r="J148" i="7"/>
  <c r="J148" i="37"/>
  <c r="K143" i="7"/>
  <c r="K143" i="37"/>
  <c r="G145" i="7"/>
  <c r="G145" i="37"/>
  <c r="H142" i="7"/>
  <c r="H142" i="37"/>
  <c r="I145" i="7"/>
  <c r="I145" i="37"/>
  <c r="H150" i="35"/>
  <c r="H151" i="35"/>
  <c r="H152" i="35"/>
  <c r="H153" i="35"/>
  <c r="H154" i="35"/>
  <c r="H155" i="35"/>
  <c r="H156" i="35"/>
  <c r="H157" i="35"/>
  <c r="H158" i="35"/>
  <c r="F150" i="35"/>
  <c r="F151" i="35"/>
  <c r="F152" i="35"/>
  <c r="F153" i="35"/>
  <c r="F154" i="35"/>
  <c r="F155" i="35"/>
  <c r="F156" i="35"/>
  <c r="F157" i="35"/>
  <c r="F158" i="35"/>
  <c r="C150" i="35"/>
  <c r="C151" i="35"/>
  <c r="C152" i="35"/>
  <c r="C153" i="35"/>
  <c r="C154" i="35"/>
  <c r="C155" i="35"/>
  <c r="C156" i="35"/>
  <c r="C157" i="35"/>
  <c r="C158" i="35"/>
  <c r="I151" i="35"/>
  <c r="I154" i="35"/>
  <c r="I153" i="35"/>
  <c r="I156" i="35"/>
  <c r="I157" i="35"/>
  <c r="I150" i="35"/>
  <c r="I155" i="35"/>
  <c r="I152" i="35"/>
  <c r="I158" i="35"/>
  <c r="C148" i="7"/>
  <c r="C148" i="37"/>
  <c r="D146" i="7"/>
  <c r="D146" i="37"/>
  <c r="D142" i="7"/>
  <c r="D142" i="37"/>
  <c r="I141" i="7"/>
  <c r="I141" i="37"/>
  <c r="B148" i="7"/>
  <c r="B148" i="37"/>
  <c r="B143" i="7"/>
  <c r="B143" i="37"/>
  <c r="E142" i="7"/>
  <c r="E142" i="37"/>
  <c r="K142" i="7"/>
  <c r="K142" i="37"/>
  <c r="G147" i="7"/>
  <c r="G147" i="37"/>
  <c r="E141" i="7"/>
  <c r="E141" i="37"/>
  <c r="B150" i="7" a="1"/>
  <c r="H150" i="7"/>
  <c r="H151" i="7"/>
  <c r="H152" i="7"/>
  <c r="H153" i="7"/>
  <c r="H154" i="7"/>
  <c r="H155" i="7"/>
  <c r="H156" i="7"/>
  <c r="H157" i="7"/>
  <c r="H158" i="7"/>
  <c r="H158" i="37"/>
  <c r="H150" i="37"/>
  <c r="I150" i="7"/>
  <c r="I151" i="7"/>
  <c r="I152" i="7"/>
  <c r="I153" i="7"/>
  <c r="I154" i="7"/>
  <c r="I155" i="7"/>
  <c r="I156" i="7"/>
  <c r="I157" i="7"/>
  <c r="I158" i="7"/>
  <c r="I158" i="37"/>
  <c r="I150" i="37"/>
  <c r="K150" i="7"/>
  <c r="K150" i="37"/>
  <c r="K151" i="7"/>
  <c r="K152" i="7"/>
  <c r="K153" i="7"/>
  <c r="K154" i="7"/>
  <c r="K155" i="7"/>
  <c r="K156" i="7"/>
  <c r="K157" i="7"/>
  <c r="K158" i="7"/>
  <c r="K158" i="37"/>
  <c r="D150" i="7"/>
  <c r="D151" i="7"/>
  <c r="D152" i="7"/>
  <c r="D153" i="7"/>
  <c r="D154" i="7"/>
  <c r="D155" i="7"/>
  <c r="D156" i="7"/>
  <c r="D157" i="7"/>
  <c r="D158" i="7"/>
  <c r="D158" i="37"/>
  <c r="D150" i="37"/>
  <c r="B150" i="7"/>
  <c r="B151" i="7"/>
  <c r="B152" i="7"/>
  <c r="B153" i="7"/>
  <c r="B154" i="7"/>
  <c r="B155" i="7"/>
  <c r="B156" i="7"/>
  <c r="B157" i="7"/>
  <c r="B158" i="7"/>
  <c r="B158" i="37"/>
  <c r="B150" i="37"/>
  <c r="C150" i="7"/>
  <c r="C151" i="7"/>
  <c r="C152" i="7"/>
  <c r="C153" i="7"/>
  <c r="C154" i="7"/>
  <c r="C155" i="7"/>
  <c r="C156" i="7"/>
  <c r="C157" i="7"/>
  <c r="C158" i="7"/>
  <c r="C158" i="37"/>
  <c r="C150" i="37"/>
  <c r="G150" i="7"/>
  <c r="G151" i="7"/>
  <c r="G152" i="7"/>
  <c r="G153" i="7"/>
  <c r="G154" i="7"/>
  <c r="G155" i="7"/>
  <c r="G156" i="7"/>
  <c r="G157" i="7"/>
  <c r="G158" i="7"/>
  <c r="G158" i="37"/>
  <c r="G150" i="37"/>
  <c r="E150" i="7"/>
  <c r="E151" i="7"/>
  <c r="E152" i="7"/>
  <c r="E153" i="7"/>
  <c r="E154" i="7"/>
  <c r="E155" i="7"/>
  <c r="E156" i="7"/>
  <c r="E157" i="7"/>
  <c r="E158" i="7"/>
  <c r="E158" i="37"/>
  <c r="E150" i="37"/>
  <c r="F150" i="7"/>
  <c r="F151" i="7"/>
  <c r="F152" i="7"/>
  <c r="F153" i="7"/>
  <c r="F154" i="7"/>
  <c r="F155" i="7"/>
  <c r="F156" i="7"/>
  <c r="F157" i="7"/>
  <c r="F158" i="7"/>
  <c r="F158" i="37"/>
  <c r="F150" i="37"/>
  <c r="J150" i="7"/>
  <c r="J151" i="7"/>
  <c r="J152" i="7"/>
  <c r="J153" i="7"/>
  <c r="J154" i="7"/>
  <c r="J155" i="7"/>
  <c r="J156" i="7"/>
  <c r="J157" i="7"/>
  <c r="J158" i="7"/>
  <c r="J158" i="37"/>
  <c r="J150" i="37"/>
  <c r="G156" i="37"/>
  <c r="K151" i="37"/>
  <c r="E151" i="37"/>
  <c r="B152" i="37"/>
  <c r="B157" i="37"/>
  <c r="D151" i="37"/>
  <c r="D155" i="37"/>
  <c r="C157" i="37"/>
  <c r="I154" i="37"/>
  <c r="H151" i="37"/>
  <c r="G154" i="37"/>
  <c r="K152" i="37"/>
  <c r="J157" i="37"/>
  <c r="K157" i="37"/>
  <c r="I152" i="37"/>
  <c r="K156" i="37"/>
  <c r="E152" i="37"/>
  <c r="E153" i="37"/>
  <c r="J153" i="37"/>
  <c r="G157" i="37"/>
  <c r="F153" i="37"/>
  <c r="I151" i="37"/>
  <c r="C151" i="37"/>
  <c r="C152" i="37"/>
  <c r="K154" i="37"/>
  <c r="B156" i="37"/>
  <c r="C153" i="37"/>
  <c r="D154" i="37"/>
  <c r="J154" i="37"/>
  <c r="J152" i="37"/>
  <c r="F157" i="37"/>
  <c r="F154" i="37"/>
  <c r="B154" i="37"/>
  <c r="E155" i="37"/>
  <c r="G155" i="37"/>
  <c r="E157" i="37"/>
  <c r="C156" i="37"/>
  <c r="H157" i="37"/>
  <c r="G153" i="37"/>
  <c r="J155" i="37"/>
  <c r="E154" i="37"/>
  <c r="C155" i="37"/>
  <c r="D153" i="37"/>
  <c r="F152" i="37"/>
  <c r="B153" i="37"/>
  <c r="D152" i="37"/>
  <c r="I156" i="37"/>
  <c r="F156" i="37"/>
  <c r="I155" i="37"/>
  <c r="H152" i="37"/>
  <c r="J151" i="37"/>
  <c r="B155" i="37"/>
  <c r="I157" i="37"/>
  <c r="H154" i="37"/>
  <c r="C154" i="37"/>
  <c r="J156" i="37"/>
  <c r="F155" i="37"/>
  <c r="E156" i="37"/>
  <c r="D156" i="37"/>
  <c r="K155" i="37"/>
  <c r="K153" i="37"/>
  <c r="B151" i="37"/>
  <c r="I153" i="37"/>
  <c r="D157" i="37"/>
  <c r="H153" i="37"/>
  <c r="G152" i="37"/>
  <c r="F151" i="37"/>
  <c r="H156" i="37"/>
  <c r="G151" i="37"/>
  <c r="H155" i="37"/>
  <c r="D23" i="29" a="1"/>
  <c r="B160" i="7" a="1"/>
  <c r="G163" i="7"/>
  <c r="B160" i="35" a="1"/>
  <c r="G163" i="35"/>
  <c r="G163" i="37"/>
  <c r="D166" i="7"/>
  <c r="D166" i="35"/>
  <c r="D166" i="37"/>
  <c r="E164" i="7"/>
  <c r="E164" i="35"/>
  <c r="E164" i="37"/>
  <c r="I160" i="7"/>
  <c r="I161" i="7"/>
  <c r="I162" i="7"/>
  <c r="I163" i="7"/>
  <c r="I164" i="7"/>
  <c r="I165" i="7"/>
  <c r="I166" i="7"/>
  <c r="I167" i="7"/>
  <c r="I160" i="35"/>
  <c r="I161" i="35"/>
  <c r="I162" i="35"/>
  <c r="I163" i="35"/>
  <c r="I164" i="35"/>
  <c r="I165" i="35"/>
  <c r="I166" i="35"/>
  <c r="I167" i="35"/>
  <c r="I168" i="35"/>
  <c r="I168" i="7"/>
  <c r="I168" i="37"/>
  <c r="I160" i="37"/>
  <c r="J163" i="7"/>
  <c r="J163" i="35"/>
  <c r="J163" i="37"/>
  <c r="I163" i="37"/>
  <c r="G165" i="7"/>
  <c r="G165" i="35"/>
  <c r="G165" i="37"/>
  <c r="D164" i="7"/>
  <c r="D164" i="35"/>
  <c r="D164" i="37"/>
  <c r="B166" i="7"/>
  <c r="B166" i="35"/>
  <c r="B166" i="37"/>
  <c r="B165" i="7"/>
  <c r="B165" i="35"/>
  <c r="B165" i="37"/>
  <c r="H165" i="7"/>
  <c r="H165" i="35"/>
  <c r="H165" i="37"/>
  <c r="D167" i="7"/>
  <c r="D167" i="35"/>
  <c r="D167" i="37"/>
  <c r="H164" i="7"/>
  <c r="H164" i="35"/>
  <c r="H164" i="37"/>
  <c r="F164" i="7"/>
  <c r="F164" i="35"/>
  <c r="F164" i="37"/>
  <c r="I162" i="37"/>
  <c r="F167" i="7"/>
  <c r="F167" i="35"/>
  <c r="F167" i="37"/>
  <c r="I161" i="37"/>
  <c r="F165" i="7"/>
  <c r="F165" i="35"/>
  <c r="F165" i="37"/>
  <c r="F166" i="7"/>
  <c r="F166" i="35"/>
  <c r="F166" i="37"/>
  <c r="K164" i="7"/>
  <c r="K164" i="35"/>
  <c r="K164" i="37"/>
  <c r="K166" i="7"/>
  <c r="K166" i="35"/>
  <c r="K166" i="37"/>
  <c r="D163" i="7"/>
  <c r="D163" i="35"/>
  <c r="D163" i="37"/>
  <c r="C162" i="7"/>
  <c r="C162" i="35"/>
  <c r="C162" i="37"/>
  <c r="D165" i="7"/>
  <c r="D165" i="35"/>
  <c r="D165" i="37"/>
  <c r="F162" i="7"/>
  <c r="F162" i="35"/>
  <c r="F162" i="37"/>
  <c r="C160" i="7"/>
  <c r="C160" i="35"/>
  <c r="C160" i="37"/>
  <c r="C161" i="7"/>
  <c r="C163" i="7"/>
  <c r="C164" i="7"/>
  <c r="C165" i="7"/>
  <c r="C166" i="7"/>
  <c r="C167" i="7"/>
  <c r="C161" i="35"/>
  <c r="C163" i="35"/>
  <c r="C164" i="35"/>
  <c r="C165" i="35"/>
  <c r="C166" i="35"/>
  <c r="C167" i="35"/>
  <c r="C168" i="35"/>
  <c r="C168" i="7"/>
  <c r="C168" i="37"/>
  <c r="C164" i="37"/>
  <c r="J161" i="7"/>
  <c r="J161" i="35"/>
  <c r="J161" i="37"/>
  <c r="E165" i="7"/>
  <c r="E165" i="35"/>
  <c r="E165" i="37"/>
  <c r="J162" i="7"/>
  <c r="J162" i="35"/>
  <c r="J162" i="37"/>
  <c r="J165" i="7"/>
  <c r="J165" i="35"/>
  <c r="J165" i="37"/>
  <c r="H163" i="7"/>
  <c r="H163" i="35"/>
  <c r="H163" i="37"/>
  <c r="G167" i="7"/>
  <c r="G167" i="35"/>
  <c r="G167" i="37"/>
  <c r="E163" i="7"/>
  <c r="E163" i="35"/>
  <c r="E163" i="37"/>
  <c r="D162" i="7"/>
  <c r="D162" i="35"/>
  <c r="D162" i="37"/>
  <c r="B161" i="7"/>
  <c r="B161" i="35"/>
  <c r="B161" i="37"/>
  <c r="B164" i="7"/>
  <c r="B164" i="35"/>
  <c r="B164" i="37"/>
  <c r="C163" i="37"/>
  <c r="K167" i="7"/>
  <c r="K167" i="35"/>
  <c r="K167" i="37"/>
  <c r="H162" i="7"/>
  <c r="H162" i="35"/>
  <c r="H162" i="37"/>
  <c r="C166" i="37"/>
  <c r="G164" i="7"/>
  <c r="G164" i="35"/>
  <c r="G164" i="37"/>
  <c r="I167" i="37"/>
  <c r="J160" i="7"/>
  <c r="J164" i="7"/>
  <c r="J166" i="7"/>
  <c r="J167" i="7"/>
  <c r="J160" i="35"/>
  <c r="J164" i="35"/>
  <c r="J166" i="35"/>
  <c r="J167" i="35"/>
  <c r="J168" i="35"/>
  <c r="J168" i="7"/>
  <c r="J168" i="37"/>
  <c r="J160" i="37"/>
  <c r="I165" i="37"/>
  <c r="K160" i="7"/>
  <c r="K160" i="35"/>
  <c r="K160" i="37"/>
  <c r="K161" i="7"/>
  <c r="K162" i="7"/>
  <c r="K163" i="7"/>
  <c r="K165" i="7"/>
  <c r="K161" i="35"/>
  <c r="K162" i="35"/>
  <c r="K163" i="35"/>
  <c r="K165" i="35"/>
  <c r="K168" i="35"/>
  <c r="K168" i="7"/>
  <c r="K168" i="37"/>
  <c r="F161" i="7"/>
  <c r="F161" i="35"/>
  <c r="F161" i="37"/>
  <c r="D160" i="7"/>
  <c r="D161" i="7"/>
  <c r="D160" i="35"/>
  <c r="D161" i="35"/>
  <c r="D168" i="35"/>
  <c r="D168" i="7"/>
  <c r="D168" i="37"/>
  <c r="D160" i="37"/>
  <c r="G161" i="7"/>
  <c r="G161" i="35"/>
  <c r="G161" i="37"/>
  <c r="D161" i="37"/>
  <c r="J167" i="37"/>
  <c r="G162" i="7"/>
  <c r="G162" i="35"/>
  <c r="G162" i="37"/>
  <c r="I166" i="37"/>
  <c r="C161" i="37"/>
  <c r="B167" i="7"/>
  <c r="B167" i="35"/>
  <c r="B167" i="37"/>
  <c r="C167" i="37"/>
  <c r="G160" i="7"/>
  <c r="G160" i="35"/>
  <c r="G160" i="37"/>
  <c r="G166" i="7"/>
  <c r="G166" i="35"/>
  <c r="G168" i="35"/>
  <c r="G168" i="7"/>
  <c r="G168" i="37"/>
  <c r="E162" i="7"/>
  <c r="E162" i="35"/>
  <c r="E162" i="37"/>
  <c r="K161" i="37"/>
  <c r="E161" i="7"/>
  <c r="E161" i="35"/>
  <c r="E161" i="37"/>
  <c r="K162" i="37"/>
  <c r="F163" i="7"/>
  <c r="F163" i="35"/>
  <c r="F163" i="37"/>
  <c r="H161" i="7"/>
  <c r="H161" i="35"/>
  <c r="H161" i="37"/>
  <c r="E167" i="7"/>
  <c r="E167" i="35"/>
  <c r="E167" i="37"/>
  <c r="J166" i="37"/>
  <c r="J164" i="37"/>
  <c r="E166" i="7"/>
  <c r="E166" i="35"/>
  <c r="E166" i="37"/>
  <c r="F160" i="7"/>
  <c r="F160" i="35"/>
  <c r="F160" i="37"/>
  <c r="F168" i="35"/>
  <c r="F168" i="7"/>
  <c r="F168" i="37"/>
  <c r="B162" i="7"/>
  <c r="B162" i="35"/>
  <c r="B162" i="37"/>
  <c r="I164" i="37"/>
  <c r="K165" i="37"/>
  <c r="E160" i="7"/>
  <c r="E160" i="35"/>
  <c r="E168" i="35"/>
  <c r="E168" i="7"/>
  <c r="E168" i="37"/>
  <c r="E160" i="37"/>
  <c r="K163" i="37"/>
  <c r="H160" i="7"/>
  <c r="H166" i="7"/>
  <c r="H167" i="7"/>
  <c r="H160" i="35"/>
  <c r="H166" i="35"/>
  <c r="H167" i="35"/>
  <c r="H168" i="35"/>
  <c r="H168" i="7"/>
  <c r="H168" i="37"/>
  <c r="H160" i="37"/>
  <c r="G166" i="37"/>
  <c r="H167" i="37"/>
  <c r="H166" i="37"/>
  <c r="B163" i="7"/>
  <c r="B163" i="35"/>
  <c r="B163" i="37"/>
  <c r="C165" i="37"/>
  <c r="B160" i="7"/>
  <c r="B160" i="35"/>
  <c r="B160" i="37"/>
  <c r="B168" i="35"/>
  <c r="B168" i="7"/>
  <c r="B168" i="37"/>
  <c r="D25" i="29" a="1"/>
  <c r="D26" i="29" a="1"/>
  <c r="E20" i="29" a="1"/>
  <c r="D50" i="4" a="1"/>
  <c r="E33" i="4" a="1"/>
  <c r="E33" i="4"/>
  <c r="E33" i="29" a="1"/>
  <c r="E33" i="29"/>
  <c r="E43" i="4" a="1"/>
  <c r="E43" i="4"/>
  <c r="D51" i="4" a="1"/>
  <c r="E43" i="29" a="1"/>
  <c r="E43" i="29"/>
  <c r="E57" i="4" a="1"/>
  <c r="E57" i="4"/>
  <c r="E57" i="29" a="1"/>
  <c r="E57" i="29"/>
  <c r="E16" i="4" a="1"/>
  <c r="D50" i="4"/>
  <c r="D50" i="29" a="1"/>
  <c r="D50" i="29"/>
  <c r="D50" i="33"/>
  <c r="D51" i="4"/>
  <c r="D51" i="29" a="1"/>
  <c r="D51" i="29"/>
  <c r="D51" i="33"/>
  <c r="E43" i="33"/>
  <c r="E33" i="33"/>
  <c r="E57" i="33"/>
  <c r="B641" i="8" a="1"/>
  <c r="K644" i="8"/>
  <c r="B641" i="38" a="1"/>
  <c r="K644" i="38"/>
  <c r="K644" i="39"/>
  <c r="K647" i="8"/>
  <c r="K647" i="38"/>
  <c r="K647" i="39"/>
  <c r="K645" i="8"/>
  <c r="K645" i="38"/>
  <c r="K645" i="39"/>
  <c r="K643" i="8"/>
  <c r="K643" i="38"/>
  <c r="K643" i="39"/>
  <c r="K642" i="8"/>
  <c r="K642" i="38"/>
  <c r="K642" i="39"/>
  <c r="K646" i="8"/>
  <c r="K646" i="38"/>
  <c r="K646" i="39"/>
  <c r="K648" i="8"/>
  <c r="K648" i="38"/>
  <c r="K648" i="39"/>
  <c r="J643" i="8"/>
  <c r="J643" i="38"/>
  <c r="J643" i="39"/>
  <c r="J644" i="8"/>
  <c r="J644" i="38"/>
  <c r="J644" i="39"/>
  <c r="J642" i="8"/>
  <c r="J642" i="38"/>
  <c r="J642" i="39"/>
  <c r="J645" i="8"/>
  <c r="J645" i="38"/>
  <c r="J645" i="39"/>
  <c r="J647" i="8"/>
  <c r="J647" i="38"/>
  <c r="J647" i="39"/>
  <c r="J646" i="8"/>
  <c r="J646" i="38"/>
  <c r="J646" i="39"/>
  <c r="J648" i="8"/>
  <c r="J648" i="38"/>
  <c r="J648" i="39"/>
  <c r="I648" i="8"/>
  <c r="I648" i="38"/>
  <c r="I648" i="39"/>
  <c r="H646" i="8"/>
  <c r="H646" i="38"/>
  <c r="H646" i="39"/>
  <c r="I644" i="8"/>
  <c r="I644" i="38"/>
  <c r="I644" i="39"/>
  <c r="H643" i="8"/>
  <c r="H643" i="38"/>
  <c r="H643" i="39"/>
  <c r="I645" i="8"/>
  <c r="I645" i="38"/>
  <c r="I645" i="39"/>
  <c r="I647" i="8"/>
  <c r="I647" i="38"/>
  <c r="I647" i="39"/>
  <c r="I642" i="8"/>
  <c r="I642" i="38"/>
  <c r="I642" i="39"/>
  <c r="H642" i="8"/>
  <c r="H642" i="38"/>
  <c r="H642" i="39"/>
  <c r="H647" i="8"/>
  <c r="H647" i="38"/>
  <c r="H647" i="39"/>
  <c r="I643" i="8"/>
  <c r="I643" i="38"/>
  <c r="I643" i="39"/>
  <c r="H645" i="8"/>
  <c r="H645" i="38"/>
  <c r="H645" i="39"/>
  <c r="H648" i="8"/>
  <c r="H648" i="38"/>
  <c r="H648" i="39"/>
  <c r="H644" i="8"/>
  <c r="H644" i="38"/>
  <c r="H644" i="39"/>
  <c r="I646" i="8"/>
  <c r="I646" i="38"/>
  <c r="I646" i="39"/>
  <c r="G642" i="8"/>
  <c r="G642" i="38"/>
  <c r="G642" i="39"/>
  <c r="G644" i="8"/>
  <c r="G644" i="38"/>
  <c r="G644" i="39"/>
  <c r="G646" i="8"/>
  <c r="G646" i="38"/>
  <c r="G646" i="39"/>
  <c r="G643" i="8"/>
  <c r="G643" i="38"/>
  <c r="G643" i="39"/>
  <c r="G647" i="8"/>
  <c r="G647" i="38"/>
  <c r="G647" i="39"/>
  <c r="G645" i="8"/>
  <c r="G645" i="38"/>
  <c r="G645" i="39"/>
  <c r="G648" i="8"/>
  <c r="G648" i="38"/>
  <c r="G648" i="39"/>
  <c r="F645" i="8"/>
  <c r="F645" i="38"/>
  <c r="F645" i="39"/>
  <c r="F643" i="8"/>
  <c r="F643" i="38"/>
  <c r="F643" i="39"/>
  <c r="F646" i="8"/>
  <c r="F646" i="38"/>
  <c r="F646" i="39"/>
  <c r="E646" i="8"/>
  <c r="E646" i="38"/>
  <c r="E646" i="39"/>
  <c r="E644" i="8"/>
  <c r="E644" i="38"/>
  <c r="E644" i="39"/>
  <c r="F642" i="8"/>
  <c r="F642" i="38"/>
  <c r="F642" i="39"/>
  <c r="E643" i="8"/>
  <c r="E643" i="38"/>
  <c r="E643" i="39"/>
  <c r="F648" i="8"/>
  <c r="F648" i="38"/>
  <c r="F648" i="39"/>
  <c r="F647" i="8"/>
  <c r="F647" i="38"/>
  <c r="F647" i="39"/>
  <c r="E645" i="8"/>
  <c r="E645" i="38"/>
  <c r="E645" i="39"/>
  <c r="F644" i="8"/>
  <c r="F644" i="38"/>
  <c r="F644" i="39"/>
  <c r="D642" i="8"/>
  <c r="D642" i="38"/>
  <c r="D642" i="39"/>
  <c r="D646" i="8"/>
  <c r="D646" i="38"/>
  <c r="D646" i="39"/>
  <c r="D644" i="8"/>
  <c r="D644" i="38"/>
  <c r="D644" i="39"/>
  <c r="E642" i="8"/>
  <c r="E642" i="38"/>
  <c r="E642" i="39"/>
  <c r="E648" i="8"/>
  <c r="E648" i="38"/>
  <c r="E648" i="39"/>
  <c r="D647" i="8"/>
  <c r="D647" i="38"/>
  <c r="D647" i="39"/>
  <c r="D645" i="8"/>
  <c r="D645" i="38"/>
  <c r="D645" i="39"/>
  <c r="D643" i="8"/>
  <c r="D643" i="38"/>
  <c r="D643" i="39"/>
  <c r="E647" i="8"/>
  <c r="E647" i="38"/>
  <c r="E647" i="39"/>
  <c r="D648" i="8"/>
  <c r="D648" i="38"/>
  <c r="D648" i="39"/>
  <c r="C643" i="8"/>
  <c r="C643" i="38"/>
  <c r="C643" i="39"/>
  <c r="C646" i="8"/>
  <c r="C646" i="38"/>
  <c r="C646" i="39"/>
  <c r="C644" i="8"/>
  <c r="C644" i="38"/>
  <c r="C644" i="39"/>
  <c r="C647" i="8"/>
  <c r="C647" i="38"/>
  <c r="C647" i="39"/>
  <c r="C648" i="8"/>
  <c r="C648" i="38"/>
  <c r="C648" i="39"/>
  <c r="C642" i="8"/>
  <c r="C642" i="38"/>
  <c r="C642" i="39"/>
  <c r="C645" i="8"/>
  <c r="C645" i="38"/>
  <c r="C645" i="39"/>
  <c r="B650" i="8" a="1"/>
  <c r="C654" i="8"/>
  <c r="B650" i="38" a="1"/>
  <c r="C654" i="38"/>
  <c r="C654" i="39"/>
  <c r="C651" i="8"/>
  <c r="C651" i="38"/>
  <c r="C651" i="39"/>
  <c r="C656" i="8"/>
  <c r="C656" i="38"/>
  <c r="C656" i="39"/>
  <c r="C657" i="8"/>
  <c r="C657" i="38"/>
  <c r="C657" i="39"/>
  <c r="C655" i="8"/>
  <c r="C655" i="38"/>
  <c r="C655" i="39"/>
  <c r="C653" i="8"/>
  <c r="C653" i="38"/>
  <c r="C653" i="39"/>
  <c r="C652" i="8"/>
  <c r="C652" i="38"/>
  <c r="C652" i="39"/>
  <c r="E657" i="8"/>
  <c r="E657" i="38"/>
  <c r="E657" i="39"/>
  <c r="D651" i="8"/>
  <c r="D651" i="38"/>
  <c r="D651" i="39"/>
  <c r="E651" i="8"/>
  <c r="E651" i="38"/>
  <c r="E651" i="39"/>
  <c r="D652" i="8"/>
  <c r="D652" i="38"/>
  <c r="D652" i="39"/>
  <c r="D656" i="8"/>
  <c r="D656" i="38"/>
  <c r="D656" i="39"/>
  <c r="D654" i="8"/>
  <c r="D654" i="38"/>
  <c r="D654" i="39"/>
  <c r="D655" i="8"/>
  <c r="D655" i="38"/>
  <c r="D655" i="39"/>
  <c r="D653" i="8"/>
  <c r="D653" i="38"/>
  <c r="D653" i="39"/>
  <c r="D657" i="8"/>
  <c r="D657" i="38"/>
  <c r="D657" i="39"/>
  <c r="E656" i="8"/>
  <c r="E656" i="38"/>
  <c r="E656" i="39"/>
  <c r="E652" i="8"/>
  <c r="E652" i="38"/>
  <c r="E652" i="39"/>
  <c r="F651" i="8"/>
  <c r="F651" i="38"/>
  <c r="F651" i="39"/>
  <c r="F653" i="8"/>
  <c r="F653" i="38"/>
  <c r="F653" i="39"/>
  <c r="E655" i="8"/>
  <c r="E655" i="38"/>
  <c r="E655" i="39"/>
  <c r="F656" i="8"/>
  <c r="F656" i="38"/>
  <c r="F656" i="39"/>
  <c r="F657" i="8"/>
  <c r="F657" i="38"/>
  <c r="F657" i="39"/>
  <c r="E654" i="8"/>
  <c r="E654" i="38"/>
  <c r="E654" i="39"/>
  <c r="E653" i="8"/>
  <c r="E653" i="38"/>
  <c r="E653" i="39"/>
  <c r="F654" i="8"/>
  <c r="F654" i="38"/>
  <c r="F654" i="39"/>
  <c r="F655" i="8"/>
  <c r="F655" i="38"/>
  <c r="F655" i="39"/>
  <c r="F652" i="8"/>
  <c r="F652" i="38"/>
  <c r="F652" i="39"/>
  <c r="G654" i="8"/>
  <c r="G654" i="38"/>
  <c r="G654" i="39"/>
  <c r="G657" i="8"/>
  <c r="G657" i="38"/>
  <c r="G657" i="39"/>
  <c r="G655" i="8"/>
  <c r="G655" i="38"/>
  <c r="G655" i="39"/>
  <c r="G652" i="8"/>
  <c r="G652" i="38"/>
  <c r="G652" i="39"/>
  <c r="G656" i="8"/>
  <c r="G656" i="38"/>
  <c r="G656" i="39"/>
  <c r="G653" i="8"/>
  <c r="G653" i="38"/>
  <c r="G653" i="39"/>
  <c r="G651" i="8"/>
  <c r="G651" i="38"/>
  <c r="G651" i="39"/>
  <c r="H657" i="8"/>
  <c r="H657" i="38"/>
  <c r="H657" i="39"/>
  <c r="I651" i="8"/>
  <c r="I651" i="38"/>
  <c r="I651" i="39"/>
  <c r="H654" i="8"/>
  <c r="H654" i="38"/>
  <c r="H654" i="39"/>
  <c r="H653" i="8"/>
  <c r="H653" i="38"/>
  <c r="H653" i="39"/>
  <c r="I657" i="8"/>
  <c r="I657" i="38"/>
  <c r="I657" i="39"/>
  <c r="I656" i="8"/>
  <c r="I656" i="38"/>
  <c r="I656" i="39"/>
  <c r="I652" i="8"/>
  <c r="I652" i="38"/>
  <c r="I652" i="39"/>
  <c r="I655" i="8"/>
  <c r="I655" i="38"/>
  <c r="I655" i="39"/>
  <c r="I654" i="8"/>
  <c r="I654" i="38"/>
  <c r="I654" i="39"/>
  <c r="H651" i="8"/>
  <c r="H651" i="38"/>
  <c r="H651" i="39"/>
  <c r="H656" i="8"/>
  <c r="H656" i="38"/>
  <c r="H656" i="39"/>
  <c r="I653" i="8"/>
  <c r="I653" i="38"/>
  <c r="I653" i="39"/>
  <c r="H652" i="8"/>
  <c r="H652" i="38"/>
  <c r="H652" i="39"/>
  <c r="H655" i="8"/>
  <c r="H655" i="38"/>
  <c r="H655" i="39"/>
  <c r="J656" i="8"/>
  <c r="J656" i="38"/>
  <c r="J656" i="39"/>
  <c r="J653" i="8"/>
  <c r="J653" i="38"/>
  <c r="J653" i="39"/>
  <c r="J651" i="8"/>
  <c r="J651" i="38"/>
  <c r="J651" i="39"/>
  <c r="J654" i="8"/>
  <c r="J654" i="38"/>
  <c r="J654" i="39"/>
  <c r="J655" i="8"/>
  <c r="J655" i="38"/>
  <c r="J655" i="39"/>
  <c r="J657" i="8"/>
  <c r="J657" i="38"/>
  <c r="J657" i="39"/>
  <c r="J652" i="8"/>
  <c r="J652" i="38"/>
  <c r="J652" i="39"/>
  <c r="K657" i="8"/>
  <c r="K657" i="38"/>
  <c r="K657" i="39"/>
  <c r="K655" i="8"/>
  <c r="K655" i="38"/>
  <c r="K655" i="39"/>
  <c r="K651" i="8"/>
  <c r="K651" i="38"/>
  <c r="K651" i="39"/>
  <c r="K656" i="8"/>
  <c r="K656" i="38"/>
  <c r="K656" i="39"/>
  <c r="K653" i="8"/>
  <c r="K653" i="38"/>
  <c r="K653" i="39"/>
  <c r="K654" i="8"/>
  <c r="K654" i="38"/>
  <c r="K654" i="39"/>
  <c r="K652" i="8"/>
  <c r="K652" i="38"/>
  <c r="K652" i="39"/>
  <c r="B643" i="8"/>
  <c r="B643" i="38"/>
  <c r="B643" i="39"/>
  <c r="B642" i="8"/>
  <c r="B642" i="38"/>
  <c r="B642" i="39"/>
  <c r="B648" i="8"/>
  <c r="B648" i="38"/>
  <c r="B648" i="39"/>
  <c r="B645" i="8"/>
  <c r="B645" i="38"/>
  <c r="B645" i="39"/>
  <c r="B644" i="8"/>
  <c r="B644" i="38"/>
  <c r="B644" i="39"/>
  <c r="K641" i="8"/>
  <c r="K641" i="38"/>
  <c r="K641" i="39"/>
  <c r="J641" i="8"/>
  <c r="J641" i="38"/>
  <c r="J641" i="39"/>
  <c r="I641" i="8"/>
  <c r="I641" i="38"/>
  <c r="I641" i="39"/>
  <c r="H641" i="8"/>
  <c r="H641" i="38"/>
  <c r="H641" i="39"/>
  <c r="G641" i="8"/>
  <c r="G641" i="38"/>
  <c r="G641" i="39"/>
  <c r="F641" i="8"/>
  <c r="F641" i="38"/>
  <c r="F641" i="39"/>
  <c r="E641" i="8"/>
  <c r="E641" i="38"/>
  <c r="E641" i="39"/>
  <c r="D641" i="8"/>
  <c r="D641" i="38"/>
  <c r="D641" i="39"/>
  <c r="C641" i="8"/>
  <c r="C641" i="38"/>
  <c r="C641" i="39"/>
  <c r="B647" i="8"/>
  <c r="B647" i="38"/>
  <c r="B647" i="39"/>
  <c r="B646" i="8"/>
  <c r="B646" i="38"/>
  <c r="B646" i="39"/>
  <c r="B641" i="8"/>
  <c r="B641" i="38"/>
  <c r="B641" i="39"/>
  <c r="B650" i="8"/>
  <c r="B650" i="38"/>
  <c r="B650" i="39"/>
  <c r="C650" i="8"/>
  <c r="C650" i="38"/>
  <c r="C650" i="39"/>
  <c r="D650" i="8"/>
  <c r="D650" i="38"/>
  <c r="D650" i="39"/>
  <c r="E650" i="8"/>
  <c r="E650" i="38"/>
  <c r="E650" i="39"/>
  <c r="F650" i="8"/>
  <c r="F650" i="38"/>
  <c r="F650" i="39"/>
  <c r="G650" i="8"/>
  <c r="G650" i="38"/>
  <c r="G650" i="39"/>
  <c r="H650" i="8"/>
  <c r="H650" i="38"/>
  <c r="H650" i="39"/>
  <c r="I650" i="8"/>
  <c r="I650" i="38"/>
  <c r="I650" i="39"/>
  <c r="J650" i="8"/>
  <c r="J650" i="38"/>
  <c r="J650" i="39"/>
  <c r="K650" i="8"/>
  <c r="K650" i="38"/>
  <c r="K650" i="39"/>
  <c r="B653" i="8"/>
  <c r="B653" i="38"/>
  <c r="B653" i="39"/>
  <c r="B657" i="8"/>
  <c r="B657" i="38"/>
  <c r="B657" i="39"/>
  <c r="B656" i="8"/>
  <c r="B656" i="38"/>
  <c r="B656" i="39"/>
  <c r="B651" i="8"/>
  <c r="B651" i="38"/>
  <c r="B651" i="39"/>
  <c r="B652" i="8"/>
  <c r="B652" i="38"/>
  <c r="B652" i="39"/>
  <c r="B654" i="8"/>
  <c r="B654" i="38"/>
  <c r="B654" i="39"/>
  <c r="B655" i="8"/>
  <c r="B655" i="38"/>
  <c r="B655" i="39"/>
  <c r="B659" i="38" a="1"/>
  <c r="C660" i="38"/>
  <c r="C666" i="38"/>
  <c r="C663" i="38"/>
  <c r="C665" i="38"/>
  <c r="C661" i="38"/>
  <c r="D664" i="38"/>
  <c r="C662" i="38"/>
  <c r="C664" i="38"/>
  <c r="E665" i="38"/>
  <c r="E666" i="38"/>
  <c r="D662" i="38"/>
  <c r="D661" i="38"/>
  <c r="D660" i="38"/>
  <c r="D663" i="38"/>
  <c r="D665" i="38"/>
  <c r="E660" i="38"/>
  <c r="D666" i="38"/>
  <c r="E662" i="38"/>
  <c r="F660" i="38"/>
  <c r="E664" i="38"/>
  <c r="F665" i="38"/>
  <c r="F662" i="38"/>
  <c r="E663" i="38"/>
  <c r="F666" i="38"/>
  <c r="E661" i="38"/>
  <c r="F664" i="38"/>
  <c r="F663" i="38"/>
  <c r="F661" i="38"/>
  <c r="G663" i="38"/>
  <c r="G666" i="38"/>
  <c r="G665" i="38"/>
  <c r="G661" i="38"/>
  <c r="G660" i="38"/>
  <c r="G662" i="38"/>
  <c r="I663" i="38"/>
  <c r="G664" i="38"/>
  <c r="H664" i="38"/>
  <c r="I664" i="38"/>
  <c r="H666" i="38"/>
  <c r="I662" i="38"/>
  <c r="I666" i="38"/>
  <c r="I665" i="38"/>
  <c r="I661" i="38"/>
  <c r="H663" i="38"/>
  <c r="H662" i="38"/>
  <c r="H661" i="38"/>
  <c r="H665" i="38"/>
  <c r="H660" i="38"/>
  <c r="I660" i="38"/>
  <c r="J660" i="38"/>
  <c r="J664" i="38"/>
  <c r="J663" i="38"/>
  <c r="J666" i="38"/>
  <c r="J662" i="38"/>
  <c r="J661" i="38"/>
  <c r="J665" i="38"/>
  <c r="K664" i="38"/>
  <c r="K666" i="38"/>
  <c r="K663" i="38"/>
  <c r="K662" i="38"/>
  <c r="K660" i="38"/>
  <c r="K661" i="38"/>
  <c r="K665" i="38"/>
  <c r="B659" i="38"/>
  <c r="B661" i="38"/>
  <c r="B666" i="38"/>
  <c r="B665" i="38"/>
  <c r="B660" i="38"/>
  <c r="B663" i="38"/>
  <c r="B664" i="38"/>
  <c r="B662" i="38"/>
  <c r="K659" i="38"/>
  <c r="J659" i="38"/>
  <c r="I659" i="38"/>
  <c r="H659" i="38"/>
  <c r="G659" i="38"/>
  <c r="F659" i="38"/>
  <c r="E659" i="38"/>
  <c r="D659" i="38"/>
  <c r="C659" i="38"/>
  <c r="B659" i="8" a="1"/>
  <c r="C660" i="8"/>
  <c r="C660" i="39"/>
  <c r="C666" i="8"/>
  <c r="C666" i="39"/>
  <c r="C663" i="8"/>
  <c r="C663" i="39"/>
  <c r="C665" i="8"/>
  <c r="C665" i="39"/>
  <c r="C661" i="8"/>
  <c r="C661" i="39"/>
  <c r="D664" i="8"/>
  <c r="D664" i="39"/>
  <c r="C662" i="8"/>
  <c r="C662" i="39"/>
  <c r="C664" i="8"/>
  <c r="C664" i="39"/>
  <c r="E665" i="8"/>
  <c r="E665" i="39"/>
  <c r="E666" i="8"/>
  <c r="E666" i="39"/>
  <c r="D662" i="8"/>
  <c r="D662" i="39"/>
  <c r="D661" i="8"/>
  <c r="D661" i="39"/>
  <c r="D660" i="8"/>
  <c r="D660" i="39"/>
  <c r="D663" i="8"/>
  <c r="D663" i="39"/>
  <c r="D665" i="8"/>
  <c r="D665" i="39"/>
  <c r="E660" i="8"/>
  <c r="E660" i="39"/>
  <c r="D666" i="8"/>
  <c r="D666" i="39"/>
  <c r="E662" i="8"/>
  <c r="E662" i="39"/>
  <c r="F660" i="8"/>
  <c r="F660" i="39"/>
  <c r="E664" i="8"/>
  <c r="E664" i="39"/>
  <c r="F665" i="8"/>
  <c r="F665" i="39"/>
  <c r="F662" i="8"/>
  <c r="F662" i="39"/>
  <c r="E663" i="8"/>
  <c r="E663" i="39"/>
  <c r="F666" i="8"/>
  <c r="F666" i="39"/>
  <c r="E661" i="8"/>
  <c r="E661" i="39"/>
  <c r="F664" i="8"/>
  <c r="F664" i="39"/>
  <c r="F663" i="8"/>
  <c r="F663" i="39"/>
  <c r="F661" i="8"/>
  <c r="F661" i="39"/>
  <c r="G663" i="8"/>
  <c r="G663" i="39"/>
  <c r="G666" i="8"/>
  <c r="G666" i="39"/>
  <c r="G665" i="8"/>
  <c r="G665" i="39"/>
  <c r="G661" i="8"/>
  <c r="G661" i="39"/>
  <c r="G660" i="8"/>
  <c r="G660" i="39"/>
  <c r="G662" i="8"/>
  <c r="G662" i="39"/>
  <c r="I663" i="8"/>
  <c r="I663" i="39"/>
  <c r="G664" i="8"/>
  <c r="G664" i="39"/>
  <c r="H664" i="8"/>
  <c r="H664" i="39"/>
  <c r="I664" i="8"/>
  <c r="I664" i="39"/>
  <c r="H666" i="8"/>
  <c r="H666" i="39"/>
  <c r="I662" i="8"/>
  <c r="I662" i="39"/>
  <c r="I666" i="8"/>
  <c r="I666" i="39"/>
  <c r="I665" i="8"/>
  <c r="I665" i="39"/>
  <c r="I661" i="8"/>
  <c r="I661" i="39"/>
  <c r="H663" i="8"/>
  <c r="H663" i="39"/>
  <c r="H662" i="8"/>
  <c r="H662" i="39"/>
  <c r="H661" i="8"/>
  <c r="H661" i="39"/>
  <c r="H665" i="8"/>
  <c r="H665" i="39"/>
  <c r="H660" i="8"/>
  <c r="H660" i="39"/>
  <c r="I660" i="8"/>
  <c r="I660" i="39"/>
  <c r="J660" i="8"/>
  <c r="J660" i="39"/>
  <c r="J664" i="8"/>
  <c r="J664" i="39"/>
  <c r="J663" i="8"/>
  <c r="J663" i="39"/>
  <c r="J666" i="8"/>
  <c r="J666" i="39"/>
  <c r="J662" i="8"/>
  <c r="J662" i="39"/>
  <c r="J661" i="8"/>
  <c r="J661" i="39"/>
  <c r="J665" i="8"/>
  <c r="J665" i="39"/>
  <c r="K664" i="8"/>
  <c r="K664" i="39"/>
  <c r="K666" i="8"/>
  <c r="K666" i="39"/>
  <c r="K663" i="8"/>
  <c r="K663" i="39"/>
  <c r="K662" i="8"/>
  <c r="K662" i="39"/>
  <c r="K660" i="8"/>
  <c r="K660" i="39"/>
  <c r="K661" i="8"/>
  <c r="K661" i="39"/>
  <c r="K665" i="8"/>
  <c r="K665" i="39"/>
  <c r="B659" i="8"/>
  <c r="B659" i="39"/>
  <c r="B661" i="8"/>
  <c r="B661" i="39"/>
  <c r="B666" i="8"/>
  <c r="B666" i="39"/>
  <c r="B665" i="8"/>
  <c r="B665" i="39"/>
  <c r="B660" i="8"/>
  <c r="B660" i="39"/>
  <c r="B663" i="8"/>
  <c r="B663" i="39"/>
  <c r="B664" i="8"/>
  <c r="B664" i="39"/>
  <c r="B662" i="8"/>
  <c r="B662" i="39"/>
  <c r="K659" i="8"/>
  <c r="K659" i="39"/>
  <c r="J659" i="8"/>
  <c r="J659" i="39"/>
  <c r="I659" i="8"/>
  <c r="I659" i="39"/>
  <c r="H659" i="8"/>
  <c r="H659" i="39"/>
  <c r="G659" i="8"/>
  <c r="G659" i="39"/>
  <c r="F659" i="8"/>
  <c r="F659" i="39"/>
  <c r="E659" i="8"/>
  <c r="E659" i="39"/>
  <c r="D659" i="8"/>
  <c r="D659" i="39"/>
  <c r="C659" i="8"/>
  <c r="C659" i="39"/>
  <c r="E20" i="4" a="1"/>
  <c r="B668" i="38" a="1"/>
  <c r="B675" i="38"/>
  <c r="B672" i="38"/>
  <c r="B673" i="38"/>
  <c r="B670" i="38"/>
  <c r="B674" i="38"/>
  <c r="B671" i="38"/>
  <c r="B669" i="38"/>
  <c r="B668" i="38"/>
  <c r="K668" i="38"/>
  <c r="J668" i="38"/>
  <c r="I668" i="38"/>
  <c r="G668" i="38"/>
  <c r="H668" i="38"/>
  <c r="F668" i="38"/>
  <c r="E668" i="38"/>
  <c r="D668" i="38"/>
  <c r="C668" i="38"/>
  <c r="C674" i="38"/>
  <c r="C672" i="38"/>
  <c r="C669" i="38"/>
  <c r="C675" i="38"/>
  <c r="C673" i="38"/>
  <c r="D675" i="38"/>
  <c r="C671" i="38"/>
  <c r="D669" i="38"/>
  <c r="C670" i="38"/>
  <c r="D674" i="38"/>
  <c r="D671" i="38"/>
  <c r="E675" i="38"/>
  <c r="F675" i="38"/>
  <c r="D672" i="38"/>
  <c r="E670" i="38"/>
  <c r="D670" i="38"/>
  <c r="E669" i="38"/>
  <c r="E674" i="38"/>
  <c r="F671" i="38"/>
  <c r="E672" i="38"/>
  <c r="E673" i="38"/>
  <c r="D673" i="38"/>
  <c r="E671" i="38"/>
  <c r="F674" i="38"/>
  <c r="F669" i="38"/>
  <c r="G669" i="38"/>
  <c r="F672" i="38"/>
  <c r="F673" i="38"/>
  <c r="G671" i="38"/>
  <c r="F670" i="38"/>
  <c r="G673" i="38"/>
  <c r="G670" i="38"/>
  <c r="I674" i="38"/>
  <c r="G672" i="38"/>
  <c r="G674" i="38"/>
  <c r="G675" i="38"/>
  <c r="H674" i="38"/>
  <c r="I669" i="38"/>
  <c r="H669" i="38"/>
  <c r="I672" i="38"/>
  <c r="I673" i="38"/>
  <c r="H673" i="38"/>
  <c r="H670" i="38"/>
  <c r="H671" i="38"/>
  <c r="H672" i="38"/>
  <c r="I670" i="38"/>
  <c r="I671" i="38"/>
  <c r="I675" i="38"/>
  <c r="J675" i="38"/>
  <c r="J674" i="38"/>
  <c r="H675" i="38"/>
  <c r="K673" i="38"/>
  <c r="J672" i="38"/>
  <c r="J669" i="38"/>
  <c r="J670" i="38"/>
  <c r="J673" i="38"/>
  <c r="J671" i="38"/>
  <c r="K675" i="38"/>
  <c r="K670" i="38"/>
  <c r="K669" i="38"/>
  <c r="K671" i="38"/>
  <c r="K674" i="38"/>
  <c r="K672" i="38"/>
  <c r="D23" i="4" a="1"/>
  <c r="B677" i="8" a="1"/>
  <c r="B677" i="38" a="1"/>
  <c r="B696" i="8" a="1"/>
  <c r="B696" i="38" a="1"/>
  <c r="B706" i="8" a="1"/>
  <c r="B706" i="38" a="1"/>
  <c r="D25" i="4" a="1"/>
  <c r="D27" i="29" a="1"/>
  <c r="D62" i="29" a="1"/>
  <c r="D101" i="29" a="1"/>
  <c r="D101" i="29"/>
  <c r="D105" i="29"/>
  <c r="D106" i="29"/>
  <c r="D108" i="29"/>
  <c r="D103" i="29"/>
  <c r="D104" i="29"/>
  <c r="D102" i="29"/>
  <c r="D107" i="29"/>
  <c r="D118" i="29" a="1"/>
  <c r="D125" i="29"/>
  <c r="D119" i="29"/>
  <c r="D124" i="29"/>
  <c r="D121" i="29"/>
  <c r="D123" i="29"/>
  <c r="D118" i="29"/>
  <c r="D122" i="29"/>
  <c r="D120" i="29"/>
  <c r="D26" i="4" a="1"/>
  <c r="D27" i="4" a="1"/>
  <c r="D126" i="29" a="1"/>
  <c r="D126" i="29"/>
  <c r="D128" i="29"/>
  <c r="D130" i="29"/>
  <c r="D131" i="29"/>
  <c r="D129" i="29"/>
  <c r="D132" i="29"/>
  <c r="D127" i="29"/>
  <c r="D133" i="29"/>
  <c r="C86" i="30" a="1"/>
  <c r="C91" i="30"/>
  <c r="C86" i="30"/>
  <c r="C93" i="30"/>
  <c r="C87" i="30"/>
  <c r="C92" i="30"/>
  <c r="C90" i="30"/>
  <c r="C89" i="30"/>
  <c r="C88" i="30"/>
  <c r="C95" i="30" a="1"/>
  <c r="C98" i="30"/>
  <c r="C97" i="30"/>
  <c r="C96" i="30"/>
  <c r="C100" i="30"/>
  <c r="C99" i="30"/>
  <c r="C101" i="30"/>
  <c r="C102" i="30"/>
  <c r="C95" i="30"/>
  <c r="C245" i="30" a="1"/>
  <c r="C248" i="30"/>
  <c r="C246" i="30"/>
  <c r="C245" i="30"/>
  <c r="C252" i="30"/>
  <c r="C250" i="30"/>
  <c r="C251" i="30"/>
  <c r="C249" i="30"/>
  <c r="C247" i="30"/>
  <c r="C299" i="30" a="1"/>
  <c r="C300" i="30"/>
  <c r="C299" i="30"/>
  <c r="C302" i="30"/>
  <c r="C304" i="30"/>
  <c r="C303" i="30"/>
  <c r="C301" i="30"/>
  <c r="C306" i="30"/>
  <c r="C305" i="30"/>
  <c r="D62" i="4" a="1"/>
  <c r="D101" i="4" a="1"/>
  <c r="D126" i="4" a="1"/>
  <c r="C95" i="6" a="1"/>
  <c r="C86" i="6" a="1"/>
  <c r="C299" i="6" a="1"/>
  <c r="C245" i="6" a="1"/>
  <c r="D135" i="29" a="1"/>
  <c r="D135" i="4" a="1"/>
  <c r="D136" i="29" a="1"/>
  <c r="D137" i="29" a="1"/>
  <c r="E29" i="29" a="1"/>
  <c r="E39" i="29" a="1"/>
  <c r="E53" i="29" a="1"/>
  <c r="E55" i="29" a="1"/>
  <c r="D136" i="4" a="1"/>
  <c r="E24" i="4" a="1"/>
  <c r="E24" i="29" a="1"/>
  <c r="E41" i="29" a="1"/>
  <c r="E31" i="29" a="1"/>
  <c r="E29" i="4" a="1"/>
  <c r="E53" i="4" a="1"/>
  <c r="E39" i="4" a="1"/>
  <c r="C104" i="30" a="1"/>
  <c r="C77" i="30" a="1"/>
  <c r="E118" i="29" a="1"/>
  <c r="C191" i="30" a="1"/>
  <c r="C200" i="30" a="1"/>
  <c r="C209" i="30" a="1"/>
  <c r="C218" i="30" a="1"/>
  <c r="C227" i="30" a="1"/>
  <c r="C236" i="30" a="1"/>
  <c r="C254" i="30" a="1"/>
  <c r="C263" i="30" a="1"/>
  <c r="C272" i="30" a="1"/>
  <c r="C281" i="30" a="1"/>
  <c r="C290" i="30" a="1"/>
  <c r="C308" i="30" a="1"/>
  <c r="C317" i="30" a="1"/>
  <c r="C326" i="30" a="1"/>
  <c r="C335" i="30" a="1"/>
  <c r="C344" i="30" a="1"/>
  <c r="C362" i="30" a="1"/>
  <c r="C105" i="30" a="1"/>
  <c r="D137" i="4" a="1"/>
  <c r="E31" i="4" a="1"/>
  <c r="E41" i="4" a="1"/>
  <c r="E55" i="4" a="1"/>
  <c r="C104" i="6" a="1"/>
  <c r="C105" i="6" a="1"/>
  <c r="C77" i="6" a="1"/>
  <c r="C191" i="6" a="1"/>
  <c r="C200" i="6" a="1"/>
  <c r="C209" i="6" a="1"/>
  <c r="C218" i="6" a="1"/>
  <c r="C227" i="6" a="1"/>
  <c r="C236" i="6" a="1"/>
  <c r="C254" i="6" a="1"/>
  <c r="E118" i="4" a="1"/>
  <c r="E139" i="29" a="1"/>
  <c r="C380" i="30" a="1"/>
  <c r="D371" i="30" a="1"/>
  <c r="C389" i="30" a="1"/>
  <c r="C398" i="30" a="1"/>
  <c r="C407" i="30" a="1"/>
  <c r="C263" i="6" a="1"/>
  <c r="C416" i="30" a="1"/>
  <c r="C426" i="30" a="1"/>
  <c r="C272" i="6" a="1"/>
  <c r="E139" i="4" a="1"/>
  <c r="C281" i="6" a="1"/>
  <c r="C290" i="6" a="1"/>
  <c r="B17" i="9" a="1"/>
  <c r="B15" i="9" a="1"/>
  <c r="C308" i="6" a="1"/>
  <c r="C317" i="6" a="1"/>
  <c r="C326" i="6" a="1"/>
  <c r="C335" i="6" a="1"/>
  <c r="C436" i="30" a="1"/>
  <c r="B19" i="9" a="1"/>
  <c r="C362" i="6" a="1"/>
  <c r="C371" i="6" a="1"/>
  <c r="C380" i="6" a="1"/>
  <c r="C389" i="6" a="1"/>
  <c r="C398" i="6" a="1"/>
  <c r="C407" i="6" a="1"/>
  <c r="D371" i="6" a="1"/>
  <c r="C416" i="6" a="1"/>
  <c r="C426" i="6" a="1"/>
  <c r="C436" i="6" a="1"/>
  <c r="B8" i="9" a="1"/>
  <c r="B30" i="9" a="1"/>
  <c r="B28" i="9" a="1"/>
  <c r="B26" i="9" a="1"/>
  <c r="C173" i="6" a="1"/>
  <c r="C173" i="6"/>
  <c r="L173" i="6"/>
  <c r="L176" i="6"/>
  <c r="L174" i="6"/>
  <c r="L177" i="6"/>
  <c r="L175" i="6"/>
  <c r="L180" i="6"/>
  <c r="L178" i="6"/>
  <c r="L179" i="6"/>
  <c r="C173" i="30" a="1"/>
  <c r="C173" i="30"/>
  <c r="L173" i="30"/>
  <c r="L175" i="30"/>
  <c r="L179" i="30"/>
  <c r="L177" i="30"/>
  <c r="L174" i="30"/>
  <c r="L180" i="30"/>
  <c r="L176" i="30"/>
  <c r="L178" i="30"/>
  <c r="C180" i="30"/>
  <c r="C179" i="30"/>
  <c r="C178" i="30"/>
  <c r="C177" i="30"/>
  <c r="C176" i="30"/>
  <c r="C175" i="30"/>
  <c r="C174" i="30"/>
  <c r="D134" i="29" a="1"/>
  <c r="D134" i="29"/>
  <c r="D135" i="29"/>
  <c r="D136" i="29"/>
  <c r="C104" i="30"/>
  <c r="C105" i="30"/>
  <c r="C108" i="30"/>
  <c r="E15" i="29" a="1"/>
  <c r="E15" i="29"/>
  <c r="E21" i="29"/>
  <c r="E22" i="29"/>
  <c r="E23" i="29"/>
  <c r="E24" i="29"/>
  <c r="E25" i="29"/>
  <c r="E26" i="29"/>
  <c r="E27" i="29"/>
  <c r="E29" i="29"/>
  <c r="E30" i="29"/>
  <c r="E31" i="29"/>
  <c r="E34" i="29"/>
  <c r="E35" i="29"/>
  <c r="E36" i="29"/>
  <c r="E37" i="29"/>
  <c r="E48" i="29"/>
  <c r="E50" i="29"/>
  <c r="E39" i="29"/>
  <c r="E40" i="29"/>
  <c r="E41" i="29"/>
  <c r="E44" i="29"/>
  <c r="E45" i="29"/>
  <c r="E46" i="29"/>
  <c r="E47" i="29"/>
  <c r="E49" i="29"/>
  <c r="E51" i="29"/>
  <c r="E53" i="29"/>
  <c r="E54" i="29"/>
  <c r="E55" i="29"/>
  <c r="E58" i="29"/>
  <c r="E59" i="29"/>
  <c r="E60" i="29"/>
  <c r="E61" i="29"/>
  <c r="E62" i="29"/>
  <c r="E108" i="29"/>
  <c r="E125" i="29"/>
  <c r="E16" i="29"/>
  <c r="F19" i="29"/>
  <c r="F20" i="29"/>
  <c r="F15" i="29"/>
  <c r="F21" i="29"/>
  <c r="F22" i="29"/>
  <c r="F23" i="29"/>
  <c r="E107" i="29"/>
  <c r="E124" i="29"/>
  <c r="E106" i="29"/>
  <c r="E123" i="29"/>
  <c r="E105" i="29"/>
  <c r="E122" i="29"/>
  <c r="E104" i="29"/>
  <c r="E121" i="29"/>
  <c r="E103" i="29"/>
  <c r="E120" i="29"/>
  <c r="E102" i="29"/>
  <c r="E119" i="29"/>
  <c r="E101" i="29"/>
  <c r="E118" i="29"/>
  <c r="K173" i="30"/>
  <c r="K173" i="6"/>
  <c r="J173" i="6"/>
  <c r="I173" i="6"/>
  <c r="H173" i="6"/>
  <c r="G173" i="6"/>
  <c r="F173" i="6"/>
  <c r="E173" i="6"/>
  <c r="D173" i="6"/>
  <c r="K179" i="6"/>
  <c r="K176" i="6"/>
  <c r="K180" i="6"/>
  <c r="K175" i="6"/>
  <c r="K177" i="6"/>
  <c r="K178" i="6"/>
  <c r="K174" i="6"/>
  <c r="K179" i="30"/>
  <c r="K175" i="30"/>
  <c r="K174" i="30"/>
  <c r="K177" i="30"/>
  <c r="K178" i="30"/>
  <c r="K176" i="30"/>
  <c r="K180" i="30"/>
  <c r="E15" i="4" a="1"/>
  <c r="E15" i="4"/>
  <c r="E16" i="4"/>
  <c r="F15" i="4"/>
  <c r="F16" i="4"/>
  <c r="G15" i="4"/>
  <c r="G16" i="4"/>
  <c r="H15" i="4"/>
  <c r="H16" i="4"/>
  <c r="I15" i="4"/>
  <c r="I16" i="4"/>
  <c r="J15" i="4"/>
  <c r="J16" i="4"/>
  <c r="K15" i="4"/>
  <c r="K16" i="4"/>
  <c r="L15" i="4"/>
  <c r="L16" i="4"/>
  <c r="M19" i="4"/>
  <c r="L19" i="4"/>
  <c r="K19" i="4"/>
  <c r="J19" i="4"/>
  <c r="I19" i="4"/>
  <c r="H19" i="4"/>
  <c r="G19" i="4"/>
  <c r="F19" i="4"/>
  <c r="D21" i="4" a="1"/>
  <c r="D21" i="4"/>
  <c r="D22" i="4"/>
  <c r="E20" i="4"/>
  <c r="E21" i="4"/>
  <c r="E22" i="4"/>
  <c r="F20" i="4"/>
  <c r="F21" i="4"/>
  <c r="F22" i="4"/>
  <c r="G20" i="4"/>
  <c r="G21" i="4"/>
  <c r="G22" i="4"/>
  <c r="H20" i="4"/>
  <c r="H21" i="4"/>
  <c r="H22" i="4"/>
  <c r="I20" i="4"/>
  <c r="I21" i="4"/>
  <c r="I22" i="4"/>
  <c r="J20" i="4"/>
  <c r="J21" i="4"/>
  <c r="J22" i="4"/>
  <c r="K20" i="4"/>
  <c r="K21" i="4"/>
  <c r="K22" i="4"/>
  <c r="L20" i="4"/>
  <c r="L21" i="4"/>
  <c r="L22" i="4"/>
  <c r="M20" i="4"/>
  <c r="M15" i="4"/>
  <c r="M21" i="4"/>
  <c r="M22" i="4"/>
  <c r="M23" i="4"/>
  <c r="F16" i="29"/>
  <c r="G15" i="29"/>
  <c r="G16" i="29"/>
  <c r="H15" i="29"/>
  <c r="H16" i="29"/>
  <c r="I15" i="29"/>
  <c r="I16" i="29"/>
  <c r="J15" i="29"/>
  <c r="J16" i="29"/>
  <c r="K15" i="29"/>
  <c r="K16" i="29"/>
  <c r="L15" i="29"/>
  <c r="L16" i="29"/>
  <c r="M19" i="29"/>
  <c r="L19" i="29"/>
  <c r="K19" i="29"/>
  <c r="J19" i="29"/>
  <c r="I19" i="29"/>
  <c r="H19" i="29"/>
  <c r="G19" i="29"/>
  <c r="G20" i="29"/>
  <c r="G21" i="29"/>
  <c r="G22" i="29"/>
  <c r="H20" i="29"/>
  <c r="H21" i="29"/>
  <c r="H22" i="29"/>
  <c r="I20" i="29"/>
  <c r="I21" i="29"/>
  <c r="I22" i="29"/>
  <c r="J20" i="29"/>
  <c r="J21" i="29"/>
  <c r="J22" i="29"/>
  <c r="K20" i="29"/>
  <c r="K21" i="29"/>
  <c r="K22" i="29"/>
  <c r="L20" i="29"/>
  <c r="L21" i="29"/>
  <c r="L22" i="29"/>
  <c r="M20" i="29"/>
  <c r="M15" i="29"/>
  <c r="M21" i="29"/>
  <c r="M22" i="29"/>
  <c r="M23" i="29"/>
  <c r="F57" i="29"/>
  <c r="F43" i="29"/>
  <c r="F33" i="29"/>
  <c r="J173" i="30"/>
  <c r="J179" i="6"/>
  <c r="J174" i="6"/>
  <c r="J175" i="6"/>
  <c r="J178" i="6"/>
  <c r="J177" i="6"/>
  <c r="J176" i="6"/>
  <c r="J180" i="6"/>
  <c r="J179" i="30"/>
  <c r="J174" i="30"/>
  <c r="J175" i="30"/>
  <c r="J178" i="30"/>
  <c r="J177" i="30"/>
  <c r="J176" i="30"/>
  <c r="J180" i="30"/>
  <c r="L23" i="4"/>
  <c r="L23" i="29"/>
  <c r="I179" i="6"/>
  <c r="I176" i="6"/>
  <c r="I174" i="6"/>
  <c r="I175" i="6"/>
  <c r="I180" i="6"/>
  <c r="I178" i="6"/>
  <c r="I177" i="6"/>
  <c r="H175" i="6"/>
  <c r="H180" i="6"/>
  <c r="H179" i="6"/>
  <c r="H176" i="6"/>
  <c r="H174" i="6"/>
  <c r="H178" i="6"/>
  <c r="H177" i="6"/>
  <c r="G179" i="6"/>
  <c r="G175" i="6"/>
  <c r="G176" i="6"/>
  <c r="G178" i="6"/>
  <c r="G180" i="6"/>
  <c r="G177" i="6"/>
  <c r="G174" i="6"/>
  <c r="F174" i="6"/>
  <c r="F180" i="6"/>
  <c r="F178" i="6"/>
  <c r="F175" i="6"/>
  <c r="F179" i="6"/>
  <c r="F176" i="6"/>
  <c r="F177" i="6"/>
  <c r="E174" i="6"/>
  <c r="E177" i="6"/>
  <c r="E180" i="6"/>
  <c r="E176" i="6"/>
  <c r="E175" i="6"/>
  <c r="E179" i="6"/>
  <c r="E178" i="6"/>
  <c r="C178" i="6"/>
  <c r="C177" i="6"/>
  <c r="C180" i="6"/>
  <c r="C175" i="6"/>
  <c r="C179" i="6"/>
  <c r="C174" i="6"/>
  <c r="C176" i="6"/>
  <c r="D177" i="6"/>
  <c r="D180" i="6"/>
  <c r="D174" i="6"/>
  <c r="D175" i="6"/>
  <c r="D178" i="6"/>
  <c r="D179" i="6"/>
  <c r="D176" i="6"/>
  <c r="I173" i="30"/>
  <c r="I180" i="30"/>
  <c r="I174" i="30"/>
  <c r="I178" i="30"/>
  <c r="I179" i="30"/>
  <c r="I175" i="30"/>
  <c r="I177" i="30"/>
  <c r="I176" i="30"/>
  <c r="K23" i="4"/>
  <c r="K23" i="29"/>
  <c r="H173" i="30"/>
  <c r="G173" i="30"/>
  <c r="F173" i="30"/>
  <c r="E173" i="30"/>
  <c r="D173" i="30"/>
  <c r="H175" i="30"/>
  <c r="H180" i="30"/>
  <c r="H179" i="30"/>
  <c r="H176" i="30"/>
  <c r="H174" i="30"/>
  <c r="H178" i="30"/>
  <c r="H177" i="30"/>
  <c r="J23" i="4"/>
  <c r="I23" i="4"/>
  <c r="G180" i="30"/>
  <c r="G179" i="30"/>
  <c r="G178" i="30"/>
  <c r="G177" i="30"/>
  <c r="G176" i="30"/>
  <c r="G175" i="30"/>
  <c r="G174" i="30"/>
  <c r="F174" i="30"/>
  <c r="F180" i="30"/>
  <c r="F178" i="30"/>
  <c r="F175" i="30"/>
  <c r="F179" i="30"/>
  <c r="F176" i="30"/>
  <c r="F177" i="30"/>
  <c r="E180" i="30"/>
  <c r="E179" i="30"/>
  <c r="E178" i="30"/>
  <c r="E177" i="30"/>
  <c r="E176" i="30"/>
  <c r="E175" i="30"/>
  <c r="E174" i="30"/>
  <c r="D180" i="30"/>
  <c r="D179" i="30"/>
  <c r="D178" i="30"/>
  <c r="D177" i="30"/>
  <c r="D176" i="30"/>
  <c r="D175" i="30"/>
  <c r="D174" i="30"/>
  <c r="J23" i="29"/>
  <c r="I23" i="29"/>
  <c r="H23" i="4"/>
  <c r="G23" i="4"/>
  <c r="F23" i="4"/>
  <c r="H23" i="29"/>
  <c r="G23" i="29"/>
  <c r="E133" i="29"/>
  <c r="D102" i="30"/>
  <c r="D306" i="30"/>
  <c r="D93" i="30"/>
  <c r="D252" i="30"/>
  <c r="E127" i="29"/>
  <c r="D96" i="30"/>
  <c r="D300" i="30"/>
  <c r="D87" i="30"/>
  <c r="D246" i="30"/>
  <c r="E128" i="29"/>
  <c r="D97" i="30"/>
  <c r="D301" i="30"/>
  <c r="D88" i="30"/>
  <c r="D247" i="30"/>
  <c r="E129" i="29"/>
  <c r="D98" i="30"/>
  <c r="D302" i="30"/>
  <c r="D89" i="30"/>
  <c r="D248" i="30"/>
  <c r="E131" i="29"/>
  <c r="D100" i="30"/>
  <c r="D304" i="30"/>
  <c r="D91" i="30"/>
  <c r="D250" i="30"/>
  <c r="E130" i="29"/>
  <c r="D99" i="30"/>
  <c r="D303" i="30"/>
  <c r="D90" i="30"/>
  <c r="D249" i="30"/>
  <c r="E132" i="29"/>
  <c r="D101" i="30"/>
  <c r="D305" i="30"/>
  <c r="D92" i="30"/>
  <c r="D251" i="30"/>
  <c r="E126" i="29"/>
  <c r="D95" i="30"/>
  <c r="D299" i="30"/>
  <c r="D86" i="30"/>
  <c r="D245" i="30"/>
  <c r="E23" i="4"/>
  <c r="D23" i="4"/>
  <c r="D25" i="4"/>
  <c r="D26" i="4"/>
  <c r="D27" i="4"/>
  <c r="D62" i="4"/>
  <c r="D107" i="4"/>
  <c r="D107" i="33"/>
  <c r="D102" i="4"/>
  <c r="D102" i="33"/>
  <c r="D104" i="4"/>
  <c r="D104" i="33"/>
  <c r="D103" i="4"/>
  <c r="D103" i="33"/>
  <c r="D108" i="4"/>
  <c r="D108" i="33"/>
  <c r="D106" i="4"/>
  <c r="D106" i="33"/>
  <c r="D105" i="4"/>
  <c r="D105" i="33"/>
  <c r="D101" i="4"/>
  <c r="D101" i="33"/>
  <c r="C182" i="6" a="1"/>
  <c r="D182" i="6"/>
  <c r="C182" i="30" a="1"/>
  <c r="D182" i="30"/>
  <c r="D182" i="34"/>
  <c r="E182" i="6"/>
  <c r="E182" i="30"/>
  <c r="E182" i="34"/>
  <c r="F182" i="6"/>
  <c r="F182" i="30"/>
  <c r="F182" i="34"/>
  <c r="G182" i="6"/>
  <c r="G182" i="30"/>
  <c r="G182" i="34"/>
  <c r="H182" i="6"/>
  <c r="H182" i="30"/>
  <c r="H182" i="34"/>
  <c r="I182" i="6"/>
  <c r="I182" i="30"/>
  <c r="I182" i="34"/>
  <c r="J182" i="6"/>
  <c r="J182" i="30"/>
  <c r="J182" i="34"/>
  <c r="K182" i="6"/>
  <c r="K182" i="30"/>
  <c r="K182" i="34"/>
  <c r="L182" i="6"/>
  <c r="L182" i="30"/>
  <c r="L182" i="34"/>
  <c r="C185" i="6"/>
  <c r="C185" i="30"/>
  <c r="C185" i="34"/>
  <c r="C183" i="6"/>
  <c r="C183" i="30"/>
  <c r="C183" i="34"/>
  <c r="C188" i="6"/>
  <c r="C188" i="30"/>
  <c r="C188" i="34"/>
  <c r="C189" i="6"/>
  <c r="C189" i="30"/>
  <c r="C189" i="34"/>
  <c r="C184" i="6"/>
  <c r="C184" i="30"/>
  <c r="C184" i="34"/>
  <c r="C187" i="6"/>
  <c r="C187" i="30"/>
  <c r="C187" i="34"/>
  <c r="C186" i="6"/>
  <c r="C186" i="30"/>
  <c r="C186" i="34"/>
  <c r="C182" i="6"/>
  <c r="C182" i="30"/>
  <c r="C182" i="34"/>
  <c r="L184" i="6"/>
  <c r="L184" i="30"/>
  <c r="L184" i="34"/>
  <c r="L188" i="6"/>
  <c r="L188" i="30"/>
  <c r="L188" i="34"/>
  <c r="L186" i="6"/>
  <c r="L186" i="30"/>
  <c r="L186" i="34"/>
  <c r="L183" i="6"/>
  <c r="L183" i="30"/>
  <c r="L183" i="34"/>
  <c r="L185" i="6"/>
  <c r="L185" i="30"/>
  <c r="L185" i="34"/>
  <c r="L189" i="6"/>
  <c r="L189" i="30"/>
  <c r="L189" i="34"/>
  <c r="L187" i="6"/>
  <c r="L187" i="30"/>
  <c r="L187" i="34"/>
  <c r="K185" i="6"/>
  <c r="K185" i="30"/>
  <c r="K185" i="34"/>
  <c r="K183" i="6"/>
  <c r="K183" i="30"/>
  <c r="K183" i="34"/>
  <c r="K184" i="6"/>
  <c r="K184" i="30"/>
  <c r="K184" i="34"/>
  <c r="K188" i="6"/>
  <c r="K188" i="30"/>
  <c r="K188" i="34"/>
  <c r="K187" i="6"/>
  <c r="K187" i="30"/>
  <c r="K187" i="34"/>
  <c r="K186" i="6"/>
  <c r="K186" i="30"/>
  <c r="K186" i="34"/>
  <c r="K189" i="6"/>
  <c r="K189" i="30"/>
  <c r="K189" i="34"/>
  <c r="I189" i="6"/>
  <c r="I189" i="30"/>
  <c r="I189" i="34"/>
  <c r="J188" i="6"/>
  <c r="J188" i="30"/>
  <c r="J188" i="34"/>
  <c r="J186" i="6"/>
  <c r="J186" i="30"/>
  <c r="J186" i="34"/>
  <c r="I187" i="6"/>
  <c r="I187" i="30"/>
  <c r="I187" i="34"/>
  <c r="J183" i="6"/>
  <c r="J183" i="30"/>
  <c r="J183" i="34"/>
  <c r="I183" i="6"/>
  <c r="I183" i="30"/>
  <c r="I183" i="34"/>
  <c r="I184" i="6"/>
  <c r="I184" i="30"/>
  <c r="I184" i="34"/>
  <c r="I188" i="6"/>
  <c r="I188" i="30"/>
  <c r="I188" i="34"/>
  <c r="J189" i="6"/>
  <c r="J189" i="30"/>
  <c r="J189" i="34"/>
  <c r="I185" i="6"/>
  <c r="I185" i="30"/>
  <c r="I185" i="34"/>
  <c r="J187" i="6"/>
  <c r="J187" i="30"/>
  <c r="J187" i="34"/>
  <c r="I186" i="6"/>
  <c r="I186" i="30"/>
  <c r="I186" i="34"/>
  <c r="J184" i="6"/>
  <c r="J184" i="30"/>
  <c r="J184" i="34"/>
  <c r="J185" i="6"/>
  <c r="J185" i="30"/>
  <c r="J185" i="34"/>
  <c r="H186" i="6"/>
  <c r="H186" i="30"/>
  <c r="H186" i="34"/>
  <c r="H184" i="6"/>
  <c r="H184" i="30"/>
  <c r="H184" i="34"/>
  <c r="H189" i="6"/>
  <c r="H189" i="30"/>
  <c r="H189" i="34"/>
  <c r="H187" i="6"/>
  <c r="H187" i="30"/>
  <c r="H187" i="34"/>
  <c r="H188" i="6"/>
  <c r="H188" i="30"/>
  <c r="H188" i="34"/>
  <c r="H185" i="6"/>
  <c r="H185" i="30"/>
  <c r="H185" i="34"/>
  <c r="H183" i="6"/>
  <c r="H183" i="30"/>
  <c r="H183" i="34"/>
  <c r="G184" i="6"/>
  <c r="G184" i="30"/>
  <c r="G184" i="34"/>
  <c r="G186" i="6"/>
  <c r="G186" i="30"/>
  <c r="G186" i="34"/>
  <c r="G187" i="6"/>
  <c r="G187" i="30"/>
  <c r="G187" i="34"/>
  <c r="F184" i="6"/>
  <c r="F184" i="30"/>
  <c r="F184" i="34"/>
  <c r="G189" i="6"/>
  <c r="G189" i="30"/>
  <c r="G189" i="34"/>
  <c r="F186" i="6"/>
  <c r="F186" i="30"/>
  <c r="F186" i="34"/>
  <c r="F187" i="6"/>
  <c r="F187" i="30"/>
  <c r="F187" i="34"/>
  <c r="G188" i="6"/>
  <c r="G188" i="30"/>
  <c r="G188" i="34"/>
  <c r="F185" i="6"/>
  <c r="F185" i="30"/>
  <c r="F185" i="34"/>
  <c r="G183" i="6"/>
  <c r="G183" i="30"/>
  <c r="G183" i="34"/>
  <c r="G185" i="6"/>
  <c r="G185" i="30"/>
  <c r="G185" i="34"/>
  <c r="E186" i="6"/>
  <c r="E186" i="30"/>
  <c r="E186" i="34"/>
  <c r="E183" i="6"/>
  <c r="E183" i="30"/>
  <c r="E183" i="34"/>
  <c r="E189" i="6"/>
  <c r="E189" i="30"/>
  <c r="E189" i="34"/>
  <c r="E184" i="6"/>
  <c r="E184" i="30"/>
  <c r="E184" i="34"/>
  <c r="E188" i="6"/>
  <c r="E188" i="30"/>
  <c r="E188" i="34"/>
  <c r="F183" i="6"/>
  <c r="F183" i="30"/>
  <c r="F183" i="34"/>
  <c r="F189" i="6"/>
  <c r="F189" i="30"/>
  <c r="F189" i="34"/>
  <c r="E185" i="6"/>
  <c r="E185" i="30"/>
  <c r="E185" i="34"/>
  <c r="E187" i="6"/>
  <c r="E187" i="30"/>
  <c r="E187" i="34"/>
  <c r="F188" i="6"/>
  <c r="F188" i="30"/>
  <c r="F188" i="34"/>
  <c r="D184" i="6"/>
  <c r="D184" i="30"/>
  <c r="D184" i="34"/>
  <c r="D185" i="6"/>
  <c r="D185" i="30"/>
  <c r="D185" i="34"/>
  <c r="D187" i="6"/>
  <c r="D187" i="30"/>
  <c r="D187" i="34"/>
  <c r="D183" i="6"/>
  <c r="D183" i="30"/>
  <c r="D183" i="34"/>
  <c r="D189" i="6"/>
  <c r="D189" i="30"/>
  <c r="D189" i="34"/>
  <c r="D188" i="6"/>
  <c r="D188" i="30"/>
  <c r="D188" i="34"/>
  <c r="D186" i="6"/>
  <c r="D186" i="30"/>
  <c r="D186" i="34"/>
  <c r="D25" i="33"/>
  <c r="B668" i="8" a="1"/>
  <c r="C668" i="8"/>
  <c r="C677" i="8"/>
  <c r="C669" i="8"/>
  <c r="C678" i="8"/>
  <c r="C670" i="8"/>
  <c r="C679" i="8"/>
  <c r="C671" i="8"/>
  <c r="C680" i="8"/>
  <c r="C672" i="8"/>
  <c r="C681" i="8"/>
  <c r="C673" i="8"/>
  <c r="C682" i="8"/>
  <c r="C674" i="8"/>
  <c r="C683" i="8"/>
  <c r="C675" i="8"/>
  <c r="C684" i="8"/>
  <c r="C685" i="8"/>
  <c r="C677" i="38"/>
  <c r="C678" i="38"/>
  <c r="C679" i="38"/>
  <c r="C680" i="38"/>
  <c r="C681" i="38"/>
  <c r="C682" i="38"/>
  <c r="C683" i="38"/>
  <c r="C684" i="38"/>
  <c r="C685" i="38"/>
  <c r="C685" i="39"/>
  <c r="C677" i="39"/>
  <c r="D668" i="8"/>
  <c r="D677" i="8"/>
  <c r="D669" i="8"/>
  <c r="D678" i="8"/>
  <c r="D670" i="8"/>
  <c r="D679" i="8"/>
  <c r="D671" i="8"/>
  <c r="D680" i="8"/>
  <c r="D672" i="8"/>
  <c r="D681" i="8"/>
  <c r="D673" i="8"/>
  <c r="D682" i="8"/>
  <c r="D674" i="8"/>
  <c r="D683" i="8"/>
  <c r="D675" i="8"/>
  <c r="D684" i="8"/>
  <c r="D685" i="8"/>
  <c r="D677" i="38"/>
  <c r="D678" i="38"/>
  <c r="D679" i="38"/>
  <c r="D680" i="38"/>
  <c r="D681" i="38"/>
  <c r="D682" i="38"/>
  <c r="D683" i="38"/>
  <c r="D684" i="38"/>
  <c r="D685" i="38"/>
  <c r="D685" i="39"/>
  <c r="D677" i="39"/>
  <c r="E668" i="8"/>
  <c r="E677" i="8"/>
  <c r="E669" i="8"/>
  <c r="E678" i="8"/>
  <c r="E670" i="8"/>
  <c r="E679" i="8"/>
  <c r="E671" i="8"/>
  <c r="E680" i="8"/>
  <c r="E672" i="8"/>
  <c r="E681" i="8"/>
  <c r="E673" i="8"/>
  <c r="E682" i="8"/>
  <c r="E674" i="8"/>
  <c r="E683" i="8"/>
  <c r="E675" i="8"/>
  <c r="E684" i="8"/>
  <c r="E685" i="8"/>
  <c r="E677" i="38"/>
  <c r="E678" i="38"/>
  <c r="E679" i="38"/>
  <c r="E680" i="38"/>
  <c r="E681" i="38"/>
  <c r="E682" i="38"/>
  <c r="E683" i="38"/>
  <c r="E684" i="38"/>
  <c r="E685" i="38"/>
  <c r="E685" i="39"/>
  <c r="E677" i="39"/>
  <c r="F668" i="8"/>
  <c r="F677" i="8"/>
  <c r="F669" i="8"/>
  <c r="F678" i="8"/>
  <c r="F670" i="8"/>
  <c r="F679" i="8"/>
  <c r="F671" i="8"/>
  <c r="F680" i="8"/>
  <c r="F672" i="8"/>
  <c r="F681" i="8"/>
  <c r="F673" i="8"/>
  <c r="F682" i="8"/>
  <c r="F674" i="8"/>
  <c r="F683" i="8"/>
  <c r="F675" i="8"/>
  <c r="F684" i="8"/>
  <c r="F685" i="8"/>
  <c r="F677" i="38"/>
  <c r="F678" i="38"/>
  <c r="F679" i="38"/>
  <c r="F680" i="38"/>
  <c r="F681" i="38"/>
  <c r="F682" i="38"/>
  <c r="F683" i="38"/>
  <c r="F684" i="38"/>
  <c r="F685" i="38"/>
  <c r="F685" i="39"/>
  <c r="F677" i="39"/>
  <c r="G668" i="8"/>
  <c r="G677" i="8"/>
  <c r="G669" i="8"/>
  <c r="G678" i="8"/>
  <c r="G670" i="8"/>
  <c r="G679" i="8"/>
  <c r="G671" i="8"/>
  <c r="G680" i="8"/>
  <c r="G672" i="8"/>
  <c r="G681" i="8"/>
  <c r="G673" i="8"/>
  <c r="G682" i="8"/>
  <c r="G674" i="8"/>
  <c r="G683" i="8"/>
  <c r="G675" i="8"/>
  <c r="G684" i="8"/>
  <c r="G685" i="8"/>
  <c r="G677" i="38"/>
  <c r="G678" i="38"/>
  <c r="G679" i="38"/>
  <c r="G680" i="38"/>
  <c r="G681" i="38"/>
  <c r="G682" i="38"/>
  <c r="G683" i="38"/>
  <c r="G684" i="38"/>
  <c r="G685" i="38"/>
  <c r="G685" i="39"/>
  <c r="I668" i="8"/>
  <c r="I677" i="8"/>
  <c r="I677" i="38"/>
  <c r="I677" i="39"/>
  <c r="H668" i="8"/>
  <c r="H677" i="8"/>
  <c r="H677" i="38"/>
  <c r="H677" i="39"/>
  <c r="G677" i="39"/>
  <c r="I669" i="8"/>
  <c r="I678" i="8"/>
  <c r="I670" i="8"/>
  <c r="I679" i="8"/>
  <c r="I671" i="8"/>
  <c r="I680" i="8"/>
  <c r="I672" i="8"/>
  <c r="I681" i="8"/>
  <c r="I673" i="8"/>
  <c r="I682" i="8"/>
  <c r="I674" i="8"/>
  <c r="I683" i="8"/>
  <c r="I675" i="8"/>
  <c r="I684" i="8"/>
  <c r="I685" i="8"/>
  <c r="I678" i="38"/>
  <c r="I679" i="38"/>
  <c r="I680" i="38"/>
  <c r="I681" i="38"/>
  <c r="I682" i="38"/>
  <c r="I683" i="38"/>
  <c r="I684" i="38"/>
  <c r="I685" i="38"/>
  <c r="I685" i="39"/>
  <c r="H669" i="8"/>
  <c r="H678" i="8"/>
  <c r="H670" i="8"/>
  <c r="H679" i="8"/>
  <c r="H671" i="8"/>
  <c r="H680" i="8"/>
  <c r="H672" i="8"/>
  <c r="H681" i="8"/>
  <c r="H673" i="8"/>
  <c r="H682" i="8"/>
  <c r="H674" i="8"/>
  <c r="H683" i="8"/>
  <c r="H675" i="8"/>
  <c r="H684" i="8"/>
  <c r="H685" i="8"/>
  <c r="H678" i="38"/>
  <c r="H679" i="38"/>
  <c r="H680" i="38"/>
  <c r="H681" i="38"/>
  <c r="H682" i="38"/>
  <c r="H683" i="38"/>
  <c r="H684" i="38"/>
  <c r="H685" i="38"/>
  <c r="H685" i="39"/>
  <c r="J668" i="8"/>
  <c r="J677" i="8"/>
  <c r="J677" i="38"/>
  <c r="J677" i="39"/>
  <c r="J669" i="8"/>
  <c r="J678" i="8"/>
  <c r="J670" i="8"/>
  <c r="J679" i="8"/>
  <c r="J671" i="8"/>
  <c r="J680" i="8"/>
  <c r="J672" i="8"/>
  <c r="J681" i="8"/>
  <c r="J673" i="8"/>
  <c r="J682" i="8"/>
  <c r="J674" i="8"/>
  <c r="J683" i="8"/>
  <c r="J675" i="8"/>
  <c r="J684" i="8"/>
  <c r="J685" i="8"/>
  <c r="J678" i="38"/>
  <c r="J679" i="38"/>
  <c r="J680" i="38"/>
  <c r="J681" i="38"/>
  <c r="J682" i="38"/>
  <c r="J683" i="38"/>
  <c r="J684" i="38"/>
  <c r="J685" i="38"/>
  <c r="J685" i="39"/>
  <c r="K668" i="8"/>
  <c r="K677" i="8"/>
  <c r="K677" i="38"/>
  <c r="K677" i="39"/>
  <c r="K669" i="8"/>
  <c r="K678" i="8"/>
  <c r="K670" i="8"/>
  <c r="K679" i="8"/>
  <c r="K671" i="8"/>
  <c r="K680" i="8"/>
  <c r="K672" i="8"/>
  <c r="K681" i="8"/>
  <c r="K673" i="8"/>
  <c r="K682" i="8"/>
  <c r="K674" i="8"/>
  <c r="K683" i="8"/>
  <c r="K675" i="8"/>
  <c r="K684" i="8"/>
  <c r="K685" i="8"/>
  <c r="K678" i="38"/>
  <c r="K679" i="38"/>
  <c r="K680" i="38"/>
  <c r="K681" i="38"/>
  <c r="K682" i="38"/>
  <c r="K683" i="38"/>
  <c r="K684" i="38"/>
  <c r="K685" i="38"/>
  <c r="K685" i="39"/>
  <c r="B668" i="8"/>
  <c r="B677" i="8"/>
  <c r="B669" i="8"/>
  <c r="B678" i="8"/>
  <c r="B670" i="8"/>
  <c r="B679" i="8"/>
  <c r="B671" i="8"/>
  <c r="B680" i="8"/>
  <c r="B672" i="8"/>
  <c r="B681" i="8"/>
  <c r="B673" i="8"/>
  <c r="B682" i="8"/>
  <c r="B674" i="8"/>
  <c r="B683" i="8"/>
  <c r="B675" i="8"/>
  <c r="B684" i="8"/>
  <c r="B685" i="8"/>
  <c r="B677" i="38"/>
  <c r="B678" i="38"/>
  <c r="B679" i="38"/>
  <c r="B680" i="38"/>
  <c r="B681" i="38"/>
  <c r="B682" i="38"/>
  <c r="B683" i="38"/>
  <c r="B684" i="38"/>
  <c r="B685" i="38"/>
  <c r="B685" i="39"/>
  <c r="B677" i="39"/>
  <c r="C668" i="39"/>
  <c r="D668" i="39"/>
  <c r="E668" i="39"/>
  <c r="F668" i="39"/>
  <c r="H668" i="39"/>
  <c r="G668" i="39"/>
  <c r="I668" i="39"/>
  <c r="J668" i="39"/>
  <c r="K668" i="39"/>
  <c r="B668" i="39"/>
  <c r="C701" i="8"/>
  <c r="C711" i="8"/>
  <c r="C711" i="38"/>
  <c r="C711" i="39"/>
  <c r="C700" i="8"/>
  <c r="C710" i="8"/>
  <c r="C710" i="38"/>
  <c r="C710" i="39"/>
  <c r="C703" i="8"/>
  <c r="C713" i="8"/>
  <c r="C713" i="38"/>
  <c r="C713" i="39"/>
  <c r="C697" i="8"/>
  <c r="C707" i="8"/>
  <c r="C707" i="38"/>
  <c r="C707" i="39"/>
  <c r="C702" i="8"/>
  <c r="C712" i="8"/>
  <c r="C712" i="38"/>
  <c r="C712" i="39"/>
  <c r="D702" i="8"/>
  <c r="D712" i="8"/>
  <c r="D712" i="38"/>
  <c r="D712" i="39"/>
  <c r="D697" i="8"/>
  <c r="D707" i="8"/>
  <c r="D707" i="38"/>
  <c r="D707" i="39"/>
  <c r="C698" i="8"/>
  <c r="C708" i="8"/>
  <c r="C708" i="38"/>
  <c r="C708" i="39"/>
  <c r="D703" i="8"/>
  <c r="D713" i="8"/>
  <c r="D713" i="38"/>
  <c r="D713" i="39"/>
  <c r="C699" i="8"/>
  <c r="C709" i="8"/>
  <c r="C709" i="38"/>
  <c r="C709" i="39"/>
  <c r="D699" i="8"/>
  <c r="D709" i="8"/>
  <c r="D709" i="38"/>
  <c r="D709" i="39"/>
  <c r="E703" i="8"/>
  <c r="E713" i="8"/>
  <c r="E713" i="38"/>
  <c r="E713" i="39"/>
  <c r="E698" i="8"/>
  <c r="E708" i="8"/>
  <c r="E708" i="38"/>
  <c r="E708" i="39"/>
  <c r="F699" i="8"/>
  <c r="F709" i="8"/>
  <c r="F709" i="38"/>
  <c r="F709" i="39"/>
  <c r="E700" i="8"/>
  <c r="E710" i="8"/>
  <c r="E710" i="38"/>
  <c r="E710" i="39"/>
  <c r="E702" i="8"/>
  <c r="E712" i="8"/>
  <c r="E712" i="38"/>
  <c r="E712" i="39"/>
  <c r="D698" i="8"/>
  <c r="D708" i="8"/>
  <c r="D708" i="38"/>
  <c r="D708" i="39"/>
  <c r="D701" i="8"/>
  <c r="D711" i="8"/>
  <c r="D711" i="38"/>
  <c r="D711" i="39"/>
  <c r="F702" i="8"/>
  <c r="F712" i="8"/>
  <c r="F712" i="38"/>
  <c r="F712" i="39"/>
  <c r="F703" i="8"/>
  <c r="F713" i="8"/>
  <c r="F713" i="38"/>
  <c r="F713" i="39"/>
  <c r="E699" i="8"/>
  <c r="E709" i="8"/>
  <c r="E709" i="38"/>
  <c r="E709" i="39"/>
  <c r="E697" i="8"/>
  <c r="E707" i="8"/>
  <c r="E707" i="38"/>
  <c r="E707" i="39"/>
  <c r="D700" i="8"/>
  <c r="D710" i="8"/>
  <c r="D710" i="38"/>
  <c r="D710" i="39"/>
  <c r="E701" i="8"/>
  <c r="E711" i="8"/>
  <c r="E711" i="38"/>
  <c r="E711" i="39"/>
  <c r="F697" i="8"/>
  <c r="F707" i="8"/>
  <c r="F707" i="38"/>
  <c r="F707" i="39"/>
  <c r="F698" i="8"/>
  <c r="F708" i="8"/>
  <c r="F708" i="38"/>
  <c r="F708" i="39"/>
  <c r="G701" i="8"/>
  <c r="G711" i="8"/>
  <c r="G711" i="38"/>
  <c r="G711" i="39"/>
  <c r="F701" i="8"/>
  <c r="F711" i="8"/>
  <c r="F711" i="38"/>
  <c r="F711" i="39"/>
  <c r="G699" i="8"/>
  <c r="G709" i="8"/>
  <c r="G709" i="38"/>
  <c r="G709" i="39"/>
  <c r="F700" i="8"/>
  <c r="F710" i="8"/>
  <c r="F710" i="38"/>
  <c r="F710" i="39"/>
  <c r="G697" i="8"/>
  <c r="G707" i="8"/>
  <c r="G707" i="38"/>
  <c r="G707" i="39"/>
  <c r="G698" i="8"/>
  <c r="G708" i="8"/>
  <c r="G708" i="38"/>
  <c r="G708" i="39"/>
  <c r="J703" i="8"/>
  <c r="J713" i="8"/>
  <c r="J713" i="38"/>
  <c r="J713" i="39"/>
  <c r="G700" i="8"/>
  <c r="G710" i="8"/>
  <c r="G710" i="38"/>
  <c r="G710" i="39"/>
  <c r="H702" i="8"/>
  <c r="H712" i="8"/>
  <c r="H712" i="38"/>
  <c r="H712" i="39"/>
  <c r="I702" i="8"/>
  <c r="I712" i="8"/>
  <c r="I712" i="38"/>
  <c r="I712" i="39"/>
  <c r="G703" i="8"/>
  <c r="G713" i="8"/>
  <c r="G713" i="38"/>
  <c r="G713" i="39"/>
  <c r="I697" i="8"/>
  <c r="I707" i="8"/>
  <c r="I707" i="38"/>
  <c r="I707" i="39"/>
  <c r="G702" i="8"/>
  <c r="G712" i="8"/>
  <c r="G712" i="38"/>
  <c r="G712" i="39"/>
  <c r="I703" i="8"/>
  <c r="I713" i="8"/>
  <c r="I713" i="38"/>
  <c r="I713" i="39"/>
  <c r="H697" i="8"/>
  <c r="H707" i="8"/>
  <c r="H707" i="38"/>
  <c r="H707" i="39"/>
  <c r="I698" i="8"/>
  <c r="I708" i="8"/>
  <c r="I708" i="38"/>
  <c r="I708" i="39"/>
  <c r="I701" i="8"/>
  <c r="I711" i="8"/>
  <c r="I711" i="38"/>
  <c r="I711" i="39"/>
  <c r="H703" i="8"/>
  <c r="H713" i="8"/>
  <c r="H713" i="38"/>
  <c r="H713" i="39"/>
  <c r="I700" i="8"/>
  <c r="I710" i="8"/>
  <c r="I710" i="38"/>
  <c r="I710" i="39"/>
  <c r="H698" i="8"/>
  <c r="H708" i="8"/>
  <c r="H708" i="38"/>
  <c r="H708" i="39"/>
  <c r="H700" i="8"/>
  <c r="H710" i="8"/>
  <c r="H710" i="38"/>
  <c r="H710" i="39"/>
  <c r="H701" i="8"/>
  <c r="H711" i="8"/>
  <c r="H711" i="38"/>
  <c r="H711" i="39"/>
  <c r="J702" i="8"/>
  <c r="J712" i="8"/>
  <c r="J712" i="38"/>
  <c r="J712" i="39"/>
  <c r="H699" i="8"/>
  <c r="H709" i="8"/>
  <c r="H709" i="38"/>
  <c r="H709" i="39"/>
  <c r="I699" i="8"/>
  <c r="I709" i="8"/>
  <c r="I709" i="38"/>
  <c r="I709" i="39"/>
  <c r="K701" i="8"/>
  <c r="K711" i="8"/>
  <c r="K711" i="38"/>
  <c r="K711" i="39"/>
  <c r="J700" i="8"/>
  <c r="J710" i="8"/>
  <c r="J710" i="38"/>
  <c r="J710" i="39"/>
  <c r="K703" i="8"/>
  <c r="K713" i="8"/>
  <c r="K713" i="38"/>
  <c r="K713" i="39"/>
  <c r="J697" i="8"/>
  <c r="J707" i="8"/>
  <c r="J707" i="38"/>
  <c r="J707" i="39"/>
  <c r="J701" i="8"/>
  <c r="J711" i="8"/>
  <c r="J711" i="38"/>
  <c r="J711" i="39"/>
  <c r="J698" i="8"/>
  <c r="J708" i="8"/>
  <c r="J708" i="38"/>
  <c r="J708" i="39"/>
  <c r="J699" i="8"/>
  <c r="J709" i="8"/>
  <c r="J709" i="38"/>
  <c r="J709" i="39"/>
  <c r="K698" i="8"/>
  <c r="K708" i="8"/>
  <c r="K708" i="38"/>
  <c r="K708" i="39"/>
  <c r="K697" i="8"/>
  <c r="K707" i="8"/>
  <c r="K707" i="38"/>
  <c r="K707" i="39"/>
  <c r="K699" i="8"/>
  <c r="K709" i="8"/>
  <c r="K709" i="38"/>
  <c r="K709" i="39"/>
  <c r="K702" i="8"/>
  <c r="K712" i="8"/>
  <c r="K712" i="38"/>
  <c r="K712" i="39"/>
  <c r="K700" i="8"/>
  <c r="K710" i="8"/>
  <c r="K710" i="38"/>
  <c r="K710" i="39"/>
  <c r="B700" i="8"/>
  <c r="B710" i="8"/>
  <c r="L710" i="8"/>
  <c r="B710" i="38"/>
  <c r="L710" i="38"/>
  <c r="L710" i="39"/>
  <c r="B702" i="8"/>
  <c r="B712" i="8"/>
  <c r="L712" i="8"/>
  <c r="B712" i="38"/>
  <c r="L712" i="38"/>
  <c r="L712" i="39"/>
  <c r="B699" i="8"/>
  <c r="B709" i="8"/>
  <c r="L709" i="8"/>
  <c r="B709" i="38"/>
  <c r="L709" i="38"/>
  <c r="L709" i="39"/>
  <c r="B697" i="8"/>
  <c r="B707" i="8"/>
  <c r="L707" i="8"/>
  <c r="B707" i="38"/>
  <c r="L707" i="38"/>
  <c r="L707" i="39"/>
  <c r="B698" i="8"/>
  <c r="B708" i="8"/>
  <c r="L708" i="8"/>
  <c r="B708" i="38"/>
  <c r="L708" i="38"/>
  <c r="L708" i="39"/>
  <c r="B701" i="8"/>
  <c r="B711" i="8"/>
  <c r="L711" i="8"/>
  <c r="B711" i="38"/>
  <c r="L711" i="38"/>
  <c r="L711" i="39"/>
  <c r="B703" i="8"/>
  <c r="B713" i="8"/>
  <c r="L713" i="8"/>
  <c r="B713" i="38"/>
  <c r="L713" i="38"/>
  <c r="L713" i="39"/>
  <c r="B712" i="39"/>
  <c r="B709" i="39"/>
  <c r="B707" i="39"/>
  <c r="B713" i="39"/>
  <c r="B710" i="39"/>
  <c r="B711" i="39"/>
  <c r="B708" i="39"/>
  <c r="K672" i="39"/>
  <c r="K674" i="39"/>
  <c r="K671" i="39"/>
  <c r="K669" i="39"/>
  <c r="K670" i="39"/>
  <c r="K675" i="39"/>
  <c r="J671" i="39"/>
  <c r="J673" i="39"/>
  <c r="J670" i="39"/>
  <c r="J669" i="39"/>
  <c r="J672" i="39"/>
  <c r="K673" i="39"/>
  <c r="H675" i="39"/>
  <c r="J674" i="39"/>
  <c r="J675" i="39"/>
  <c r="I675" i="39"/>
  <c r="I671" i="39"/>
  <c r="I670" i="39"/>
  <c r="H672" i="39"/>
  <c r="H671" i="39"/>
  <c r="H670" i="39"/>
  <c r="H673" i="39"/>
  <c r="I673" i="39"/>
  <c r="I672" i="39"/>
  <c r="H669" i="39"/>
  <c r="I669" i="39"/>
  <c r="H674" i="39"/>
  <c r="G675" i="39"/>
  <c r="G674" i="39"/>
  <c r="G672" i="39"/>
  <c r="I674" i="39"/>
  <c r="G670" i="39"/>
  <c r="G673" i="39"/>
  <c r="F670" i="39"/>
  <c r="G671" i="39"/>
  <c r="F673" i="39"/>
  <c r="F672" i="39"/>
  <c r="G669" i="39"/>
  <c r="F669" i="39"/>
  <c r="F674" i="39"/>
  <c r="E671" i="39"/>
  <c r="D673" i="39"/>
  <c r="E673" i="39"/>
  <c r="E672" i="39"/>
  <c r="F671" i="39"/>
  <c r="E674" i="39"/>
  <c r="E669" i="39"/>
  <c r="D670" i="39"/>
  <c r="E670" i="39"/>
  <c r="D672" i="39"/>
  <c r="F675" i="39"/>
  <c r="E675" i="39"/>
  <c r="D671" i="39"/>
  <c r="D674" i="39"/>
  <c r="C670" i="39"/>
  <c r="D669" i="39"/>
  <c r="C671" i="39"/>
  <c r="D675" i="39"/>
  <c r="C673" i="39"/>
  <c r="C675" i="39"/>
  <c r="C669" i="39"/>
  <c r="C672" i="39"/>
  <c r="C674" i="39"/>
  <c r="C683" i="39"/>
  <c r="C681" i="39"/>
  <c r="C684" i="39"/>
  <c r="C682" i="39"/>
  <c r="C678" i="39"/>
  <c r="C700" i="38"/>
  <c r="C700" i="39"/>
  <c r="C703" i="38"/>
  <c r="C703" i="39"/>
  <c r="C701" i="38"/>
  <c r="C701" i="39"/>
  <c r="C702" i="38"/>
  <c r="C702" i="39"/>
  <c r="C697" i="38"/>
  <c r="C697" i="39"/>
  <c r="K681" i="39"/>
  <c r="K683" i="39"/>
  <c r="K679" i="39"/>
  <c r="K678" i="39"/>
  <c r="K680" i="39"/>
  <c r="J680" i="39"/>
  <c r="K684" i="39"/>
  <c r="J678" i="39"/>
  <c r="J679" i="39"/>
  <c r="J681" i="39"/>
  <c r="K682" i="39"/>
  <c r="J682" i="39"/>
  <c r="H684" i="39"/>
  <c r="H679" i="39"/>
  <c r="I680" i="39"/>
  <c r="J683" i="39"/>
  <c r="J684" i="39"/>
  <c r="I682" i="39"/>
  <c r="H682" i="39"/>
  <c r="I679" i="39"/>
  <c r="H681" i="39"/>
  <c r="I684" i="39"/>
  <c r="I681" i="39"/>
  <c r="H680" i="39"/>
  <c r="I678" i="39"/>
  <c r="H678" i="39"/>
  <c r="G684" i="39"/>
  <c r="I683" i="39"/>
  <c r="G681" i="39"/>
  <c r="H683" i="39"/>
  <c r="G683" i="39"/>
  <c r="G679" i="39"/>
  <c r="F681" i="39"/>
  <c r="G682" i="39"/>
  <c r="F679" i="39"/>
  <c r="G680" i="39"/>
  <c r="F682" i="39"/>
  <c r="G678" i="39"/>
  <c r="F678" i="39"/>
  <c r="F683" i="39"/>
  <c r="E680" i="39"/>
  <c r="D681" i="39"/>
  <c r="E683" i="39"/>
  <c r="E681" i="39"/>
  <c r="D679" i="39"/>
  <c r="E682" i="39"/>
  <c r="F680" i="39"/>
  <c r="D682" i="39"/>
  <c r="F684" i="39"/>
  <c r="E678" i="39"/>
  <c r="E679" i="39"/>
  <c r="E684" i="39"/>
  <c r="C680" i="39"/>
  <c r="D684" i="39"/>
  <c r="D678" i="39"/>
  <c r="C679" i="39"/>
  <c r="D683" i="39"/>
  <c r="D680" i="39"/>
  <c r="C698" i="38"/>
  <c r="C698" i="39"/>
  <c r="D702" i="38"/>
  <c r="D702" i="39"/>
  <c r="C699" i="38"/>
  <c r="C699" i="39"/>
  <c r="D703" i="38"/>
  <c r="D703" i="39"/>
  <c r="D697" i="38"/>
  <c r="D697" i="39"/>
  <c r="D699" i="38"/>
  <c r="D699" i="39"/>
  <c r="E703" i="38"/>
  <c r="E703" i="39"/>
  <c r="D698" i="38"/>
  <c r="D698" i="39"/>
  <c r="E697" i="38"/>
  <c r="E697" i="39"/>
  <c r="E698" i="38"/>
  <c r="E698" i="39"/>
  <c r="E700" i="38"/>
  <c r="E700" i="39"/>
  <c r="E702" i="38"/>
  <c r="E702" i="39"/>
  <c r="E701" i="38"/>
  <c r="E701" i="39"/>
  <c r="F703" i="38"/>
  <c r="F703" i="39"/>
  <c r="F699" i="38"/>
  <c r="F699" i="39"/>
  <c r="E699" i="38"/>
  <c r="E699" i="39"/>
  <c r="D700" i="38"/>
  <c r="D700" i="39"/>
  <c r="D701" i="38"/>
  <c r="D701" i="39"/>
  <c r="F702" i="38"/>
  <c r="F702" i="39"/>
  <c r="F697" i="38"/>
  <c r="F697" i="39"/>
  <c r="G697" i="38"/>
  <c r="G697" i="39"/>
  <c r="F700" i="38"/>
  <c r="F700" i="39"/>
  <c r="G701" i="38"/>
  <c r="G701" i="39"/>
  <c r="F698" i="38"/>
  <c r="F698" i="39"/>
  <c r="F701" i="38"/>
  <c r="F701" i="39"/>
  <c r="G699" i="38"/>
  <c r="G699" i="39"/>
  <c r="I697" i="38"/>
  <c r="I697" i="39"/>
  <c r="H702" i="38"/>
  <c r="H702" i="39"/>
  <c r="G698" i="38"/>
  <c r="G698" i="39"/>
  <c r="G700" i="38"/>
  <c r="G700" i="39"/>
  <c r="G703" i="38"/>
  <c r="G703" i="39"/>
  <c r="I702" i="38"/>
  <c r="I702" i="39"/>
  <c r="G702" i="38"/>
  <c r="G702" i="39"/>
  <c r="H697" i="38"/>
  <c r="H697" i="39"/>
  <c r="H701" i="38"/>
  <c r="H701" i="39"/>
  <c r="I698" i="38"/>
  <c r="I698" i="39"/>
  <c r="H698" i="38"/>
  <c r="H698" i="39"/>
  <c r="J703" i="38"/>
  <c r="J703" i="39"/>
  <c r="H700" i="38"/>
  <c r="H700" i="39"/>
  <c r="J702" i="38"/>
  <c r="J702" i="39"/>
  <c r="I701" i="38"/>
  <c r="I701" i="39"/>
  <c r="I700" i="38"/>
  <c r="I700" i="39"/>
  <c r="H699" i="38"/>
  <c r="H699" i="39"/>
  <c r="H703" i="38"/>
  <c r="H703" i="39"/>
  <c r="I699" i="38"/>
  <c r="I699" i="39"/>
  <c r="I703" i="38"/>
  <c r="I703" i="39"/>
  <c r="J699" i="38"/>
  <c r="J699" i="39"/>
  <c r="J701" i="38"/>
  <c r="J701" i="39"/>
  <c r="K703" i="38"/>
  <c r="K703" i="39"/>
  <c r="J698" i="38"/>
  <c r="J698" i="39"/>
  <c r="J697" i="38"/>
  <c r="J697" i="39"/>
  <c r="J700" i="38"/>
  <c r="J700" i="39"/>
  <c r="K701" i="38"/>
  <c r="K701" i="39"/>
  <c r="K698" i="38"/>
  <c r="K698" i="39"/>
  <c r="K697" i="38"/>
  <c r="K697" i="39"/>
  <c r="K699" i="38"/>
  <c r="K699" i="39"/>
  <c r="K702" i="38"/>
  <c r="K702" i="39"/>
  <c r="K700" i="38"/>
  <c r="K700" i="39"/>
  <c r="B700" i="38"/>
  <c r="B700" i="39"/>
  <c r="B703" i="38"/>
  <c r="B703" i="39"/>
  <c r="B701" i="38"/>
  <c r="B701" i="39"/>
  <c r="B702" i="38"/>
  <c r="B702" i="39"/>
  <c r="B699" i="38"/>
  <c r="B699" i="39"/>
  <c r="B697" i="38"/>
  <c r="B697" i="39"/>
  <c r="B698" i="38"/>
  <c r="B698" i="39"/>
  <c r="B680" i="39"/>
  <c r="B678" i="39"/>
  <c r="B683" i="39"/>
  <c r="B682" i="39"/>
  <c r="B684" i="39"/>
  <c r="B681" i="39"/>
  <c r="B679" i="39"/>
  <c r="B669" i="39"/>
  <c r="B671" i="39"/>
  <c r="B674" i="39"/>
  <c r="B670" i="39"/>
  <c r="B673" i="39"/>
  <c r="B672" i="39"/>
  <c r="B675" i="39"/>
  <c r="M23" i="33"/>
  <c r="M22" i="33"/>
  <c r="L23" i="33"/>
  <c r="M20" i="33"/>
  <c r="L22" i="33"/>
  <c r="L20" i="33"/>
  <c r="K23" i="33"/>
  <c r="K22" i="33"/>
  <c r="K20" i="33"/>
  <c r="J23" i="33"/>
  <c r="J22" i="33"/>
  <c r="I23" i="33"/>
  <c r="J20" i="33"/>
  <c r="I22" i="33"/>
  <c r="H23" i="33"/>
  <c r="I20" i="33"/>
  <c r="H22" i="33"/>
  <c r="G23" i="33"/>
  <c r="H20" i="33"/>
  <c r="G22" i="33"/>
  <c r="F23" i="33"/>
  <c r="G20" i="33"/>
  <c r="F22" i="33"/>
  <c r="E23" i="33"/>
  <c r="F20" i="33"/>
  <c r="E22" i="33"/>
  <c r="D23" i="33"/>
  <c r="E20" i="33"/>
  <c r="D173" i="34"/>
  <c r="E173" i="34"/>
  <c r="F173" i="34"/>
  <c r="G173" i="34"/>
  <c r="H173" i="34"/>
  <c r="I173" i="34"/>
  <c r="J173" i="34"/>
  <c r="K173" i="34"/>
  <c r="L173" i="34"/>
  <c r="C176" i="34"/>
  <c r="C174" i="34"/>
  <c r="C179" i="34"/>
  <c r="C180" i="34"/>
  <c r="C175" i="34"/>
  <c r="C178" i="34"/>
  <c r="C177" i="34"/>
  <c r="C173" i="34"/>
  <c r="D177" i="34"/>
  <c r="D179" i="34"/>
  <c r="D180" i="34"/>
  <c r="D174" i="34"/>
  <c r="D178" i="34"/>
  <c r="D176" i="34"/>
  <c r="D175" i="34"/>
  <c r="F179" i="34"/>
  <c r="E178" i="34"/>
  <c r="E176" i="34"/>
  <c r="F180" i="34"/>
  <c r="F174" i="34"/>
  <c r="E179" i="34"/>
  <c r="E175" i="34"/>
  <c r="E180" i="34"/>
  <c r="E174" i="34"/>
  <c r="E177" i="34"/>
  <c r="G176" i="34"/>
  <c r="G174" i="34"/>
  <c r="F176" i="34"/>
  <c r="G179" i="34"/>
  <c r="F178" i="34"/>
  <c r="F177" i="34"/>
  <c r="G180" i="34"/>
  <c r="F175" i="34"/>
  <c r="G178" i="34"/>
  <c r="G177" i="34"/>
  <c r="G175" i="34"/>
  <c r="H174" i="34"/>
  <c r="H176" i="34"/>
  <c r="H179" i="34"/>
  <c r="H178" i="34"/>
  <c r="H180" i="34"/>
  <c r="H175" i="34"/>
  <c r="H177" i="34"/>
  <c r="J176" i="34"/>
  <c r="J175" i="34"/>
  <c r="I177" i="34"/>
  <c r="J178" i="34"/>
  <c r="I176" i="34"/>
  <c r="J180" i="34"/>
  <c r="I179" i="34"/>
  <c r="I175" i="34"/>
  <c r="I174" i="34"/>
  <c r="J174" i="34"/>
  <c r="I178" i="34"/>
  <c r="J177" i="34"/>
  <c r="J179" i="34"/>
  <c r="I180" i="34"/>
  <c r="K180" i="34"/>
  <c r="K177" i="34"/>
  <c r="K178" i="34"/>
  <c r="K179" i="34"/>
  <c r="K175" i="34"/>
  <c r="K174" i="34"/>
  <c r="K176" i="34"/>
  <c r="L178" i="34"/>
  <c r="L180" i="34"/>
  <c r="L176" i="34"/>
  <c r="L174" i="34"/>
  <c r="L177" i="34"/>
  <c r="L179" i="34"/>
  <c r="L175" i="34"/>
  <c r="D22" i="33"/>
  <c r="D21" i="33"/>
  <c r="E16" i="33"/>
  <c r="F21" i="33"/>
  <c r="J21" i="33"/>
  <c r="H21" i="33"/>
  <c r="L21" i="33"/>
  <c r="M21" i="33"/>
  <c r="E21" i="33"/>
  <c r="I21" i="33"/>
  <c r="G21" i="33"/>
  <c r="K21" i="33"/>
  <c r="F16" i="33"/>
  <c r="F19" i="33"/>
  <c r="G16" i="33"/>
  <c r="G19" i="33"/>
  <c r="H16" i="33"/>
  <c r="H19" i="33"/>
  <c r="I16" i="33"/>
  <c r="I19" i="33"/>
  <c r="J16" i="33"/>
  <c r="J19" i="33"/>
  <c r="K19" i="33"/>
  <c r="K16" i="33"/>
  <c r="L19" i="33"/>
  <c r="M16" i="4"/>
  <c r="M16" i="29"/>
  <c r="M16" i="33"/>
  <c r="L16" i="33"/>
  <c r="M19" i="33"/>
  <c r="B170" i="7" a="1"/>
  <c r="D176" i="7"/>
  <c r="B170" i="35" a="1"/>
  <c r="D176" i="35"/>
  <c r="D176" i="37"/>
  <c r="E174" i="7"/>
  <c r="E174" i="35"/>
  <c r="E174" i="37"/>
  <c r="J173" i="7"/>
  <c r="J173" i="35"/>
  <c r="J173" i="37"/>
  <c r="I173" i="7"/>
  <c r="I173" i="35"/>
  <c r="I173" i="37"/>
  <c r="G175" i="7"/>
  <c r="G175" i="35"/>
  <c r="G175" i="37"/>
  <c r="D174" i="7"/>
  <c r="D174" i="35"/>
  <c r="D174" i="37"/>
  <c r="H175" i="7"/>
  <c r="H175" i="35"/>
  <c r="H175" i="37"/>
  <c r="D177" i="7"/>
  <c r="D177" i="35"/>
  <c r="D177" i="37"/>
  <c r="H174" i="7"/>
  <c r="H174" i="35"/>
  <c r="H174" i="37"/>
  <c r="F174" i="7"/>
  <c r="F174" i="35"/>
  <c r="F174" i="37"/>
  <c r="I172" i="7"/>
  <c r="I172" i="35"/>
  <c r="I172" i="37"/>
  <c r="F177" i="7"/>
  <c r="F177" i="35"/>
  <c r="F177" i="37"/>
  <c r="I171" i="7"/>
  <c r="I171" i="35"/>
  <c r="I171" i="37"/>
  <c r="F175" i="7"/>
  <c r="F175" i="35"/>
  <c r="F175" i="37"/>
  <c r="F176" i="7"/>
  <c r="F176" i="35"/>
  <c r="F176" i="37"/>
  <c r="K174" i="7"/>
  <c r="K174" i="35"/>
  <c r="K174" i="37"/>
  <c r="K176" i="7"/>
  <c r="K176" i="35"/>
  <c r="K176" i="37"/>
  <c r="D173" i="7"/>
  <c r="D173" i="35"/>
  <c r="D173" i="37"/>
  <c r="C172" i="7"/>
  <c r="C172" i="35"/>
  <c r="C172" i="37"/>
  <c r="D175" i="7"/>
  <c r="D175" i="35"/>
  <c r="D175" i="37"/>
  <c r="F172" i="7"/>
  <c r="F172" i="35"/>
  <c r="F172" i="37"/>
  <c r="C174" i="7"/>
  <c r="C174" i="35"/>
  <c r="C174" i="37"/>
  <c r="J171" i="7"/>
  <c r="J171" i="35"/>
  <c r="J171" i="37"/>
  <c r="E175" i="7"/>
  <c r="E175" i="35"/>
  <c r="E175" i="37"/>
  <c r="J172" i="7"/>
  <c r="J172" i="35"/>
  <c r="J172" i="37"/>
  <c r="J175" i="7"/>
  <c r="J175" i="35"/>
  <c r="J175" i="37"/>
  <c r="H173" i="7"/>
  <c r="H173" i="35"/>
  <c r="H173" i="37"/>
  <c r="G177" i="7"/>
  <c r="G177" i="35"/>
  <c r="G177" i="37"/>
  <c r="E173" i="7"/>
  <c r="E173" i="35"/>
  <c r="E173" i="37"/>
  <c r="D172" i="7"/>
  <c r="D172" i="35"/>
  <c r="D172" i="37"/>
  <c r="C173" i="7"/>
  <c r="C173" i="35"/>
  <c r="C173" i="37"/>
  <c r="K177" i="7"/>
  <c r="K177" i="35"/>
  <c r="K177" i="37"/>
  <c r="H172" i="7"/>
  <c r="H172" i="35"/>
  <c r="H172" i="37"/>
  <c r="C176" i="7"/>
  <c r="C176" i="35"/>
  <c r="C176" i="37"/>
  <c r="G174" i="7"/>
  <c r="G174" i="35"/>
  <c r="G174" i="37"/>
  <c r="I177" i="7"/>
  <c r="I177" i="35"/>
  <c r="I177" i="37"/>
  <c r="I175" i="7"/>
  <c r="I175" i="35"/>
  <c r="I175" i="37"/>
  <c r="F171" i="7"/>
  <c r="F171" i="35"/>
  <c r="F171" i="37"/>
  <c r="G171" i="7"/>
  <c r="G171" i="35"/>
  <c r="G171" i="37"/>
  <c r="D171" i="7"/>
  <c r="D171" i="35"/>
  <c r="D171" i="37"/>
  <c r="J177" i="7"/>
  <c r="J177" i="35"/>
  <c r="J177" i="37"/>
  <c r="G172" i="7"/>
  <c r="G172" i="35"/>
  <c r="G172" i="37"/>
  <c r="I176" i="7"/>
  <c r="I176" i="35"/>
  <c r="I176" i="37"/>
  <c r="C171" i="7"/>
  <c r="C171" i="35"/>
  <c r="C171" i="37"/>
  <c r="C177" i="7"/>
  <c r="C177" i="35"/>
  <c r="C177" i="37"/>
  <c r="E172" i="7"/>
  <c r="E172" i="35"/>
  <c r="E172" i="37"/>
  <c r="K171" i="7"/>
  <c r="K171" i="35"/>
  <c r="K171" i="37"/>
  <c r="E171" i="7"/>
  <c r="E171" i="35"/>
  <c r="E171" i="37"/>
  <c r="K172" i="7"/>
  <c r="K172" i="35"/>
  <c r="K172" i="37"/>
  <c r="F173" i="7"/>
  <c r="F173" i="35"/>
  <c r="F173" i="37"/>
  <c r="H171" i="7"/>
  <c r="H171" i="35"/>
  <c r="H171" i="37"/>
  <c r="E177" i="7"/>
  <c r="E177" i="35"/>
  <c r="E177" i="37"/>
  <c r="J176" i="7"/>
  <c r="J176" i="35"/>
  <c r="J176" i="37"/>
  <c r="J174" i="7"/>
  <c r="J174" i="35"/>
  <c r="J174" i="37"/>
  <c r="E176" i="7"/>
  <c r="E176" i="35"/>
  <c r="E176" i="37"/>
  <c r="I174" i="7"/>
  <c r="I174" i="35"/>
  <c r="I174" i="37"/>
  <c r="K175" i="7"/>
  <c r="K175" i="35"/>
  <c r="K175" i="37"/>
  <c r="K173" i="7"/>
  <c r="K173" i="35"/>
  <c r="K173" i="37"/>
  <c r="G176" i="7"/>
  <c r="G176" i="35"/>
  <c r="G176" i="37"/>
  <c r="H177" i="7"/>
  <c r="H177" i="35"/>
  <c r="H177" i="37"/>
  <c r="H176" i="7"/>
  <c r="H176" i="35"/>
  <c r="H176" i="37"/>
  <c r="C175" i="7"/>
  <c r="C175" i="35"/>
  <c r="C175" i="37"/>
  <c r="D170" i="7"/>
  <c r="D170" i="35"/>
  <c r="D170" i="37"/>
  <c r="D178" i="7"/>
  <c r="D178" i="35"/>
  <c r="D178" i="37"/>
  <c r="G170" i="7"/>
  <c r="G173" i="7"/>
  <c r="G178" i="7"/>
  <c r="G170" i="35"/>
  <c r="G173" i="35"/>
  <c r="G178" i="35"/>
  <c r="G178" i="37"/>
  <c r="G170" i="37"/>
  <c r="B173" i="7"/>
  <c r="L173" i="7"/>
  <c r="B173" i="35"/>
  <c r="L173" i="35"/>
  <c r="L173" i="37"/>
  <c r="B173" i="37"/>
  <c r="H170" i="7"/>
  <c r="H178" i="7"/>
  <c r="H170" i="35"/>
  <c r="H178" i="35"/>
  <c r="H178" i="37"/>
  <c r="H170" i="37"/>
  <c r="I170" i="7"/>
  <c r="I178" i="7"/>
  <c r="I170" i="35"/>
  <c r="I178" i="35"/>
  <c r="I178" i="37"/>
  <c r="I170" i="37"/>
  <c r="B171" i="7"/>
  <c r="B171" i="35"/>
  <c r="B171" i="37"/>
  <c r="L171" i="7"/>
  <c r="L171" i="35"/>
  <c r="L171" i="37"/>
  <c r="E170" i="7"/>
  <c r="E178" i="7"/>
  <c r="E170" i="35"/>
  <c r="E178" i="35"/>
  <c r="E178" i="37"/>
  <c r="E170" i="37"/>
  <c r="K170" i="7"/>
  <c r="K170" i="35"/>
  <c r="K170" i="37"/>
  <c r="K178" i="7"/>
  <c r="K178" i="35"/>
  <c r="K178" i="37"/>
  <c r="B174" i="7"/>
  <c r="L174" i="7"/>
  <c r="B174" i="35"/>
  <c r="L174" i="35"/>
  <c r="L174" i="37"/>
  <c r="B174" i="37"/>
  <c r="F170" i="7"/>
  <c r="F170" i="35"/>
  <c r="F170" i="37"/>
  <c r="F178" i="7"/>
  <c r="F178" i="35"/>
  <c r="F178" i="37"/>
  <c r="B176" i="7"/>
  <c r="L176" i="7"/>
  <c r="B176" i="35"/>
  <c r="L176" i="35"/>
  <c r="L176" i="37"/>
  <c r="B176" i="37"/>
  <c r="B177" i="7"/>
  <c r="L177" i="7"/>
  <c r="B177" i="35"/>
  <c r="L177" i="35"/>
  <c r="L177" i="37"/>
  <c r="B177" i="37"/>
  <c r="B172" i="7"/>
  <c r="B172" i="35"/>
  <c r="B172" i="37"/>
  <c r="L172" i="7"/>
  <c r="L172" i="35"/>
  <c r="L172" i="37"/>
  <c r="J170" i="7"/>
  <c r="J178" i="7"/>
  <c r="J170" i="35"/>
  <c r="J178" i="35"/>
  <c r="J178" i="37"/>
  <c r="J170" i="37"/>
  <c r="B175" i="7"/>
  <c r="L175" i="7"/>
  <c r="B175" i="35"/>
  <c r="L175" i="35"/>
  <c r="L175" i="37"/>
  <c r="B175" i="37"/>
  <c r="C170" i="7"/>
  <c r="C178" i="7"/>
  <c r="C170" i="35"/>
  <c r="C178" i="35"/>
  <c r="C178" i="37"/>
  <c r="C170" i="37"/>
  <c r="G173" i="37"/>
  <c r="B170" i="7"/>
  <c r="B170" i="35"/>
  <c r="B170" i="37"/>
  <c r="L170" i="7"/>
  <c r="L170" i="35"/>
  <c r="L170" i="37"/>
  <c r="B178" i="7"/>
  <c r="L178" i="7"/>
  <c r="B178" i="35"/>
  <c r="L178" i="35"/>
  <c r="L178" i="37"/>
  <c r="B178" i="37"/>
  <c r="K15" i="33"/>
  <c r="G15" i="33"/>
  <c r="I15" i="33"/>
  <c r="E15" i="33"/>
  <c r="M15" i="33"/>
  <c r="L15" i="33"/>
  <c r="H15" i="33"/>
  <c r="J15" i="33"/>
  <c r="F15" i="33"/>
  <c r="L179" i="7"/>
  <c r="L179" i="35"/>
  <c r="L179" i="37"/>
  <c r="AAF2" i="77"/>
  <c r="L33" i="9"/>
  <c r="AAE2" i="77"/>
  <c r="ZX2" i="77"/>
  <c r="L22" i="9"/>
  <c r="ZW2" i="77"/>
  <c r="ZP2" i="77"/>
  <c r="L11" i="9"/>
  <c r="ZO2" i="77"/>
  <c r="XB2" i="77"/>
  <c r="XA2" i="77"/>
  <c r="WZ2" i="77"/>
  <c r="WY2" i="77"/>
  <c r="WX2" i="77"/>
  <c r="WW2" i="77"/>
  <c r="WV2" i="77"/>
  <c r="WU2" i="77"/>
  <c r="WT2" i="77"/>
  <c r="WS2" i="77"/>
  <c r="WR2" i="77"/>
  <c r="WQ2" i="77"/>
  <c r="WP2" i="77"/>
  <c r="WO2" i="77"/>
  <c r="WN2" i="77"/>
  <c r="WM2" i="77"/>
  <c r="WL2" i="77"/>
  <c r="WK2" i="77"/>
  <c r="WJ2" i="77"/>
  <c r="WI2" i="77"/>
  <c r="WH2" i="77"/>
  <c r="WG2" i="77"/>
  <c r="WF2" i="77"/>
  <c r="WE2" i="77"/>
  <c r="WD2" i="77"/>
  <c r="WC2" i="77"/>
  <c r="WB2" i="77"/>
  <c r="WA2" i="77"/>
  <c r="VZ2" i="77"/>
  <c r="VY2" i="77"/>
  <c r="VX2" i="77"/>
  <c r="VW2" i="77"/>
  <c r="VV2" i="77"/>
  <c r="VU2" i="77"/>
  <c r="VT2" i="77"/>
  <c r="VS2" i="77"/>
  <c r="VR2" i="77"/>
  <c r="VQ2" i="77"/>
  <c r="VP2" i="77"/>
  <c r="VO2" i="77"/>
  <c r="D62" i="33"/>
  <c r="SN2" i="77"/>
  <c r="O62" i="33"/>
  <c r="SM2" i="77"/>
  <c r="D27" i="33"/>
  <c r="RT2" i="77"/>
  <c r="O27" i="33"/>
  <c r="RS2" i="77"/>
  <c r="D26" i="33"/>
  <c r="QZ2" i="77"/>
  <c r="O26" i="33"/>
  <c r="QY2" i="77"/>
  <c r="D137" i="29"/>
  <c r="D139" i="29"/>
  <c r="QF2" i="77"/>
  <c r="O139" i="29"/>
  <c r="QE2" i="77"/>
  <c r="PL2" i="77"/>
  <c r="O136" i="29"/>
  <c r="PK2" i="77"/>
  <c r="OR2" i="77"/>
  <c r="O134" i="29"/>
  <c r="OQ2" i="77"/>
  <c r="NZ2" i="77"/>
  <c r="P62" i="29"/>
  <c r="NY2" i="77"/>
  <c r="NF2" i="77"/>
  <c r="P27" i="29"/>
  <c r="NE2" i="77"/>
  <c r="ML2" i="77"/>
  <c r="P26" i="29"/>
  <c r="MK2" i="77"/>
  <c r="JH2" i="77"/>
  <c r="O62" i="4"/>
  <c r="JG2" i="77"/>
  <c r="IN2" i="77"/>
  <c r="O27" i="4"/>
  <c r="IM2" i="77"/>
  <c r="HT2" i="77"/>
  <c r="O26" i="4"/>
  <c r="HS2" i="77"/>
  <c r="E134" i="29" a="1"/>
  <c r="E134" i="29"/>
  <c r="E135" i="29"/>
  <c r="E136" i="29"/>
  <c r="F24" i="29"/>
  <c r="F25" i="29"/>
  <c r="F26" i="29"/>
  <c r="Q26" i="29"/>
  <c r="MM2" i="77"/>
  <c r="MN2" i="77"/>
  <c r="F27" i="29"/>
  <c r="Q27" i="29"/>
  <c r="NG2" i="77"/>
  <c r="NH2" i="77"/>
  <c r="F29" i="29"/>
  <c r="F30" i="29"/>
  <c r="F31" i="29"/>
  <c r="F34" i="29"/>
  <c r="F35" i="29"/>
  <c r="F36" i="29"/>
  <c r="F37" i="29"/>
  <c r="F48" i="29"/>
  <c r="F50" i="29"/>
  <c r="F39" i="29"/>
  <c r="F40" i="29"/>
  <c r="F41" i="29"/>
  <c r="F44" i="29"/>
  <c r="F45" i="29"/>
  <c r="F46" i="29"/>
  <c r="F47" i="29"/>
  <c r="F49" i="29"/>
  <c r="F51" i="29"/>
  <c r="F53" i="29"/>
  <c r="F54" i="29"/>
  <c r="F55" i="29"/>
  <c r="F58" i="29"/>
  <c r="F59" i="29"/>
  <c r="F60" i="29"/>
  <c r="F61" i="29"/>
  <c r="F62" i="29"/>
  <c r="Q62" i="29"/>
  <c r="OA2" i="77"/>
  <c r="OB2" i="77"/>
  <c r="P134" i="29"/>
  <c r="OS2" i="77"/>
  <c r="OT2" i="77"/>
  <c r="P136" i="29"/>
  <c r="PM2" i="77"/>
  <c r="PN2" i="77"/>
  <c r="E137" i="29"/>
  <c r="E139" i="29"/>
  <c r="P139" i="29"/>
  <c r="QG2" i="77"/>
  <c r="QH2" i="77"/>
  <c r="B696" i="8"/>
  <c r="B706" i="8"/>
  <c r="B714" i="8"/>
  <c r="C696" i="8"/>
  <c r="C706" i="8"/>
  <c r="C714" i="8"/>
  <c r="D696" i="8"/>
  <c r="D706" i="8"/>
  <c r="D714" i="8"/>
  <c r="E696" i="8"/>
  <c r="E706" i="8"/>
  <c r="E714" i="8"/>
  <c r="F696" i="8"/>
  <c r="F706" i="8"/>
  <c r="F714" i="8"/>
  <c r="G696" i="8"/>
  <c r="G706" i="8"/>
  <c r="G714" i="8"/>
  <c r="H696" i="8"/>
  <c r="H706" i="8"/>
  <c r="H714" i="8"/>
  <c r="I696" i="8"/>
  <c r="I706" i="8"/>
  <c r="I714" i="8"/>
  <c r="J696" i="8"/>
  <c r="J706" i="8"/>
  <c r="J714" i="8"/>
  <c r="K696" i="8"/>
  <c r="K706" i="8"/>
  <c r="K714" i="8"/>
  <c r="L715" i="8"/>
  <c r="L10" i="9"/>
  <c r="ZM2" i="77"/>
  <c r="ZN2" i="77"/>
  <c r="B706" i="38"/>
  <c r="B714" i="38"/>
  <c r="C706" i="38"/>
  <c r="C714" i="38"/>
  <c r="D706" i="38"/>
  <c r="D714" i="38"/>
  <c r="E706" i="38"/>
  <c r="E714" i="38"/>
  <c r="F706" i="38"/>
  <c r="F714" i="38"/>
  <c r="G706" i="38"/>
  <c r="G714" i="38"/>
  <c r="H706" i="38"/>
  <c r="H714" i="38"/>
  <c r="I706" i="38"/>
  <c r="I714" i="38"/>
  <c r="J706" i="38"/>
  <c r="J714" i="38"/>
  <c r="K706" i="38"/>
  <c r="K714" i="38"/>
  <c r="L715" i="38"/>
  <c r="L21" i="9"/>
  <c r="ZU2" i="77"/>
  <c r="ZV2" i="77"/>
  <c r="L715" i="39"/>
  <c r="L32" i="9"/>
  <c r="AAC2" i="77"/>
  <c r="AAD2" i="77"/>
  <c r="C696" i="38"/>
  <c r="C696" i="39"/>
  <c r="C704" i="38"/>
  <c r="C704" i="8"/>
  <c r="C704" i="39"/>
  <c r="D696" i="38"/>
  <c r="D696" i="39"/>
  <c r="E696" i="38"/>
  <c r="E696" i="39"/>
  <c r="E704" i="38"/>
  <c r="E704" i="8"/>
  <c r="E704" i="39"/>
  <c r="D704" i="38"/>
  <c r="D704" i="8"/>
  <c r="D704" i="39"/>
  <c r="F696" i="38"/>
  <c r="F696" i="39"/>
  <c r="I696" i="38"/>
  <c r="I696" i="39"/>
  <c r="G696" i="38"/>
  <c r="G696" i="39"/>
  <c r="F704" i="38"/>
  <c r="F704" i="8"/>
  <c r="F704" i="39"/>
  <c r="H696" i="38"/>
  <c r="H696" i="39"/>
  <c r="H704" i="38"/>
  <c r="H704" i="8"/>
  <c r="H704" i="39"/>
  <c r="J696" i="38"/>
  <c r="J696" i="39"/>
  <c r="G704" i="38"/>
  <c r="G704" i="8"/>
  <c r="G704" i="39"/>
  <c r="I704" i="38"/>
  <c r="I704" i="8"/>
  <c r="I704" i="39"/>
  <c r="J704" i="38"/>
  <c r="J704" i="8"/>
  <c r="J704" i="39"/>
  <c r="K696" i="38"/>
  <c r="K696" i="39"/>
  <c r="K704" i="38"/>
  <c r="K704" i="8"/>
  <c r="K704" i="39"/>
  <c r="B696" i="38"/>
  <c r="B696" i="39"/>
  <c r="B704" i="38"/>
  <c r="B704" i="8"/>
  <c r="B704" i="39"/>
  <c r="B714" i="39"/>
  <c r="L706" i="38"/>
  <c r="L714" i="38"/>
  <c r="L706" i="8"/>
  <c r="L714" i="8"/>
  <c r="L714" i="39"/>
  <c r="L706" i="39"/>
  <c r="B706" i="39"/>
  <c r="K714" i="39"/>
  <c r="K706" i="39"/>
  <c r="J714" i="39"/>
  <c r="H714" i="39"/>
  <c r="I714" i="39"/>
  <c r="G714" i="39"/>
  <c r="J706" i="39"/>
  <c r="H706" i="39"/>
  <c r="F714" i="39"/>
  <c r="G706" i="39"/>
  <c r="I706" i="39"/>
  <c r="F706" i="39"/>
  <c r="D714" i="39"/>
  <c r="E706" i="39"/>
  <c r="E714" i="39"/>
  <c r="D706" i="39"/>
  <c r="C714" i="39"/>
  <c r="C706" i="39"/>
  <c r="D118" i="4" a="1"/>
  <c r="D125" i="4"/>
  <c r="D125" i="33"/>
  <c r="D119" i="4"/>
  <c r="D119" i="33"/>
  <c r="D124" i="4"/>
  <c r="D124" i="33"/>
  <c r="D121" i="4"/>
  <c r="D121" i="33"/>
  <c r="D123" i="4"/>
  <c r="D123" i="33"/>
  <c r="D118" i="4"/>
  <c r="D118" i="33"/>
  <c r="D122" i="4"/>
  <c r="D122" i="33"/>
  <c r="D120" i="4"/>
  <c r="D120" i="33"/>
  <c r="D126" i="4"/>
  <c r="D126" i="33"/>
  <c r="D128" i="4"/>
  <c r="D128" i="33"/>
  <c r="D130" i="4"/>
  <c r="D130" i="33"/>
  <c r="D131" i="4"/>
  <c r="D131" i="33"/>
  <c r="D129" i="4"/>
  <c r="D129" i="33"/>
  <c r="D132" i="4"/>
  <c r="D132" i="33"/>
  <c r="D127" i="4"/>
  <c r="D127" i="33"/>
  <c r="D133" i="4"/>
  <c r="D133" i="33"/>
  <c r="C98" i="6"/>
  <c r="C98" i="34"/>
  <c r="C91" i="6"/>
  <c r="C91" i="34"/>
  <c r="C97" i="6"/>
  <c r="C97" i="34"/>
  <c r="C86" i="6"/>
  <c r="C86" i="34"/>
  <c r="C93" i="6"/>
  <c r="C93" i="34"/>
  <c r="C87" i="6"/>
  <c r="C87" i="34"/>
  <c r="C92" i="6"/>
  <c r="C92" i="34"/>
  <c r="C96" i="6"/>
  <c r="C96" i="34"/>
  <c r="C100" i="6"/>
  <c r="C100" i="34"/>
  <c r="C90" i="6"/>
  <c r="C90" i="34"/>
  <c r="C89" i="6"/>
  <c r="C89" i="34"/>
  <c r="C99" i="6"/>
  <c r="C99" i="34"/>
  <c r="C88" i="6"/>
  <c r="C88" i="34"/>
  <c r="C101" i="6"/>
  <c r="C101" i="34"/>
  <c r="C102" i="6"/>
  <c r="C102" i="34"/>
  <c r="C95" i="6"/>
  <c r="C95" i="34"/>
  <c r="C300" i="6"/>
  <c r="C300" i="34"/>
  <c r="C299" i="6"/>
  <c r="C299" i="34"/>
  <c r="C248" i="6"/>
  <c r="C248" i="34"/>
  <c r="C302" i="6"/>
  <c r="C302" i="34"/>
  <c r="C246" i="6"/>
  <c r="C246" i="34"/>
  <c r="C245" i="6"/>
  <c r="C245" i="34"/>
  <c r="C252" i="6"/>
  <c r="C252" i="34"/>
  <c r="C250" i="6"/>
  <c r="C250" i="34"/>
  <c r="C251" i="6"/>
  <c r="C251" i="34"/>
  <c r="C304" i="6"/>
  <c r="C304" i="34"/>
  <c r="C303" i="6"/>
  <c r="C303" i="34"/>
  <c r="C249" i="6"/>
  <c r="C249" i="34"/>
  <c r="C301" i="6"/>
  <c r="C301" i="34"/>
  <c r="C247" i="6"/>
  <c r="C247" i="34"/>
  <c r="C306" i="6"/>
  <c r="C306" i="34"/>
  <c r="C305" i="6"/>
  <c r="C305" i="34"/>
  <c r="C78" i="30"/>
  <c r="C192" i="30"/>
  <c r="C201" i="30"/>
  <c r="C84" i="30"/>
  <c r="C198" i="30"/>
  <c r="C207" i="30"/>
  <c r="C82" i="30"/>
  <c r="C196" i="30"/>
  <c r="C205" i="30"/>
  <c r="C79" i="30"/>
  <c r="C193" i="30"/>
  <c r="C202" i="30"/>
  <c r="C81" i="30"/>
  <c r="C195" i="30"/>
  <c r="C204" i="30"/>
  <c r="C80" i="30"/>
  <c r="C194" i="30"/>
  <c r="C203" i="30"/>
  <c r="C83" i="30"/>
  <c r="C197" i="30"/>
  <c r="C206" i="30"/>
  <c r="C77" i="30"/>
  <c r="C191" i="30"/>
  <c r="C200" i="30"/>
  <c r="C210" i="30"/>
  <c r="C219" i="30"/>
  <c r="C228" i="30"/>
  <c r="C237" i="30"/>
  <c r="C255" i="30"/>
  <c r="C215" i="30"/>
  <c r="C224" i="30"/>
  <c r="C233" i="30"/>
  <c r="C242" i="30"/>
  <c r="C260" i="30"/>
  <c r="C211" i="30"/>
  <c r="C220" i="30"/>
  <c r="C229" i="30"/>
  <c r="C238" i="30"/>
  <c r="C256" i="30"/>
  <c r="C214" i="30"/>
  <c r="C223" i="30"/>
  <c r="C232" i="30"/>
  <c r="C241" i="30"/>
  <c r="C259" i="30"/>
  <c r="C216" i="30"/>
  <c r="C225" i="30"/>
  <c r="C234" i="30"/>
  <c r="C243" i="30"/>
  <c r="C261" i="30"/>
  <c r="C212" i="30"/>
  <c r="C221" i="30"/>
  <c r="C230" i="30"/>
  <c r="C239" i="30"/>
  <c r="C257" i="30"/>
  <c r="C213" i="30"/>
  <c r="C222" i="30"/>
  <c r="C231" i="30"/>
  <c r="C240" i="30"/>
  <c r="C258" i="30"/>
  <c r="C266" i="30"/>
  <c r="C275" i="30"/>
  <c r="C264" i="30"/>
  <c r="C273" i="30"/>
  <c r="C269" i="30"/>
  <c r="C278" i="30"/>
  <c r="C265" i="30"/>
  <c r="C274" i="30"/>
  <c r="C270" i="30"/>
  <c r="C279" i="30"/>
  <c r="C267" i="30"/>
  <c r="C276" i="30"/>
  <c r="C268" i="30"/>
  <c r="C277" i="30"/>
  <c r="C284" i="30"/>
  <c r="C293" i="30"/>
  <c r="C311" i="30"/>
  <c r="C282" i="30"/>
  <c r="C291" i="30"/>
  <c r="C309" i="30"/>
  <c r="C287" i="30"/>
  <c r="C296" i="30"/>
  <c r="C314" i="30"/>
  <c r="C283" i="30"/>
  <c r="C292" i="30"/>
  <c r="C310" i="30"/>
  <c r="C288" i="30"/>
  <c r="C297" i="30"/>
  <c r="C315" i="30"/>
  <c r="C285" i="30"/>
  <c r="C294" i="30"/>
  <c r="C312" i="30"/>
  <c r="C286" i="30"/>
  <c r="C295" i="30"/>
  <c r="C313" i="30"/>
  <c r="C320" i="30"/>
  <c r="C329" i="30"/>
  <c r="C318" i="30"/>
  <c r="C327" i="30"/>
  <c r="C323" i="30"/>
  <c r="C332" i="30"/>
  <c r="C319" i="30"/>
  <c r="C328" i="30"/>
  <c r="C324" i="30"/>
  <c r="C333" i="30"/>
  <c r="C321" i="30"/>
  <c r="C330" i="30"/>
  <c r="C322" i="30"/>
  <c r="C331" i="30"/>
  <c r="C336" i="30"/>
  <c r="C345" i="30"/>
  <c r="C363" i="30"/>
  <c r="C337" i="30"/>
  <c r="C346" i="30"/>
  <c r="C364" i="30"/>
  <c r="C338" i="30"/>
  <c r="C347" i="30"/>
  <c r="C365" i="30"/>
  <c r="C339" i="30"/>
  <c r="C348" i="30"/>
  <c r="C366" i="30"/>
  <c r="C340" i="30"/>
  <c r="C349" i="30"/>
  <c r="C367" i="30"/>
  <c r="C341" i="30"/>
  <c r="C350" i="30"/>
  <c r="C368" i="30"/>
  <c r="C342" i="30"/>
  <c r="C351" i="30"/>
  <c r="C369" i="30"/>
  <c r="D104" i="30"/>
  <c r="D105" i="30"/>
  <c r="D108" i="30"/>
  <c r="G33" i="29"/>
  <c r="G43" i="29"/>
  <c r="G57" i="29"/>
  <c r="F108" i="29"/>
  <c r="F125" i="29"/>
  <c r="F133" i="29"/>
  <c r="E93" i="30"/>
  <c r="E252" i="30"/>
  <c r="E102" i="30"/>
  <c r="E306" i="30"/>
  <c r="F107" i="29"/>
  <c r="F124" i="29"/>
  <c r="F132" i="29"/>
  <c r="E92" i="30"/>
  <c r="E251" i="30"/>
  <c r="E101" i="30"/>
  <c r="E305" i="30"/>
  <c r="F106" i="29"/>
  <c r="F123" i="29"/>
  <c r="F131" i="29"/>
  <c r="E91" i="30"/>
  <c r="E250" i="30"/>
  <c r="E100" i="30"/>
  <c r="E304" i="30"/>
  <c r="F105" i="29"/>
  <c r="F122" i="29"/>
  <c r="F130" i="29"/>
  <c r="E90" i="30"/>
  <c r="E249" i="30"/>
  <c r="E99" i="30"/>
  <c r="E303" i="30"/>
  <c r="F104" i="29"/>
  <c r="F121" i="29"/>
  <c r="F129" i="29"/>
  <c r="E89" i="30"/>
  <c r="E248" i="30"/>
  <c r="E98" i="30"/>
  <c r="E302" i="30"/>
  <c r="F103" i="29"/>
  <c r="F120" i="29"/>
  <c r="F128" i="29"/>
  <c r="E88" i="30"/>
  <c r="E247" i="30"/>
  <c r="E97" i="30"/>
  <c r="E301" i="30"/>
  <c r="F102" i="29"/>
  <c r="F119" i="29"/>
  <c r="F127" i="29"/>
  <c r="E87" i="30"/>
  <c r="E246" i="30"/>
  <c r="E96" i="30"/>
  <c r="E300" i="30"/>
  <c r="F101" i="29"/>
  <c r="F118" i="29"/>
  <c r="F126" i="29"/>
  <c r="E86" i="30"/>
  <c r="E245" i="30"/>
  <c r="E95" i="30"/>
  <c r="E299" i="30"/>
  <c r="D77" i="30"/>
  <c r="D191" i="30"/>
  <c r="D200" i="30"/>
  <c r="D209" i="30"/>
  <c r="D218" i="30"/>
  <c r="D227" i="30"/>
  <c r="D236" i="30"/>
  <c r="D254" i="30"/>
  <c r="D263" i="30"/>
  <c r="D272" i="30"/>
  <c r="D281" i="30"/>
  <c r="D290" i="30"/>
  <c r="D308" i="30"/>
  <c r="D317" i="30"/>
  <c r="D326" i="30"/>
  <c r="D335" i="30"/>
  <c r="D344" i="30"/>
  <c r="D362" i="30"/>
  <c r="D83" i="30"/>
  <c r="D197" i="30"/>
  <c r="D206" i="30"/>
  <c r="D215" i="30"/>
  <c r="D224" i="30"/>
  <c r="D233" i="30"/>
  <c r="D242" i="30"/>
  <c r="D260" i="30"/>
  <c r="D269" i="30"/>
  <c r="D278" i="30"/>
  <c r="D287" i="30"/>
  <c r="D296" i="30"/>
  <c r="D314" i="30"/>
  <c r="D323" i="30"/>
  <c r="D332" i="30"/>
  <c r="D341" i="30"/>
  <c r="D350" i="30"/>
  <c r="D368" i="30"/>
  <c r="D81" i="30"/>
  <c r="D195" i="30"/>
  <c r="D204" i="30"/>
  <c r="D213" i="30"/>
  <c r="D222" i="30"/>
  <c r="D231" i="30"/>
  <c r="D240" i="30"/>
  <c r="D258" i="30"/>
  <c r="D267" i="30"/>
  <c r="D276" i="30"/>
  <c r="D285" i="30"/>
  <c r="D294" i="30"/>
  <c r="D312" i="30"/>
  <c r="D321" i="30"/>
  <c r="D330" i="30"/>
  <c r="D339" i="30"/>
  <c r="D348" i="30"/>
  <c r="D366" i="30"/>
  <c r="D82" i="30"/>
  <c r="D196" i="30"/>
  <c r="D205" i="30"/>
  <c r="D214" i="30"/>
  <c r="D223" i="30"/>
  <c r="D232" i="30"/>
  <c r="D241" i="30"/>
  <c r="D259" i="30"/>
  <c r="D268" i="30"/>
  <c r="D277" i="30"/>
  <c r="D286" i="30"/>
  <c r="D295" i="30"/>
  <c r="D313" i="30"/>
  <c r="D322" i="30"/>
  <c r="D331" i="30"/>
  <c r="D340" i="30"/>
  <c r="D349" i="30"/>
  <c r="D367" i="30"/>
  <c r="D80" i="30"/>
  <c r="D194" i="30"/>
  <c r="D203" i="30"/>
  <c r="D212" i="30"/>
  <c r="D221" i="30"/>
  <c r="D230" i="30"/>
  <c r="D239" i="30"/>
  <c r="D257" i="30"/>
  <c r="D266" i="30"/>
  <c r="D275" i="30"/>
  <c r="D284" i="30"/>
  <c r="D293" i="30"/>
  <c r="D311" i="30"/>
  <c r="D320" i="30"/>
  <c r="D329" i="30"/>
  <c r="D338" i="30"/>
  <c r="D347" i="30"/>
  <c r="D365" i="30"/>
  <c r="D79" i="30"/>
  <c r="D193" i="30"/>
  <c r="D202" i="30"/>
  <c r="D211" i="30"/>
  <c r="D220" i="30"/>
  <c r="D229" i="30"/>
  <c r="D238" i="30"/>
  <c r="D256" i="30"/>
  <c r="D265" i="30"/>
  <c r="D274" i="30"/>
  <c r="D283" i="30"/>
  <c r="D292" i="30"/>
  <c r="D310" i="30"/>
  <c r="D319" i="30"/>
  <c r="D328" i="30"/>
  <c r="D337" i="30"/>
  <c r="D346" i="30"/>
  <c r="D364" i="30"/>
  <c r="D78" i="30"/>
  <c r="D192" i="30"/>
  <c r="D201" i="30"/>
  <c r="D210" i="30"/>
  <c r="D219" i="30"/>
  <c r="D228" i="30"/>
  <c r="D237" i="30"/>
  <c r="D255" i="30"/>
  <c r="D264" i="30"/>
  <c r="D273" i="30"/>
  <c r="D282" i="30"/>
  <c r="D291" i="30"/>
  <c r="D309" i="30"/>
  <c r="D318" i="30"/>
  <c r="D327" i="30"/>
  <c r="D336" i="30"/>
  <c r="D345" i="30"/>
  <c r="D363" i="30"/>
  <c r="D84" i="30"/>
  <c r="D198" i="30"/>
  <c r="D207" i="30"/>
  <c r="D216" i="30"/>
  <c r="D225" i="30"/>
  <c r="D234" i="30"/>
  <c r="D243" i="30"/>
  <c r="D261" i="30"/>
  <c r="D270" i="30"/>
  <c r="D279" i="30"/>
  <c r="D288" i="30"/>
  <c r="D297" i="30"/>
  <c r="D315" i="30"/>
  <c r="D324" i="30"/>
  <c r="D333" i="30"/>
  <c r="D342" i="30"/>
  <c r="D351" i="30"/>
  <c r="D369" i="30"/>
  <c r="C371" i="30" a="1"/>
  <c r="C372" i="30"/>
  <c r="D372" i="30"/>
  <c r="C373" i="30"/>
  <c r="D373" i="30"/>
  <c r="C374" i="30"/>
  <c r="D374" i="30"/>
  <c r="C375" i="30"/>
  <c r="D375" i="30"/>
  <c r="C376" i="30"/>
  <c r="D376" i="30"/>
  <c r="C377" i="30"/>
  <c r="D377" i="30"/>
  <c r="C378" i="30"/>
  <c r="D378" i="30"/>
  <c r="C209" i="30"/>
  <c r="C218" i="30"/>
  <c r="C227" i="30"/>
  <c r="C236" i="30"/>
  <c r="C254" i="30"/>
  <c r="C263" i="30"/>
  <c r="C272" i="30"/>
  <c r="C281" i="30"/>
  <c r="C290" i="30"/>
  <c r="C308" i="30"/>
  <c r="C317" i="30"/>
  <c r="C326" i="30"/>
  <c r="C335" i="30"/>
  <c r="C344" i="30"/>
  <c r="C362" i="30"/>
  <c r="C371" i="30"/>
  <c r="C380" i="30"/>
  <c r="C389" i="30"/>
  <c r="C398" i="30"/>
  <c r="C416" i="30"/>
  <c r="C426" i="30"/>
  <c r="C436" i="30"/>
  <c r="D371" i="30"/>
  <c r="D380" i="30"/>
  <c r="D389" i="30"/>
  <c r="D398" i="30"/>
  <c r="D416" i="30"/>
  <c r="D426" i="30"/>
  <c r="D436" i="30"/>
  <c r="F134" i="29" a="1"/>
  <c r="F134" i="29"/>
  <c r="F135" i="29"/>
  <c r="F136" i="29"/>
  <c r="F137" i="29"/>
  <c r="F139" i="29"/>
  <c r="E77" i="30"/>
  <c r="E191" i="30"/>
  <c r="E200" i="30"/>
  <c r="E209" i="30"/>
  <c r="E218" i="30"/>
  <c r="E227" i="30"/>
  <c r="E236" i="30"/>
  <c r="E254" i="30"/>
  <c r="E263" i="30"/>
  <c r="E272" i="30"/>
  <c r="E281" i="30"/>
  <c r="E290" i="30"/>
  <c r="E308" i="30"/>
  <c r="E317" i="30"/>
  <c r="E326" i="30"/>
  <c r="E335" i="30"/>
  <c r="E104" i="30"/>
  <c r="E105" i="30"/>
  <c r="E108" i="30"/>
  <c r="E344" i="30"/>
  <c r="E362" i="30"/>
  <c r="E371" i="30"/>
  <c r="E380" i="30"/>
  <c r="E389" i="30"/>
  <c r="E398" i="30"/>
  <c r="E416" i="30"/>
  <c r="E426" i="30"/>
  <c r="E436" i="30"/>
  <c r="C381" i="30"/>
  <c r="C390" i="30"/>
  <c r="C399" i="30"/>
  <c r="C417" i="30"/>
  <c r="C427" i="30"/>
  <c r="C437" i="30"/>
  <c r="C382" i="30"/>
  <c r="C391" i="30"/>
  <c r="C400" i="30"/>
  <c r="C418" i="30"/>
  <c r="C428" i="30"/>
  <c r="C438" i="30"/>
  <c r="C383" i="30"/>
  <c r="C392" i="30"/>
  <c r="C401" i="30"/>
  <c r="C419" i="30"/>
  <c r="C429" i="30"/>
  <c r="C439" i="30"/>
  <c r="C384" i="30"/>
  <c r="C393" i="30"/>
  <c r="C402" i="30"/>
  <c r="C420" i="30"/>
  <c r="C430" i="30"/>
  <c r="C440" i="30"/>
  <c r="C385" i="30"/>
  <c r="C394" i="30"/>
  <c r="C403" i="30"/>
  <c r="C421" i="30"/>
  <c r="C431" i="30"/>
  <c r="C441" i="30"/>
  <c r="C386" i="30"/>
  <c r="C395" i="30"/>
  <c r="C404" i="30"/>
  <c r="C422" i="30"/>
  <c r="C432" i="30"/>
  <c r="C442" i="30"/>
  <c r="C387" i="30"/>
  <c r="C396" i="30"/>
  <c r="C405" i="30"/>
  <c r="C423" i="30"/>
  <c r="C433" i="30"/>
  <c r="C443" i="30"/>
  <c r="C444" i="30"/>
  <c r="B19" i="9"/>
  <c r="D381" i="30"/>
  <c r="D390" i="30"/>
  <c r="D399" i="30"/>
  <c r="D417" i="30"/>
  <c r="D427" i="30"/>
  <c r="D437" i="30"/>
  <c r="D382" i="30"/>
  <c r="D391" i="30"/>
  <c r="D400" i="30"/>
  <c r="D418" i="30"/>
  <c r="D428" i="30"/>
  <c r="D438" i="30"/>
  <c r="D383" i="30"/>
  <c r="D392" i="30"/>
  <c r="D401" i="30"/>
  <c r="D419" i="30"/>
  <c r="D429" i="30"/>
  <c r="D439" i="30"/>
  <c r="D384" i="30"/>
  <c r="D393" i="30"/>
  <c r="D402" i="30"/>
  <c r="D420" i="30"/>
  <c r="D430" i="30"/>
  <c r="D440" i="30"/>
  <c r="D385" i="30"/>
  <c r="D394" i="30"/>
  <c r="D403" i="30"/>
  <c r="D421" i="30"/>
  <c r="D431" i="30"/>
  <c r="D441" i="30"/>
  <c r="D386" i="30"/>
  <c r="D395" i="30"/>
  <c r="D404" i="30"/>
  <c r="D422" i="30"/>
  <c r="D432" i="30"/>
  <c r="D442" i="30"/>
  <c r="D387" i="30"/>
  <c r="D396" i="30"/>
  <c r="D405" i="30"/>
  <c r="D423" i="30"/>
  <c r="D433" i="30"/>
  <c r="D443" i="30"/>
  <c r="D444" i="30"/>
  <c r="C19" i="9"/>
  <c r="E78" i="30"/>
  <c r="E192" i="30"/>
  <c r="E201" i="30"/>
  <c r="E210" i="30"/>
  <c r="E219" i="30"/>
  <c r="E228" i="30"/>
  <c r="E237" i="30"/>
  <c r="E255" i="30"/>
  <c r="E264" i="30"/>
  <c r="E273" i="30"/>
  <c r="E282" i="30"/>
  <c r="E291" i="30"/>
  <c r="E309" i="30"/>
  <c r="E318" i="30"/>
  <c r="E327" i="30"/>
  <c r="E336" i="30"/>
  <c r="E345" i="30"/>
  <c r="E363" i="30"/>
  <c r="E372" i="30"/>
  <c r="E381" i="30"/>
  <c r="E390" i="30"/>
  <c r="E399" i="30"/>
  <c r="E417" i="30"/>
  <c r="E427" i="30"/>
  <c r="E437" i="30"/>
  <c r="E79" i="30"/>
  <c r="E193" i="30"/>
  <c r="E202" i="30"/>
  <c r="E211" i="30"/>
  <c r="E220" i="30"/>
  <c r="E229" i="30"/>
  <c r="E238" i="30"/>
  <c r="E256" i="30"/>
  <c r="E265" i="30"/>
  <c r="E274" i="30"/>
  <c r="E283" i="30"/>
  <c r="E292" i="30"/>
  <c r="E310" i="30"/>
  <c r="E319" i="30"/>
  <c r="E328" i="30"/>
  <c r="E337" i="30"/>
  <c r="E346" i="30"/>
  <c r="E364" i="30"/>
  <c r="E373" i="30"/>
  <c r="E382" i="30"/>
  <c r="E391" i="30"/>
  <c r="E400" i="30"/>
  <c r="E418" i="30"/>
  <c r="E428" i="30"/>
  <c r="E438" i="30"/>
  <c r="E80" i="30"/>
  <c r="E194" i="30"/>
  <c r="E203" i="30"/>
  <c r="E212" i="30"/>
  <c r="E221" i="30"/>
  <c r="E230" i="30"/>
  <c r="E239" i="30"/>
  <c r="E257" i="30"/>
  <c r="E266" i="30"/>
  <c r="E275" i="30"/>
  <c r="E284" i="30"/>
  <c r="E293" i="30"/>
  <c r="E311" i="30"/>
  <c r="E320" i="30"/>
  <c r="E329" i="30"/>
  <c r="E338" i="30"/>
  <c r="E347" i="30"/>
  <c r="E365" i="30"/>
  <c r="E374" i="30"/>
  <c r="E383" i="30"/>
  <c r="E392" i="30"/>
  <c r="E401" i="30"/>
  <c r="E419" i="30"/>
  <c r="E429" i="30"/>
  <c r="E439" i="30"/>
  <c r="E81" i="30"/>
  <c r="E195" i="30"/>
  <c r="E204" i="30"/>
  <c r="E213" i="30"/>
  <c r="E222" i="30"/>
  <c r="E231" i="30"/>
  <c r="E240" i="30"/>
  <c r="E258" i="30"/>
  <c r="E267" i="30"/>
  <c r="E276" i="30"/>
  <c r="E285" i="30"/>
  <c r="E294" i="30"/>
  <c r="E312" i="30"/>
  <c r="E321" i="30"/>
  <c r="E330" i="30"/>
  <c r="E339" i="30"/>
  <c r="E348" i="30"/>
  <c r="E366" i="30"/>
  <c r="E375" i="30"/>
  <c r="E384" i="30"/>
  <c r="E393" i="30"/>
  <c r="E402" i="30"/>
  <c r="E420" i="30"/>
  <c r="E430" i="30"/>
  <c r="E440" i="30"/>
  <c r="E82" i="30"/>
  <c r="E196" i="30"/>
  <c r="E205" i="30"/>
  <c r="E214" i="30"/>
  <c r="E223" i="30"/>
  <c r="E232" i="30"/>
  <c r="E241" i="30"/>
  <c r="E259" i="30"/>
  <c r="E268" i="30"/>
  <c r="E277" i="30"/>
  <c r="E286" i="30"/>
  <c r="E295" i="30"/>
  <c r="E313" i="30"/>
  <c r="E322" i="30"/>
  <c r="E331" i="30"/>
  <c r="E340" i="30"/>
  <c r="E349" i="30"/>
  <c r="E367" i="30"/>
  <c r="E376" i="30"/>
  <c r="E385" i="30"/>
  <c r="E394" i="30"/>
  <c r="E403" i="30"/>
  <c r="E421" i="30"/>
  <c r="E431" i="30"/>
  <c r="E441" i="30"/>
  <c r="E83" i="30"/>
  <c r="E197" i="30"/>
  <c r="E206" i="30"/>
  <c r="E215" i="30"/>
  <c r="E224" i="30"/>
  <c r="E233" i="30"/>
  <c r="E242" i="30"/>
  <c r="E260" i="30"/>
  <c r="E269" i="30"/>
  <c r="E278" i="30"/>
  <c r="E287" i="30"/>
  <c r="E296" i="30"/>
  <c r="E314" i="30"/>
  <c r="E323" i="30"/>
  <c r="E332" i="30"/>
  <c r="E341" i="30"/>
  <c r="E350" i="30"/>
  <c r="E368" i="30"/>
  <c r="E377" i="30"/>
  <c r="E386" i="30"/>
  <c r="E395" i="30"/>
  <c r="E404" i="30"/>
  <c r="E422" i="30"/>
  <c r="E432" i="30"/>
  <c r="E442" i="30"/>
  <c r="E84" i="30"/>
  <c r="E198" i="30"/>
  <c r="E207" i="30"/>
  <c r="E216" i="30"/>
  <c r="E225" i="30"/>
  <c r="E234" i="30"/>
  <c r="E243" i="30"/>
  <c r="E261" i="30"/>
  <c r="E270" i="30"/>
  <c r="E279" i="30"/>
  <c r="E288" i="30"/>
  <c r="E297" i="30"/>
  <c r="E315" i="30"/>
  <c r="E324" i="30"/>
  <c r="E333" i="30"/>
  <c r="E342" i="30"/>
  <c r="E351" i="30"/>
  <c r="E369" i="30"/>
  <c r="E378" i="30"/>
  <c r="E387" i="30"/>
  <c r="E396" i="30"/>
  <c r="E405" i="30"/>
  <c r="E423" i="30"/>
  <c r="E433" i="30"/>
  <c r="E443" i="30"/>
  <c r="E444" i="30"/>
  <c r="D19" i="9"/>
  <c r="D134" i="4" a="1"/>
  <c r="D134" i="4"/>
  <c r="D135" i="4"/>
  <c r="D136" i="4"/>
  <c r="C104" i="6"/>
  <c r="C105" i="6"/>
  <c r="C108" i="6"/>
  <c r="G24" i="29"/>
  <c r="G25" i="29"/>
  <c r="G26" i="29"/>
  <c r="G27" i="29"/>
  <c r="G29" i="29"/>
  <c r="G30" i="29"/>
  <c r="G31" i="29"/>
  <c r="G34" i="29"/>
  <c r="G35" i="29"/>
  <c r="G36" i="29"/>
  <c r="G37" i="29"/>
  <c r="G48" i="29"/>
  <c r="G50" i="29"/>
  <c r="G39" i="29"/>
  <c r="G40" i="29"/>
  <c r="G41" i="29"/>
  <c r="G44" i="29"/>
  <c r="G45" i="29"/>
  <c r="G46" i="29"/>
  <c r="G47" i="29"/>
  <c r="G49" i="29"/>
  <c r="G51" i="29"/>
  <c r="G53" i="29"/>
  <c r="G54" i="29"/>
  <c r="G55" i="29"/>
  <c r="G58" i="29"/>
  <c r="G59" i="29"/>
  <c r="G60" i="29"/>
  <c r="G61" i="29"/>
  <c r="G62" i="29"/>
  <c r="G108" i="29"/>
  <c r="G125" i="29"/>
  <c r="G107" i="29"/>
  <c r="G124" i="29"/>
  <c r="G106" i="29"/>
  <c r="G123" i="29"/>
  <c r="G105" i="29"/>
  <c r="G122" i="29"/>
  <c r="G104" i="29"/>
  <c r="G121" i="29"/>
  <c r="G103" i="29"/>
  <c r="G120" i="29"/>
  <c r="G102" i="29"/>
  <c r="G119" i="29"/>
  <c r="G101" i="29"/>
  <c r="G118" i="29"/>
  <c r="E39" i="4"/>
  <c r="E40" i="4"/>
  <c r="E41" i="4"/>
  <c r="E44" i="4"/>
  <c r="E45" i="4"/>
  <c r="F43" i="4"/>
  <c r="E29" i="4"/>
  <c r="E30" i="4"/>
  <c r="E31" i="4"/>
  <c r="E34" i="4"/>
  <c r="E35" i="4"/>
  <c r="F33" i="4"/>
  <c r="E53" i="4"/>
  <c r="E54" i="4"/>
  <c r="E55" i="4"/>
  <c r="E58" i="4"/>
  <c r="E59" i="4"/>
  <c r="F57" i="4"/>
  <c r="H57" i="29"/>
  <c r="H43" i="29"/>
  <c r="H33" i="29"/>
  <c r="E424" i="30"/>
  <c r="D15" i="9"/>
  <c r="D424" i="30"/>
  <c r="C15" i="9"/>
  <c r="C424" i="30"/>
  <c r="B15" i="9"/>
  <c r="E434" i="30"/>
  <c r="D17" i="9"/>
  <c r="D434" i="30"/>
  <c r="C17" i="9"/>
  <c r="C434" i="30"/>
  <c r="B17" i="9"/>
  <c r="E408" i="30"/>
  <c r="E411" i="30"/>
  <c r="E414" i="30"/>
  <c r="E410" i="30"/>
  <c r="E409" i="30"/>
  <c r="E413" i="30"/>
  <c r="E412" i="30"/>
  <c r="E407" i="30"/>
  <c r="D407" i="30"/>
  <c r="D412" i="30"/>
  <c r="D413" i="30"/>
  <c r="D410" i="30"/>
  <c r="D411" i="30"/>
  <c r="D414" i="30"/>
  <c r="D409" i="30"/>
  <c r="D408" i="30"/>
  <c r="C407" i="30"/>
  <c r="C413" i="30"/>
  <c r="C414" i="30"/>
  <c r="C408" i="30"/>
  <c r="C409" i="30"/>
  <c r="C411" i="30"/>
  <c r="C412" i="30"/>
  <c r="C410" i="30"/>
  <c r="G131" i="29"/>
  <c r="F100" i="30"/>
  <c r="F304" i="30"/>
  <c r="G129" i="29"/>
  <c r="F98" i="30"/>
  <c r="F302" i="30"/>
  <c r="G126" i="29"/>
  <c r="F95" i="30"/>
  <c r="F299" i="30"/>
  <c r="G132" i="29"/>
  <c r="F101" i="30"/>
  <c r="F305" i="30"/>
  <c r="G130" i="29"/>
  <c r="F99" i="30"/>
  <c r="F303" i="30"/>
  <c r="G127" i="29"/>
  <c r="F96" i="30"/>
  <c r="F300" i="30"/>
  <c r="G128" i="29"/>
  <c r="F97" i="30"/>
  <c r="F301" i="30"/>
  <c r="G133" i="29"/>
  <c r="F102" i="30"/>
  <c r="F306" i="30"/>
  <c r="F90" i="30"/>
  <c r="F249" i="30"/>
  <c r="F86" i="30"/>
  <c r="F245" i="30"/>
  <c r="F92" i="30"/>
  <c r="F251" i="30"/>
  <c r="F88" i="30"/>
  <c r="F247" i="30"/>
  <c r="F89" i="30"/>
  <c r="F248" i="30"/>
  <c r="F91" i="30"/>
  <c r="F250" i="30"/>
  <c r="F87" i="30"/>
  <c r="F246" i="30"/>
  <c r="F93" i="30"/>
  <c r="F252" i="30"/>
  <c r="E41" i="33"/>
  <c r="E55" i="33"/>
  <c r="E31" i="33"/>
  <c r="E34" i="33"/>
  <c r="E58" i="33"/>
  <c r="E44" i="33"/>
  <c r="E35" i="33"/>
  <c r="E45" i="33"/>
  <c r="E59" i="33"/>
  <c r="F43" i="33"/>
  <c r="E60" i="4"/>
  <c r="E60" i="33"/>
  <c r="E61" i="4"/>
  <c r="E61" i="33"/>
  <c r="F33" i="33"/>
  <c r="F57" i="33"/>
  <c r="E36" i="4"/>
  <c r="E48" i="4"/>
  <c r="E48" i="33"/>
  <c r="E36" i="33"/>
  <c r="E46" i="4"/>
  <c r="E46" i="33"/>
  <c r="E49" i="4"/>
  <c r="E49" i="33"/>
  <c r="E47" i="4"/>
  <c r="E51" i="4"/>
  <c r="E51" i="33"/>
  <c r="E47" i="33"/>
  <c r="E37" i="4"/>
  <c r="E37" i="33"/>
  <c r="E50" i="4"/>
  <c r="E50" i="33"/>
  <c r="C105" i="34"/>
  <c r="C108" i="34"/>
  <c r="C104" i="34"/>
  <c r="D137" i="4"/>
  <c r="D137" i="33"/>
  <c r="E54" i="33"/>
  <c r="E40" i="33"/>
  <c r="E30" i="33"/>
  <c r="E29" i="33"/>
  <c r="E39" i="33"/>
  <c r="E53" i="33"/>
  <c r="D135" i="33"/>
  <c r="D139" i="4"/>
  <c r="D139" i="33"/>
  <c r="UV2" i="77"/>
  <c r="O139" i="33"/>
  <c r="UU2" i="77"/>
  <c r="D136" i="33"/>
  <c r="UB2" i="77"/>
  <c r="O136" i="33"/>
  <c r="UA2" i="77"/>
  <c r="D134" i="33"/>
  <c r="TH2" i="77"/>
  <c r="O134" i="33"/>
  <c r="TG2" i="77"/>
  <c r="QJ2" i="77"/>
  <c r="Q139" i="29"/>
  <c r="QI2" i="77"/>
  <c r="PP2" i="77"/>
  <c r="Q136" i="29"/>
  <c r="PO2" i="77"/>
  <c r="OV2" i="77"/>
  <c r="Q134" i="29"/>
  <c r="OU2" i="77"/>
  <c r="OD2" i="77"/>
  <c r="R62" i="29"/>
  <c r="OC2" i="77"/>
  <c r="NJ2" i="77"/>
  <c r="R27" i="29"/>
  <c r="NI2" i="77"/>
  <c r="MP2" i="77"/>
  <c r="R26" i="29"/>
  <c r="MO2" i="77"/>
  <c r="LP2" i="77"/>
  <c r="O139" i="4"/>
  <c r="LO2" i="77"/>
  <c r="KV2" i="77"/>
  <c r="O136" i="4"/>
  <c r="KU2" i="77"/>
  <c r="KB2" i="77"/>
  <c r="O134" i="4"/>
  <c r="KA2" i="77"/>
  <c r="E24" i="4"/>
  <c r="E25" i="4"/>
  <c r="E26" i="4"/>
  <c r="P26" i="4"/>
  <c r="HU2" i="77"/>
  <c r="HV2" i="77"/>
  <c r="E27" i="4"/>
  <c r="P27" i="4"/>
  <c r="IO2" i="77"/>
  <c r="IP2" i="77"/>
  <c r="E62" i="4"/>
  <c r="P62" i="4"/>
  <c r="JI2" i="77"/>
  <c r="JJ2" i="77"/>
  <c r="G134" i="29" a="1"/>
  <c r="G134" i="29"/>
  <c r="G135" i="29"/>
  <c r="G136" i="29"/>
  <c r="H24" i="29"/>
  <c r="H25" i="29"/>
  <c r="H26" i="29"/>
  <c r="S26" i="29"/>
  <c r="MQ2" i="77"/>
  <c r="MR2" i="77"/>
  <c r="H27" i="29"/>
  <c r="S27" i="29"/>
  <c r="NK2" i="77"/>
  <c r="NL2" i="77"/>
  <c r="H29" i="29"/>
  <c r="H30" i="29"/>
  <c r="H31" i="29"/>
  <c r="H34" i="29"/>
  <c r="H35" i="29"/>
  <c r="H36" i="29"/>
  <c r="H37" i="29"/>
  <c r="H48" i="29"/>
  <c r="H50" i="29"/>
  <c r="H39" i="29"/>
  <c r="H40" i="29"/>
  <c r="H41" i="29"/>
  <c r="H44" i="29"/>
  <c r="H45" i="29"/>
  <c r="H46" i="29"/>
  <c r="H47" i="29"/>
  <c r="H49" i="29"/>
  <c r="H51" i="29"/>
  <c r="H53" i="29"/>
  <c r="H54" i="29"/>
  <c r="H55" i="29"/>
  <c r="H58" i="29"/>
  <c r="H59" i="29"/>
  <c r="H60" i="29"/>
  <c r="H61" i="29"/>
  <c r="H62" i="29"/>
  <c r="S62" i="29"/>
  <c r="OE2" i="77"/>
  <c r="OF2" i="77"/>
  <c r="R134" i="29"/>
  <c r="OW2" i="77"/>
  <c r="OX2" i="77"/>
  <c r="R136" i="29"/>
  <c r="PQ2" i="77"/>
  <c r="PR2" i="77"/>
  <c r="G137" i="29"/>
  <c r="G139" i="29"/>
  <c r="R139" i="29"/>
  <c r="QK2" i="77"/>
  <c r="QL2" i="77"/>
  <c r="E26" i="33"/>
  <c r="P26" i="33"/>
  <c r="RA2" i="77"/>
  <c r="RB2" i="77"/>
  <c r="E27" i="33"/>
  <c r="P27" i="33"/>
  <c r="RU2" i="77"/>
  <c r="RV2" i="77"/>
  <c r="E62" i="33"/>
  <c r="P62" i="33"/>
  <c r="SO2" i="77"/>
  <c r="SP2" i="77"/>
  <c r="F77" i="30"/>
  <c r="F191" i="30"/>
  <c r="F200" i="30"/>
  <c r="F209" i="30"/>
  <c r="F218" i="30"/>
  <c r="F227" i="30"/>
  <c r="F236" i="30"/>
  <c r="F254" i="30"/>
  <c r="F263" i="30"/>
  <c r="F272" i="30"/>
  <c r="F281" i="30"/>
  <c r="F290" i="30"/>
  <c r="F308" i="30"/>
  <c r="F317" i="30"/>
  <c r="F326" i="30"/>
  <c r="F335" i="30"/>
  <c r="F104" i="30"/>
  <c r="F105" i="30"/>
  <c r="F108" i="30"/>
  <c r="F344" i="30"/>
  <c r="F362" i="30"/>
  <c r="F371" i="30"/>
  <c r="F380" i="30"/>
  <c r="F389" i="30"/>
  <c r="F398" i="30"/>
  <c r="F416" i="30"/>
  <c r="F426" i="30"/>
  <c r="F436" i="30"/>
  <c r="E25" i="33"/>
  <c r="E24" i="33"/>
  <c r="C84" i="6"/>
  <c r="C84" i="34"/>
  <c r="C81" i="6"/>
  <c r="C81" i="34"/>
  <c r="C80" i="6"/>
  <c r="C80" i="34"/>
  <c r="C79" i="6"/>
  <c r="C79" i="34"/>
  <c r="C82" i="6"/>
  <c r="C82" i="34"/>
  <c r="C78" i="6"/>
  <c r="C78" i="34"/>
  <c r="C83" i="6"/>
  <c r="C83" i="34"/>
  <c r="C77" i="6"/>
  <c r="C77" i="34"/>
  <c r="C192" i="6"/>
  <c r="C192" i="34"/>
  <c r="C198" i="6"/>
  <c r="C198" i="34"/>
  <c r="C196" i="6"/>
  <c r="C196" i="34"/>
  <c r="C193" i="6"/>
  <c r="C193" i="34"/>
  <c r="C195" i="6"/>
  <c r="C195" i="34"/>
  <c r="C191" i="6"/>
  <c r="C191" i="34"/>
  <c r="C194" i="6"/>
  <c r="C194" i="34"/>
  <c r="C197" i="6"/>
  <c r="C197" i="34"/>
  <c r="C201" i="6"/>
  <c r="C201" i="34"/>
  <c r="C207" i="6"/>
  <c r="C207" i="34"/>
  <c r="C205" i="6"/>
  <c r="C205" i="34"/>
  <c r="C202" i="6"/>
  <c r="C202" i="34"/>
  <c r="C204" i="6"/>
  <c r="C204" i="34"/>
  <c r="C203" i="6"/>
  <c r="C203" i="34"/>
  <c r="C206" i="6"/>
  <c r="C206" i="34"/>
  <c r="C200" i="6"/>
  <c r="C200" i="34"/>
  <c r="E104" i="4"/>
  <c r="E104" i="33"/>
  <c r="E106" i="4"/>
  <c r="E106" i="33"/>
  <c r="E103" i="4"/>
  <c r="E103" i="33"/>
  <c r="E105" i="4"/>
  <c r="E105" i="33"/>
  <c r="E101" i="4"/>
  <c r="E101" i="33"/>
  <c r="E108" i="4"/>
  <c r="E108" i="33"/>
  <c r="E107" i="4"/>
  <c r="E107" i="33"/>
  <c r="E102" i="4"/>
  <c r="E102" i="33"/>
  <c r="E122" i="4"/>
  <c r="E122" i="33"/>
  <c r="E125" i="4"/>
  <c r="E125" i="33"/>
  <c r="E123" i="4"/>
  <c r="E123" i="33"/>
  <c r="E120" i="4"/>
  <c r="E120" i="33"/>
  <c r="E124" i="4"/>
  <c r="E124" i="33"/>
  <c r="E118" i="4"/>
  <c r="E118" i="33"/>
  <c r="E121" i="4"/>
  <c r="E121" i="33"/>
  <c r="E119" i="4"/>
  <c r="E119" i="33"/>
  <c r="E127" i="4"/>
  <c r="E127" i="33"/>
  <c r="E130" i="4"/>
  <c r="E130" i="33"/>
  <c r="E129" i="4"/>
  <c r="E129" i="33"/>
  <c r="E133" i="4"/>
  <c r="E133" i="33"/>
  <c r="E132" i="4"/>
  <c r="E132" i="33"/>
  <c r="E131" i="4"/>
  <c r="E131" i="33"/>
  <c r="E128" i="4"/>
  <c r="E128" i="33"/>
  <c r="E126" i="4"/>
  <c r="E126" i="33"/>
  <c r="D89" i="6"/>
  <c r="D89" i="34"/>
  <c r="D92" i="6"/>
  <c r="D92" i="34"/>
  <c r="D101" i="6"/>
  <c r="D101" i="34"/>
  <c r="D98" i="6"/>
  <c r="D98" i="34"/>
  <c r="D99" i="6"/>
  <c r="D99" i="34"/>
  <c r="D87" i="6"/>
  <c r="D87" i="34"/>
  <c r="D97" i="6"/>
  <c r="D97" i="34"/>
  <c r="D102" i="6"/>
  <c r="D102" i="34"/>
  <c r="D96" i="6"/>
  <c r="D96" i="34"/>
  <c r="D90" i="6"/>
  <c r="D90" i="34"/>
  <c r="D95" i="6"/>
  <c r="D95" i="34"/>
  <c r="D100" i="6"/>
  <c r="D100" i="34"/>
  <c r="D86" i="6"/>
  <c r="D86" i="34"/>
  <c r="D88" i="6"/>
  <c r="D88" i="34"/>
  <c r="D93" i="6"/>
  <c r="D93" i="34"/>
  <c r="D91" i="6"/>
  <c r="D91" i="34"/>
  <c r="D305" i="6"/>
  <c r="D305" i="34"/>
  <c r="D300" i="6"/>
  <c r="D300" i="34"/>
  <c r="D245" i="6"/>
  <c r="D245" i="34"/>
  <c r="D246" i="6"/>
  <c r="D246" i="34"/>
  <c r="D299" i="6"/>
  <c r="D299" i="34"/>
  <c r="D247" i="6"/>
  <c r="D247" i="34"/>
  <c r="D302" i="6"/>
  <c r="D302" i="34"/>
  <c r="D251" i="6"/>
  <c r="D251" i="34"/>
  <c r="D249" i="6"/>
  <c r="D249" i="34"/>
  <c r="D248" i="6"/>
  <c r="D248" i="34"/>
  <c r="D301" i="6"/>
  <c r="D301" i="34"/>
  <c r="D304" i="6"/>
  <c r="D304" i="34"/>
  <c r="D250" i="6"/>
  <c r="D250" i="34"/>
  <c r="D252" i="6"/>
  <c r="D252" i="34"/>
  <c r="D303" i="6"/>
  <c r="D303" i="34"/>
  <c r="D306" i="6"/>
  <c r="D306" i="34"/>
  <c r="F84" i="30"/>
  <c r="F198" i="30"/>
  <c r="F207" i="30"/>
  <c r="F216" i="30"/>
  <c r="F225" i="30"/>
  <c r="F234" i="30"/>
  <c r="F243" i="30"/>
  <c r="F261" i="30"/>
  <c r="F270" i="30"/>
  <c r="F279" i="30"/>
  <c r="F78" i="30"/>
  <c r="F192" i="30"/>
  <c r="F201" i="30"/>
  <c r="F210" i="30"/>
  <c r="F219" i="30"/>
  <c r="F228" i="30"/>
  <c r="F237" i="30"/>
  <c r="F255" i="30"/>
  <c r="F264" i="30"/>
  <c r="F273" i="30"/>
  <c r="F82" i="30"/>
  <c r="F196" i="30"/>
  <c r="F205" i="30"/>
  <c r="F214" i="30"/>
  <c r="F223" i="30"/>
  <c r="F232" i="30"/>
  <c r="F241" i="30"/>
  <c r="F259" i="30"/>
  <c r="F268" i="30"/>
  <c r="F277" i="30"/>
  <c r="F80" i="30"/>
  <c r="F194" i="30"/>
  <c r="F203" i="30"/>
  <c r="F212" i="30"/>
  <c r="F221" i="30"/>
  <c r="F230" i="30"/>
  <c r="F239" i="30"/>
  <c r="F257" i="30"/>
  <c r="F266" i="30"/>
  <c r="F275" i="30"/>
  <c r="F79" i="30"/>
  <c r="F193" i="30"/>
  <c r="F202" i="30"/>
  <c r="F211" i="30"/>
  <c r="F220" i="30"/>
  <c r="F229" i="30"/>
  <c r="F238" i="30"/>
  <c r="F256" i="30"/>
  <c r="F265" i="30"/>
  <c r="F274" i="30"/>
  <c r="F83" i="30"/>
  <c r="F197" i="30"/>
  <c r="F206" i="30"/>
  <c r="F215" i="30"/>
  <c r="F224" i="30"/>
  <c r="F233" i="30"/>
  <c r="F242" i="30"/>
  <c r="F260" i="30"/>
  <c r="F269" i="30"/>
  <c r="F278" i="30"/>
  <c r="F81" i="30"/>
  <c r="F195" i="30"/>
  <c r="F204" i="30"/>
  <c r="F213" i="30"/>
  <c r="F222" i="30"/>
  <c r="F231" i="30"/>
  <c r="F240" i="30"/>
  <c r="F258" i="30"/>
  <c r="F267" i="30"/>
  <c r="F276" i="30"/>
  <c r="F288" i="30"/>
  <c r="F297" i="30"/>
  <c r="F315" i="30"/>
  <c r="F324" i="30"/>
  <c r="F333" i="30"/>
  <c r="F283" i="30"/>
  <c r="F292" i="30"/>
  <c r="F310" i="30"/>
  <c r="F319" i="30"/>
  <c r="F328" i="30"/>
  <c r="F282" i="30"/>
  <c r="F291" i="30"/>
  <c r="F309" i="30"/>
  <c r="F318" i="30"/>
  <c r="F327" i="30"/>
  <c r="F285" i="30"/>
  <c r="F294" i="30"/>
  <c r="F312" i="30"/>
  <c r="F321" i="30"/>
  <c r="F330" i="30"/>
  <c r="F287" i="30"/>
  <c r="F296" i="30"/>
  <c r="F314" i="30"/>
  <c r="F323" i="30"/>
  <c r="F332" i="30"/>
  <c r="F284" i="30"/>
  <c r="F293" i="30"/>
  <c r="F311" i="30"/>
  <c r="F320" i="30"/>
  <c r="F329" i="30"/>
  <c r="F286" i="30"/>
  <c r="F295" i="30"/>
  <c r="F313" i="30"/>
  <c r="F322" i="30"/>
  <c r="F331" i="30"/>
  <c r="F336" i="30"/>
  <c r="F345" i="30"/>
  <c r="F363" i="30"/>
  <c r="F340" i="30"/>
  <c r="F349" i="30"/>
  <c r="F367" i="30"/>
  <c r="F338" i="30"/>
  <c r="F347" i="30"/>
  <c r="F365" i="30"/>
  <c r="F342" i="30"/>
  <c r="F351" i="30"/>
  <c r="F369" i="30"/>
  <c r="F337" i="30"/>
  <c r="F346" i="30"/>
  <c r="F364" i="30"/>
  <c r="F341" i="30"/>
  <c r="F350" i="30"/>
  <c r="F368" i="30"/>
  <c r="F339" i="30"/>
  <c r="F348" i="30"/>
  <c r="F366" i="30"/>
  <c r="F372" i="30"/>
  <c r="F381" i="30"/>
  <c r="F390" i="30"/>
  <c r="F377" i="30"/>
  <c r="F386" i="30"/>
  <c r="F395" i="30"/>
  <c r="F373" i="30"/>
  <c r="F382" i="30"/>
  <c r="F391" i="30"/>
  <c r="F374" i="30"/>
  <c r="F383" i="30"/>
  <c r="F392" i="30"/>
  <c r="F376" i="30"/>
  <c r="F385" i="30"/>
  <c r="F394" i="30"/>
  <c r="F378" i="30"/>
  <c r="F387" i="30"/>
  <c r="F396" i="30"/>
  <c r="F375" i="30"/>
  <c r="F384" i="30"/>
  <c r="F393" i="30"/>
  <c r="F400" i="30"/>
  <c r="F409" i="30"/>
  <c r="F399" i="30"/>
  <c r="F408" i="30"/>
  <c r="F405" i="30"/>
  <c r="F414" i="30"/>
  <c r="F403" i="30"/>
  <c r="F412" i="30"/>
  <c r="F401" i="30"/>
  <c r="F410" i="30"/>
  <c r="F404" i="30"/>
  <c r="F413" i="30"/>
  <c r="F402" i="30"/>
  <c r="F411" i="30"/>
  <c r="F407" i="30"/>
  <c r="H101" i="29"/>
  <c r="H118" i="29"/>
  <c r="H126" i="29"/>
  <c r="G86" i="30"/>
  <c r="G245" i="30"/>
  <c r="G95" i="30"/>
  <c r="G299" i="30"/>
  <c r="H102" i="29"/>
  <c r="H119" i="29"/>
  <c r="H127" i="29"/>
  <c r="G87" i="30"/>
  <c r="G246" i="30"/>
  <c r="G96" i="30"/>
  <c r="G300" i="30"/>
  <c r="H103" i="29"/>
  <c r="H120" i="29"/>
  <c r="H128" i="29"/>
  <c r="G88" i="30"/>
  <c r="G247" i="30"/>
  <c r="G97" i="30"/>
  <c r="G301" i="30"/>
  <c r="H104" i="29"/>
  <c r="H121" i="29"/>
  <c r="H129" i="29"/>
  <c r="G89" i="30"/>
  <c r="G248" i="30"/>
  <c r="G98" i="30"/>
  <c r="G302" i="30"/>
  <c r="H105" i="29"/>
  <c r="H122" i="29"/>
  <c r="H130" i="29"/>
  <c r="G90" i="30"/>
  <c r="G249" i="30"/>
  <c r="G99" i="30"/>
  <c r="G303" i="30"/>
  <c r="H106" i="29"/>
  <c r="H123" i="29"/>
  <c r="H131" i="29"/>
  <c r="G91" i="30"/>
  <c r="G250" i="30"/>
  <c r="G100" i="30"/>
  <c r="G304" i="30"/>
  <c r="H107" i="29"/>
  <c r="H124" i="29"/>
  <c r="H132" i="29"/>
  <c r="G92" i="30"/>
  <c r="G251" i="30"/>
  <c r="G101" i="30"/>
  <c r="G305" i="30"/>
  <c r="H108" i="29"/>
  <c r="H125" i="29"/>
  <c r="H133" i="29"/>
  <c r="G93" i="30"/>
  <c r="G252" i="30"/>
  <c r="G102" i="30"/>
  <c r="G306" i="30"/>
  <c r="I33" i="29"/>
  <c r="I43" i="29"/>
  <c r="I57" i="29"/>
  <c r="F417" i="30"/>
  <c r="F427" i="30"/>
  <c r="F418" i="30"/>
  <c r="F428" i="30"/>
  <c r="F419" i="30"/>
  <c r="F429" i="30"/>
  <c r="F420" i="30"/>
  <c r="F430" i="30"/>
  <c r="F421" i="30"/>
  <c r="F431" i="30"/>
  <c r="F422" i="30"/>
  <c r="F432" i="30"/>
  <c r="F423" i="30"/>
  <c r="F433" i="30"/>
  <c r="F434" i="30"/>
  <c r="E17" i="9"/>
  <c r="F424" i="30"/>
  <c r="E15" i="9"/>
  <c r="F437" i="30"/>
  <c r="F438" i="30"/>
  <c r="F439" i="30"/>
  <c r="F440" i="30"/>
  <c r="F441" i="30"/>
  <c r="F442" i="30"/>
  <c r="F443" i="30"/>
  <c r="F444" i="30"/>
  <c r="E19" i="9"/>
  <c r="C209" i="6"/>
  <c r="C218" i="6"/>
  <c r="C227" i="6"/>
  <c r="E134" i="4" a="1"/>
  <c r="E134" i="4"/>
  <c r="E135" i="4"/>
  <c r="E136" i="4"/>
  <c r="E137" i="4"/>
  <c r="E139" i="4"/>
  <c r="H134" i="29" a="1"/>
  <c r="H134" i="29"/>
  <c r="H135" i="29"/>
  <c r="H136" i="29"/>
  <c r="H137" i="29"/>
  <c r="H139" i="29"/>
  <c r="G77" i="30"/>
  <c r="G191" i="30"/>
  <c r="G200" i="30"/>
  <c r="G209" i="30"/>
  <c r="G218" i="30"/>
  <c r="G227" i="30"/>
  <c r="G236" i="30"/>
  <c r="G254" i="30"/>
  <c r="G263" i="30"/>
  <c r="G272" i="30"/>
  <c r="G281" i="30"/>
  <c r="G290" i="30"/>
  <c r="G308" i="30"/>
  <c r="G317" i="30"/>
  <c r="G326" i="30"/>
  <c r="G335" i="30"/>
  <c r="G104" i="30"/>
  <c r="G105" i="30"/>
  <c r="G108" i="30"/>
  <c r="G344" i="30"/>
  <c r="G362" i="30"/>
  <c r="G371" i="30"/>
  <c r="G380" i="30"/>
  <c r="G389" i="30"/>
  <c r="G398" i="30"/>
  <c r="G416" i="30"/>
  <c r="G426" i="30"/>
  <c r="G436" i="30"/>
  <c r="G78" i="30"/>
  <c r="G192" i="30"/>
  <c r="G201" i="30"/>
  <c r="G210" i="30"/>
  <c r="G219" i="30"/>
  <c r="G228" i="30"/>
  <c r="G237" i="30"/>
  <c r="G255" i="30"/>
  <c r="G264" i="30"/>
  <c r="G273" i="30"/>
  <c r="G282" i="30"/>
  <c r="G291" i="30"/>
  <c r="G309" i="30"/>
  <c r="G318" i="30"/>
  <c r="G327" i="30"/>
  <c r="G336" i="30"/>
  <c r="G345" i="30"/>
  <c r="G363" i="30"/>
  <c r="G372" i="30"/>
  <c r="G381" i="30"/>
  <c r="G390" i="30"/>
  <c r="G399" i="30"/>
  <c r="G417" i="30"/>
  <c r="G427" i="30"/>
  <c r="G437" i="30"/>
  <c r="G79" i="30"/>
  <c r="G193" i="30"/>
  <c r="G202" i="30"/>
  <c r="G211" i="30"/>
  <c r="G220" i="30"/>
  <c r="G229" i="30"/>
  <c r="G238" i="30"/>
  <c r="G256" i="30"/>
  <c r="G265" i="30"/>
  <c r="G274" i="30"/>
  <c r="G283" i="30"/>
  <c r="G292" i="30"/>
  <c r="G310" i="30"/>
  <c r="G319" i="30"/>
  <c r="G328" i="30"/>
  <c r="G337" i="30"/>
  <c r="G346" i="30"/>
  <c r="G364" i="30"/>
  <c r="G373" i="30"/>
  <c r="G382" i="30"/>
  <c r="G391" i="30"/>
  <c r="G400" i="30"/>
  <c r="G418" i="30"/>
  <c r="G428" i="30"/>
  <c r="G438" i="30"/>
  <c r="G80" i="30"/>
  <c r="G194" i="30"/>
  <c r="G203" i="30"/>
  <c r="G212" i="30"/>
  <c r="G221" i="30"/>
  <c r="G230" i="30"/>
  <c r="G239" i="30"/>
  <c r="G257" i="30"/>
  <c r="G266" i="30"/>
  <c r="G275" i="30"/>
  <c r="G284" i="30"/>
  <c r="G293" i="30"/>
  <c r="G311" i="30"/>
  <c r="G320" i="30"/>
  <c r="G329" i="30"/>
  <c r="G338" i="30"/>
  <c r="G347" i="30"/>
  <c r="G365" i="30"/>
  <c r="G374" i="30"/>
  <c r="G383" i="30"/>
  <c r="G392" i="30"/>
  <c r="G401" i="30"/>
  <c r="G419" i="30"/>
  <c r="G429" i="30"/>
  <c r="G439" i="30"/>
  <c r="G81" i="30"/>
  <c r="G195" i="30"/>
  <c r="G204" i="30"/>
  <c r="G213" i="30"/>
  <c r="G222" i="30"/>
  <c r="G231" i="30"/>
  <c r="G240" i="30"/>
  <c r="G258" i="30"/>
  <c r="G267" i="30"/>
  <c r="G276" i="30"/>
  <c r="G285" i="30"/>
  <c r="G294" i="30"/>
  <c r="G312" i="30"/>
  <c r="G321" i="30"/>
  <c r="G330" i="30"/>
  <c r="G339" i="30"/>
  <c r="G348" i="30"/>
  <c r="G366" i="30"/>
  <c r="G375" i="30"/>
  <c r="G384" i="30"/>
  <c r="G393" i="30"/>
  <c r="G402" i="30"/>
  <c r="G420" i="30"/>
  <c r="G430" i="30"/>
  <c r="G440" i="30"/>
  <c r="G82" i="30"/>
  <c r="G196" i="30"/>
  <c r="G205" i="30"/>
  <c r="G214" i="30"/>
  <c r="G223" i="30"/>
  <c r="G232" i="30"/>
  <c r="G241" i="30"/>
  <c r="G259" i="30"/>
  <c r="G268" i="30"/>
  <c r="G277" i="30"/>
  <c r="G286" i="30"/>
  <c r="G295" i="30"/>
  <c r="G313" i="30"/>
  <c r="G322" i="30"/>
  <c r="G331" i="30"/>
  <c r="G340" i="30"/>
  <c r="G349" i="30"/>
  <c r="G367" i="30"/>
  <c r="G376" i="30"/>
  <c r="G385" i="30"/>
  <c r="G394" i="30"/>
  <c r="G403" i="30"/>
  <c r="G421" i="30"/>
  <c r="G431" i="30"/>
  <c r="G441" i="30"/>
  <c r="G83" i="30"/>
  <c r="G197" i="30"/>
  <c r="G206" i="30"/>
  <c r="G215" i="30"/>
  <c r="G224" i="30"/>
  <c r="G233" i="30"/>
  <c r="G242" i="30"/>
  <c r="G260" i="30"/>
  <c r="G269" i="30"/>
  <c r="G278" i="30"/>
  <c r="G287" i="30"/>
  <c r="G296" i="30"/>
  <c r="G314" i="30"/>
  <c r="G323" i="30"/>
  <c r="G332" i="30"/>
  <c r="G341" i="30"/>
  <c r="G350" i="30"/>
  <c r="G368" i="30"/>
  <c r="G377" i="30"/>
  <c r="G386" i="30"/>
  <c r="G395" i="30"/>
  <c r="G404" i="30"/>
  <c r="G422" i="30"/>
  <c r="G432" i="30"/>
  <c r="G442" i="30"/>
  <c r="G84" i="30"/>
  <c r="G198" i="30"/>
  <c r="G207" i="30"/>
  <c r="G216" i="30"/>
  <c r="G225" i="30"/>
  <c r="G234" i="30"/>
  <c r="G243" i="30"/>
  <c r="G261" i="30"/>
  <c r="G270" i="30"/>
  <c r="G279" i="30"/>
  <c r="G288" i="30"/>
  <c r="G297" i="30"/>
  <c r="G315" i="30"/>
  <c r="G324" i="30"/>
  <c r="G333" i="30"/>
  <c r="G342" i="30"/>
  <c r="G351" i="30"/>
  <c r="G369" i="30"/>
  <c r="G378" i="30"/>
  <c r="G387" i="30"/>
  <c r="G396" i="30"/>
  <c r="G405" i="30"/>
  <c r="G423" i="30"/>
  <c r="G433" i="30"/>
  <c r="G443" i="30"/>
  <c r="G444" i="30"/>
  <c r="F19" i="9"/>
  <c r="F24" i="4"/>
  <c r="F25" i="4"/>
  <c r="F26" i="4"/>
  <c r="F27" i="4"/>
  <c r="F29" i="4"/>
  <c r="F30" i="4"/>
  <c r="F31" i="4"/>
  <c r="F34" i="4"/>
  <c r="F35" i="4"/>
  <c r="F36" i="4"/>
  <c r="F37" i="4"/>
  <c r="F48" i="4"/>
  <c r="F50" i="4"/>
  <c r="F39" i="4"/>
  <c r="F40" i="4"/>
  <c r="F41" i="4"/>
  <c r="F44" i="4"/>
  <c r="F45" i="4"/>
  <c r="F46" i="4"/>
  <c r="F47" i="4"/>
  <c r="F49" i="4"/>
  <c r="F51" i="4"/>
  <c r="F53" i="4"/>
  <c r="F54" i="4"/>
  <c r="F55" i="4"/>
  <c r="F58" i="4"/>
  <c r="F59" i="4"/>
  <c r="F60" i="4"/>
  <c r="F61" i="4"/>
  <c r="F62" i="4"/>
  <c r="F108" i="4"/>
  <c r="F125" i="4"/>
  <c r="F106" i="4"/>
  <c r="F123" i="4"/>
  <c r="F102" i="4"/>
  <c r="F119" i="4"/>
  <c r="F101" i="4"/>
  <c r="F118" i="4"/>
  <c r="F103" i="4"/>
  <c r="F120" i="4"/>
  <c r="F105" i="4"/>
  <c r="F122" i="4"/>
  <c r="F104" i="4"/>
  <c r="F121" i="4"/>
  <c r="F107" i="4"/>
  <c r="F124" i="4"/>
  <c r="I24" i="29"/>
  <c r="I25" i="29"/>
  <c r="I26" i="29"/>
  <c r="I27" i="29"/>
  <c r="I29" i="29"/>
  <c r="I30" i="29"/>
  <c r="I31" i="29"/>
  <c r="I34" i="29"/>
  <c r="I35" i="29"/>
  <c r="I36" i="29"/>
  <c r="I37" i="29"/>
  <c r="I48" i="29"/>
  <c r="I50" i="29"/>
  <c r="I39" i="29"/>
  <c r="I40" i="29"/>
  <c r="I41" i="29"/>
  <c r="I44" i="29"/>
  <c r="I45" i="29"/>
  <c r="I46" i="29"/>
  <c r="I47" i="29"/>
  <c r="I49" i="29"/>
  <c r="I51" i="29"/>
  <c r="I53" i="29"/>
  <c r="I54" i="29"/>
  <c r="I55" i="29"/>
  <c r="I58" i="29"/>
  <c r="I59" i="29"/>
  <c r="I60" i="29"/>
  <c r="I61" i="29"/>
  <c r="I62" i="29"/>
  <c r="I108" i="29"/>
  <c r="I125" i="29"/>
  <c r="I107" i="29"/>
  <c r="I124" i="29"/>
  <c r="I106" i="29"/>
  <c r="I123" i="29"/>
  <c r="I105" i="29"/>
  <c r="I122" i="29"/>
  <c r="I104" i="29"/>
  <c r="I121" i="29"/>
  <c r="I103" i="29"/>
  <c r="I120" i="29"/>
  <c r="I102" i="29"/>
  <c r="I119" i="29"/>
  <c r="I101" i="29"/>
  <c r="I118" i="29"/>
  <c r="D77" i="6"/>
  <c r="D191" i="6"/>
  <c r="D200" i="6"/>
  <c r="D209" i="6"/>
  <c r="D218" i="6"/>
  <c r="D227" i="6"/>
  <c r="G43" i="4"/>
  <c r="G33" i="4"/>
  <c r="G57" i="4"/>
  <c r="J57" i="29"/>
  <c r="J43" i="29"/>
  <c r="J33" i="29"/>
  <c r="C214" i="6"/>
  <c r="C223" i="6"/>
  <c r="C232" i="6"/>
  <c r="C213" i="6"/>
  <c r="C222" i="6"/>
  <c r="C231" i="6"/>
  <c r="C216" i="6"/>
  <c r="C225" i="6"/>
  <c r="C234" i="6"/>
  <c r="C211" i="6"/>
  <c r="C220" i="6"/>
  <c r="C229" i="6"/>
  <c r="C215" i="6"/>
  <c r="C224" i="6"/>
  <c r="C233" i="6"/>
  <c r="C210" i="6"/>
  <c r="C219" i="6"/>
  <c r="C228" i="6"/>
  <c r="C212" i="6"/>
  <c r="C221" i="6"/>
  <c r="C230" i="6"/>
  <c r="D81" i="6"/>
  <c r="D195" i="6"/>
  <c r="D204" i="6"/>
  <c r="D213" i="6"/>
  <c r="D222" i="6"/>
  <c r="D231" i="6"/>
  <c r="D84" i="6"/>
  <c r="D198" i="6"/>
  <c r="D207" i="6"/>
  <c r="D216" i="6"/>
  <c r="D225" i="6"/>
  <c r="D234" i="6"/>
  <c r="D78" i="6"/>
  <c r="D192" i="6"/>
  <c r="D201" i="6"/>
  <c r="D210" i="6"/>
  <c r="D219" i="6"/>
  <c r="D228" i="6"/>
  <c r="D79" i="6"/>
  <c r="D193" i="6"/>
  <c r="D202" i="6"/>
  <c r="D211" i="6"/>
  <c r="D220" i="6"/>
  <c r="D229" i="6"/>
  <c r="D82" i="6"/>
  <c r="D196" i="6"/>
  <c r="D205" i="6"/>
  <c r="D214" i="6"/>
  <c r="D223" i="6"/>
  <c r="D232" i="6"/>
  <c r="D83" i="6"/>
  <c r="D197" i="6"/>
  <c r="D206" i="6"/>
  <c r="D215" i="6"/>
  <c r="D224" i="6"/>
  <c r="D233" i="6"/>
  <c r="D80" i="6"/>
  <c r="D194" i="6"/>
  <c r="D203" i="6"/>
  <c r="D212" i="6"/>
  <c r="D221" i="6"/>
  <c r="D230" i="6"/>
  <c r="F129" i="4"/>
  <c r="E98" i="6"/>
  <c r="E302" i="6"/>
  <c r="F132" i="4"/>
  <c r="E101" i="6"/>
  <c r="E305" i="6"/>
  <c r="F133" i="4"/>
  <c r="E102" i="6"/>
  <c r="E306" i="6"/>
  <c r="F127" i="4"/>
  <c r="E96" i="6"/>
  <c r="E300" i="6"/>
  <c r="F131" i="4"/>
  <c r="E100" i="6"/>
  <c r="E304" i="6"/>
  <c r="F130" i="4"/>
  <c r="E99" i="6"/>
  <c r="E303" i="6"/>
  <c r="F128" i="4"/>
  <c r="E97" i="6"/>
  <c r="E301" i="6"/>
  <c r="F126" i="4"/>
  <c r="E95" i="6"/>
  <c r="E299" i="6"/>
  <c r="I133" i="29"/>
  <c r="H102" i="30"/>
  <c r="H306" i="30"/>
  <c r="I132" i="29"/>
  <c r="H101" i="30"/>
  <c r="H305" i="30"/>
  <c r="I131" i="29"/>
  <c r="H100" i="30"/>
  <c r="H304" i="30"/>
  <c r="I130" i="29"/>
  <c r="H99" i="30"/>
  <c r="H303" i="30"/>
  <c r="I129" i="29"/>
  <c r="H98" i="30"/>
  <c r="H302" i="30"/>
  <c r="I128" i="29"/>
  <c r="H97" i="30"/>
  <c r="H301" i="30"/>
  <c r="I127" i="29"/>
  <c r="H96" i="30"/>
  <c r="H300" i="30"/>
  <c r="I126" i="29"/>
  <c r="H95" i="30"/>
  <c r="H299" i="30"/>
  <c r="H93" i="30"/>
  <c r="H252" i="30"/>
  <c r="H92" i="30"/>
  <c r="H251" i="30"/>
  <c r="H91" i="30"/>
  <c r="H250" i="30"/>
  <c r="H90" i="30"/>
  <c r="H249" i="30"/>
  <c r="H89" i="30"/>
  <c r="H248" i="30"/>
  <c r="H88" i="30"/>
  <c r="H247" i="30"/>
  <c r="H87" i="30"/>
  <c r="H246" i="30"/>
  <c r="H86" i="30"/>
  <c r="H245" i="30"/>
  <c r="G407" i="30"/>
  <c r="G408" i="30"/>
  <c r="G411" i="30"/>
  <c r="G414" i="30"/>
  <c r="G412" i="30"/>
  <c r="G410" i="30"/>
  <c r="G409" i="30"/>
  <c r="G413" i="30"/>
  <c r="G424" i="30"/>
  <c r="F15" i="9"/>
  <c r="G434" i="30"/>
  <c r="F17" i="9"/>
  <c r="D236" i="6"/>
  <c r="D254" i="6"/>
  <c r="D254" i="34"/>
  <c r="D236" i="34"/>
  <c r="D209" i="34"/>
  <c r="D218" i="34"/>
  <c r="D227" i="34"/>
  <c r="D238" i="6"/>
  <c r="D256" i="6"/>
  <c r="D256" i="34"/>
  <c r="D243" i="6"/>
  <c r="D261" i="6"/>
  <c r="D261" i="34"/>
  <c r="D239" i="6"/>
  <c r="D257" i="6"/>
  <c r="D257" i="34"/>
  <c r="D241" i="6"/>
  <c r="D259" i="6"/>
  <c r="D259" i="34"/>
  <c r="D237" i="6"/>
  <c r="D255" i="6"/>
  <c r="D255" i="34"/>
  <c r="D242" i="6"/>
  <c r="D260" i="6"/>
  <c r="D260" i="34"/>
  <c r="D240" i="6"/>
  <c r="D258" i="6"/>
  <c r="D258" i="34"/>
  <c r="D239" i="34"/>
  <c r="D240" i="34"/>
  <c r="D243" i="34"/>
  <c r="D237" i="34"/>
  <c r="D238" i="34"/>
  <c r="D242" i="34"/>
  <c r="D241" i="34"/>
  <c r="D194" i="34"/>
  <c r="D192" i="34"/>
  <c r="D195" i="34"/>
  <c r="D196" i="34"/>
  <c r="D198" i="34"/>
  <c r="D191" i="34"/>
  <c r="D193" i="34"/>
  <c r="D197" i="34"/>
  <c r="D78" i="34"/>
  <c r="D81" i="34"/>
  <c r="D82" i="34"/>
  <c r="D79" i="34"/>
  <c r="D77" i="34"/>
  <c r="D80" i="34"/>
  <c r="D83" i="34"/>
  <c r="D84" i="34"/>
  <c r="D204" i="34"/>
  <c r="D200" i="34"/>
  <c r="D205" i="34"/>
  <c r="D203" i="34"/>
  <c r="D201" i="34"/>
  <c r="D207" i="34"/>
  <c r="D206" i="34"/>
  <c r="D202" i="34"/>
  <c r="D214" i="34"/>
  <c r="D212" i="34"/>
  <c r="D211" i="34"/>
  <c r="D216" i="34"/>
  <c r="D215" i="34"/>
  <c r="D210" i="34"/>
  <c r="D213" i="34"/>
  <c r="D220" i="34"/>
  <c r="D222" i="34"/>
  <c r="D219" i="34"/>
  <c r="D224" i="34"/>
  <c r="D225" i="34"/>
  <c r="D223" i="34"/>
  <c r="D221" i="34"/>
  <c r="D230" i="34"/>
  <c r="D234" i="34"/>
  <c r="D233" i="34"/>
  <c r="D231" i="34"/>
  <c r="D232" i="34"/>
  <c r="D228" i="34"/>
  <c r="D229" i="34"/>
  <c r="E89" i="6"/>
  <c r="E248" i="6"/>
  <c r="E92" i="6"/>
  <c r="E251" i="6"/>
  <c r="E91" i="6"/>
  <c r="E250" i="6"/>
  <c r="E87" i="6"/>
  <c r="E246" i="6"/>
  <c r="E93" i="6"/>
  <c r="E252" i="6"/>
  <c r="E90" i="6"/>
  <c r="E249" i="6"/>
  <c r="E88" i="6"/>
  <c r="E247" i="6"/>
  <c r="E86" i="6"/>
  <c r="E245" i="6"/>
  <c r="F30" i="33"/>
  <c r="F25" i="33"/>
  <c r="F40" i="33"/>
  <c r="F54" i="33"/>
  <c r="E137" i="33"/>
  <c r="F29" i="33"/>
  <c r="F39" i="33"/>
  <c r="F53" i="33"/>
  <c r="D104" i="6"/>
  <c r="D104" i="34"/>
  <c r="F24" i="33"/>
  <c r="E135" i="33"/>
  <c r="F41" i="33"/>
  <c r="F31" i="33"/>
  <c r="F55" i="33"/>
  <c r="F58" i="33"/>
  <c r="F34" i="33"/>
  <c r="F44" i="33"/>
  <c r="F45" i="33"/>
  <c r="F35" i="33"/>
  <c r="F59" i="33"/>
  <c r="F46" i="33"/>
  <c r="F49" i="33"/>
  <c r="G57" i="33"/>
  <c r="F60" i="33"/>
  <c r="F61" i="33"/>
  <c r="F36" i="33"/>
  <c r="F48" i="33"/>
  <c r="G33" i="33"/>
  <c r="G43" i="33"/>
  <c r="F47" i="33"/>
  <c r="F51" i="33"/>
  <c r="F37" i="33"/>
  <c r="F50" i="33"/>
  <c r="F101" i="33"/>
  <c r="F107" i="33"/>
  <c r="F106" i="33"/>
  <c r="F103" i="33"/>
  <c r="F102" i="33"/>
  <c r="F104" i="33"/>
  <c r="F105" i="33"/>
  <c r="F108" i="33"/>
  <c r="E306" i="34"/>
  <c r="E302" i="34"/>
  <c r="E303" i="34"/>
  <c r="E304" i="34"/>
  <c r="E300" i="34"/>
  <c r="E245" i="34"/>
  <c r="E301" i="34"/>
  <c r="E305" i="34"/>
  <c r="E248" i="34"/>
  <c r="E299" i="34"/>
  <c r="E251" i="34"/>
  <c r="E247" i="34"/>
  <c r="E249" i="34"/>
  <c r="E246" i="34"/>
  <c r="E252" i="34"/>
  <c r="E250" i="34"/>
  <c r="E86" i="34"/>
  <c r="E92" i="34"/>
  <c r="E87" i="34"/>
  <c r="E95" i="34"/>
  <c r="E90" i="34"/>
  <c r="E96" i="34"/>
  <c r="E88" i="34"/>
  <c r="E100" i="34"/>
  <c r="E99" i="34"/>
  <c r="E91" i="34"/>
  <c r="E97" i="34"/>
  <c r="E102" i="34"/>
  <c r="E101" i="34"/>
  <c r="E93" i="34"/>
  <c r="E98" i="34"/>
  <c r="E89" i="34"/>
  <c r="F126" i="33"/>
  <c r="F132" i="33"/>
  <c r="F128" i="33"/>
  <c r="F130" i="33"/>
  <c r="F131" i="33"/>
  <c r="F129" i="33"/>
  <c r="F127" i="33"/>
  <c r="F133" i="33"/>
  <c r="F118" i="33"/>
  <c r="F125" i="33"/>
  <c r="F124" i="33"/>
  <c r="F119" i="33"/>
  <c r="F123" i="33"/>
  <c r="F121" i="33"/>
  <c r="F122" i="33"/>
  <c r="F120" i="33"/>
  <c r="D105" i="6"/>
  <c r="D105" i="34"/>
  <c r="C237" i="6"/>
  <c r="C255" i="6"/>
  <c r="C255" i="34"/>
  <c r="C242" i="6"/>
  <c r="C260" i="6"/>
  <c r="C260" i="34"/>
  <c r="C238" i="6"/>
  <c r="C256" i="6"/>
  <c r="C256" i="34"/>
  <c r="C241" i="6"/>
  <c r="C259" i="6"/>
  <c r="C259" i="34"/>
  <c r="C243" i="6"/>
  <c r="C261" i="6"/>
  <c r="C261" i="34"/>
  <c r="C239" i="6"/>
  <c r="C257" i="6"/>
  <c r="C257" i="34"/>
  <c r="C240" i="6"/>
  <c r="C258" i="6"/>
  <c r="C258" i="34"/>
  <c r="C236" i="6"/>
  <c r="C254" i="6"/>
  <c r="C254" i="34"/>
  <c r="C209" i="34"/>
  <c r="C218" i="34"/>
  <c r="C227" i="34"/>
  <c r="C236" i="34"/>
  <c r="C240" i="34"/>
  <c r="C239" i="34"/>
  <c r="C243" i="34"/>
  <c r="C241" i="34"/>
  <c r="C238" i="34"/>
  <c r="C242" i="34"/>
  <c r="C237" i="34"/>
  <c r="C231" i="34"/>
  <c r="C234" i="34"/>
  <c r="C230" i="34"/>
  <c r="C229" i="34"/>
  <c r="C228" i="34"/>
  <c r="C232" i="34"/>
  <c r="C233" i="34"/>
  <c r="C220" i="34"/>
  <c r="C223" i="34"/>
  <c r="C221" i="34"/>
  <c r="C225" i="34"/>
  <c r="C222" i="34"/>
  <c r="C224" i="34"/>
  <c r="C219" i="34"/>
  <c r="C216" i="34"/>
  <c r="C215" i="34"/>
  <c r="C211" i="34"/>
  <c r="C213" i="34"/>
  <c r="C214" i="34"/>
  <c r="C212" i="34"/>
  <c r="C210" i="34"/>
  <c r="D108" i="6"/>
  <c r="XF2" i="77"/>
  <c r="D108" i="34"/>
  <c r="XE2" i="77"/>
  <c r="E139" i="33"/>
  <c r="UX2" i="77"/>
  <c r="P139" i="33"/>
  <c r="UW2" i="77"/>
  <c r="E136" i="33"/>
  <c r="UD2" i="77"/>
  <c r="P136" i="33"/>
  <c r="UC2" i="77"/>
  <c r="E134" i="33"/>
  <c r="TJ2" i="77"/>
  <c r="P134" i="33"/>
  <c r="TI2" i="77"/>
  <c r="F62" i="33"/>
  <c r="SR2" i="77"/>
  <c r="Q62" i="33"/>
  <c r="SQ2" i="77"/>
  <c r="F27" i="33"/>
  <c r="RX2" i="77"/>
  <c r="Q27" i="33"/>
  <c r="RW2" i="77"/>
  <c r="F26" i="33"/>
  <c r="RD2" i="77"/>
  <c r="Q26" i="33"/>
  <c r="RC2" i="77"/>
  <c r="QN2" i="77"/>
  <c r="S139" i="29"/>
  <c r="QM2" i="77"/>
  <c r="PT2" i="77"/>
  <c r="S136" i="29"/>
  <c r="PS2" i="77"/>
  <c r="OZ2" i="77"/>
  <c r="S134" i="29"/>
  <c r="OY2" i="77"/>
  <c r="OH2" i="77"/>
  <c r="T62" i="29"/>
  <c r="OG2" i="77"/>
  <c r="NN2" i="77"/>
  <c r="T27" i="29"/>
  <c r="NM2" i="77"/>
  <c r="MT2" i="77"/>
  <c r="T26" i="29"/>
  <c r="MS2" i="77"/>
  <c r="LR2" i="77"/>
  <c r="P139" i="4"/>
  <c r="LQ2" i="77"/>
  <c r="KX2" i="77"/>
  <c r="P136" i="4"/>
  <c r="KW2" i="77"/>
  <c r="KD2" i="77"/>
  <c r="P134" i="4"/>
  <c r="KC2" i="77"/>
  <c r="JL2" i="77"/>
  <c r="Q62" i="4"/>
  <c r="JK2" i="77"/>
  <c r="IR2" i="77"/>
  <c r="Q27" i="4"/>
  <c r="IQ2" i="77"/>
  <c r="HX2" i="77"/>
  <c r="Q26" i="4"/>
  <c r="HW2" i="77"/>
  <c r="C263" i="6"/>
  <c r="C272" i="6"/>
  <c r="C281" i="6"/>
  <c r="F134" i="4" a="1"/>
  <c r="F134" i="4"/>
  <c r="F135" i="4"/>
  <c r="F136" i="4"/>
  <c r="G24" i="4"/>
  <c r="G25" i="4"/>
  <c r="G26" i="4"/>
  <c r="R26" i="4"/>
  <c r="HY2" i="77"/>
  <c r="HZ2" i="77"/>
  <c r="G27" i="4"/>
  <c r="R27" i="4"/>
  <c r="IS2" i="77"/>
  <c r="IT2" i="77"/>
  <c r="G29" i="4"/>
  <c r="G30" i="4"/>
  <c r="G31" i="4"/>
  <c r="G34" i="4"/>
  <c r="G35" i="4"/>
  <c r="G36" i="4"/>
  <c r="G37" i="4"/>
  <c r="G48" i="4"/>
  <c r="G50" i="4"/>
  <c r="G39" i="4"/>
  <c r="G40" i="4"/>
  <c r="G41" i="4"/>
  <c r="G44" i="4"/>
  <c r="G45" i="4"/>
  <c r="G46" i="4"/>
  <c r="G47" i="4"/>
  <c r="G49" i="4"/>
  <c r="G51" i="4"/>
  <c r="G53" i="4"/>
  <c r="G54" i="4"/>
  <c r="G55" i="4"/>
  <c r="G58" i="4"/>
  <c r="G59" i="4"/>
  <c r="G60" i="4"/>
  <c r="G61" i="4"/>
  <c r="G62" i="4"/>
  <c r="R62" i="4"/>
  <c r="JM2" i="77"/>
  <c r="JN2" i="77"/>
  <c r="Q134" i="4"/>
  <c r="KE2" i="77"/>
  <c r="KF2" i="77"/>
  <c r="Q136" i="4"/>
  <c r="KY2" i="77"/>
  <c r="KZ2" i="77"/>
  <c r="F137" i="4"/>
  <c r="F139" i="4"/>
  <c r="Q139" i="4"/>
  <c r="LS2" i="77"/>
  <c r="LT2" i="77"/>
  <c r="I134" i="29" a="1"/>
  <c r="I134" i="29"/>
  <c r="I135" i="29"/>
  <c r="I136" i="29"/>
  <c r="J24" i="29"/>
  <c r="J25" i="29"/>
  <c r="J26" i="29"/>
  <c r="U26" i="29"/>
  <c r="MU2" i="77"/>
  <c r="MV2" i="77"/>
  <c r="J27" i="29"/>
  <c r="U27" i="29"/>
  <c r="NO2" i="77"/>
  <c r="NP2" i="77"/>
  <c r="J29" i="29"/>
  <c r="J30" i="29"/>
  <c r="J31" i="29"/>
  <c r="J34" i="29"/>
  <c r="J35" i="29"/>
  <c r="J36" i="29"/>
  <c r="J37" i="29"/>
  <c r="J48" i="29"/>
  <c r="J50" i="29"/>
  <c r="J39" i="29"/>
  <c r="J40" i="29"/>
  <c r="J41" i="29"/>
  <c r="J44" i="29"/>
  <c r="J45" i="29"/>
  <c r="J46" i="29"/>
  <c r="J47" i="29"/>
  <c r="J49" i="29"/>
  <c r="J51" i="29"/>
  <c r="J53" i="29"/>
  <c r="J54" i="29"/>
  <c r="J55" i="29"/>
  <c r="J58" i="29"/>
  <c r="J59" i="29"/>
  <c r="J60" i="29"/>
  <c r="J61" i="29"/>
  <c r="J62" i="29"/>
  <c r="U62" i="29"/>
  <c r="OI2" i="77"/>
  <c r="OJ2" i="77"/>
  <c r="T134" i="29"/>
  <c r="PA2" i="77"/>
  <c r="PB2" i="77"/>
  <c r="T136" i="29"/>
  <c r="PU2" i="77"/>
  <c r="PV2" i="77"/>
  <c r="I137" i="29"/>
  <c r="I139" i="29"/>
  <c r="T139" i="29"/>
  <c r="QO2" i="77"/>
  <c r="QP2" i="77"/>
  <c r="G26" i="33"/>
  <c r="R26" i="33"/>
  <c r="RE2" i="77"/>
  <c r="RF2" i="77"/>
  <c r="G27" i="33"/>
  <c r="R27" i="33"/>
  <c r="RY2" i="77"/>
  <c r="RZ2" i="77"/>
  <c r="G62" i="33"/>
  <c r="R62" i="33"/>
  <c r="SS2" i="77"/>
  <c r="ST2" i="77"/>
  <c r="F134" i="33"/>
  <c r="Q134" i="33"/>
  <c r="TK2" i="77"/>
  <c r="TL2" i="77"/>
  <c r="F136" i="33"/>
  <c r="Q136" i="33"/>
  <c r="UE2" i="77"/>
  <c r="UF2" i="77"/>
  <c r="F139" i="33"/>
  <c r="Q139" i="33"/>
  <c r="UY2" i="77"/>
  <c r="UZ2" i="77"/>
  <c r="E104" i="6"/>
  <c r="E105" i="6"/>
  <c r="E108" i="6"/>
  <c r="E108" i="34"/>
  <c r="XG2" i="77"/>
  <c r="XH2" i="77"/>
  <c r="D263" i="6"/>
  <c r="D272" i="6"/>
  <c r="D281" i="6"/>
  <c r="E77" i="6"/>
  <c r="E191" i="6"/>
  <c r="E200" i="6"/>
  <c r="E209" i="6"/>
  <c r="E218" i="6"/>
  <c r="E227" i="6"/>
  <c r="E236" i="6"/>
  <c r="E254" i="6"/>
  <c r="E263" i="6"/>
  <c r="E272" i="6"/>
  <c r="E281" i="6"/>
  <c r="C264" i="6"/>
  <c r="C273" i="6"/>
  <c r="C282" i="6"/>
  <c r="C265" i="6"/>
  <c r="C274" i="6"/>
  <c r="C283" i="6"/>
  <c r="C266" i="6"/>
  <c r="C275" i="6"/>
  <c r="C284" i="6"/>
  <c r="C267" i="6"/>
  <c r="C276" i="6"/>
  <c r="C285" i="6"/>
  <c r="C268" i="6"/>
  <c r="C277" i="6"/>
  <c r="C286" i="6"/>
  <c r="C269" i="6"/>
  <c r="C278" i="6"/>
  <c r="C287" i="6"/>
  <c r="C270" i="6"/>
  <c r="C279" i="6"/>
  <c r="C288" i="6"/>
  <c r="H77" i="30"/>
  <c r="H191" i="30"/>
  <c r="H200" i="30"/>
  <c r="H209" i="30"/>
  <c r="H218" i="30"/>
  <c r="H227" i="30"/>
  <c r="H236" i="30"/>
  <c r="H254" i="30"/>
  <c r="H263" i="30"/>
  <c r="H272" i="30"/>
  <c r="H281" i="30"/>
  <c r="H290" i="30"/>
  <c r="H308" i="30"/>
  <c r="H317" i="30"/>
  <c r="H326" i="30"/>
  <c r="H335" i="30"/>
  <c r="H104" i="30"/>
  <c r="H105" i="30"/>
  <c r="H108" i="30"/>
  <c r="H344" i="30"/>
  <c r="H362" i="30"/>
  <c r="H371" i="30"/>
  <c r="H380" i="30"/>
  <c r="H389" i="30"/>
  <c r="H398" i="30"/>
  <c r="H416" i="30"/>
  <c r="H426" i="30"/>
  <c r="H436" i="30"/>
  <c r="C265" i="34"/>
  <c r="C266" i="34"/>
  <c r="C264" i="34"/>
  <c r="C270" i="34"/>
  <c r="C269" i="34"/>
  <c r="C267" i="34"/>
  <c r="C268" i="34"/>
  <c r="C263" i="34"/>
  <c r="F135" i="33"/>
  <c r="G53" i="33"/>
  <c r="G39" i="33"/>
  <c r="F137" i="33"/>
  <c r="G24" i="33"/>
  <c r="G29" i="33"/>
  <c r="E104" i="34"/>
  <c r="G30" i="33"/>
  <c r="G54" i="33"/>
  <c r="G40" i="33"/>
  <c r="E105" i="34"/>
  <c r="G25" i="33"/>
  <c r="G31" i="33"/>
  <c r="G41" i="33"/>
  <c r="G55" i="33"/>
  <c r="G44" i="33"/>
  <c r="G34" i="33"/>
  <c r="G58" i="33"/>
  <c r="G59" i="33"/>
  <c r="G45" i="33"/>
  <c r="G35" i="33"/>
  <c r="H43" i="4"/>
  <c r="H43" i="33"/>
  <c r="G61" i="33"/>
  <c r="G60" i="33"/>
  <c r="H57" i="4"/>
  <c r="H57" i="33"/>
  <c r="G48" i="33"/>
  <c r="G36" i="33"/>
  <c r="H33" i="4"/>
  <c r="H33" i="33"/>
  <c r="G49" i="33"/>
  <c r="G46" i="33"/>
  <c r="G37" i="33"/>
  <c r="G47" i="33"/>
  <c r="G51" i="33"/>
  <c r="G50" i="33"/>
  <c r="G102" i="4"/>
  <c r="G102" i="33"/>
  <c r="G107" i="4"/>
  <c r="G107" i="33"/>
  <c r="G101" i="4"/>
  <c r="G101" i="33"/>
  <c r="G108" i="4"/>
  <c r="G108" i="33"/>
  <c r="G105" i="4"/>
  <c r="G105" i="33"/>
  <c r="G103" i="4"/>
  <c r="G103" i="33"/>
  <c r="G106" i="4"/>
  <c r="G106" i="33"/>
  <c r="G104" i="4"/>
  <c r="G104" i="33"/>
  <c r="G120" i="4"/>
  <c r="G120" i="33"/>
  <c r="G121" i="4"/>
  <c r="G121" i="33"/>
  <c r="G122" i="4"/>
  <c r="G122" i="33"/>
  <c r="G124" i="4"/>
  <c r="G124" i="33"/>
  <c r="G119" i="4"/>
  <c r="G119" i="33"/>
  <c r="G123" i="4"/>
  <c r="G123" i="33"/>
  <c r="G118" i="4"/>
  <c r="G118" i="33"/>
  <c r="G125" i="4"/>
  <c r="G125" i="33"/>
  <c r="G127" i="4"/>
  <c r="G127" i="33"/>
  <c r="G129" i="4"/>
  <c r="G129" i="33"/>
  <c r="G131" i="4"/>
  <c r="G131" i="33"/>
  <c r="G132" i="4"/>
  <c r="G132" i="33"/>
  <c r="G128" i="4"/>
  <c r="G128" i="33"/>
  <c r="G126" i="4"/>
  <c r="G126" i="33"/>
  <c r="G130" i="4"/>
  <c r="G130" i="33"/>
  <c r="G133" i="4"/>
  <c r="G133" i="33"/>
  <c r="F97" i="6"/>
  <c r="F97" i="34"/>
  <c r="F99" i="6"/>
  <c r="F99" i="34"/>
  <c r="F93" i="6"/>
  <c r="F93" i="34"/>
  <c r="F102" i="6"/>
  <c r="F102" i="34"/>
  <c r="F92" i="6"/>
  <c r="F92" i="34"/>
  <c r="F101" i="6"/>
  <c r="F101" i="34"/>
  <c r="F90" i="6"/>
  <c r="F90" i="34"/>
  <c r="F89" i="6"/>
  <c r="F89" i="34"/>
  <c r="F95" i="6"/>
  <c r="F95" i="34"/>
  <c r="F100" i="6"/>
  <c r="F100" i="34"/>
  <c r="F98" i="6"/>
  <c r="F98" i="34"/>
  <c r="F96" i="6"/>
  <c r="F96" i="34"/>
  <c r="F88" i="6"/>
  <c r="F88" i="34"/>
  <c r="F91" i="6"/>
  <c r="F91" i="34"/>
  <c r="F87" i="6"/>
  <c r="F87" i="34"/>
  <c r="F86" i="6"/>
  <c r="F86" i="34"/>
  <c r="F305" i="6"/>
  <c r="F305" i="34"/>
  <c r="F251" i="6"/>
  <c r="F251" i="34"/>
  <c r="F252" i="6"/>
  <c r="F252" i="34"/>
  <c r="F248" i="6"/>
  <c r="F248" i="34"/>
  <c r="F301" i="6"/>
  <c r="F301" i="34"/>
  <c r="F299" i="6"/>
  <c r="F299" i="34"/>
  <c r="F306" i="6"/>
  <c r="F306" i="34"/>
  <c r="F245" i="6"/>
  <c r="F245" i="34"/>
  <c r="F250" i="6"/>
  <c r="F250" i="34"/>
  <c r="F304" i="6"/>
  <c r="F304" i="34"/>
  <c r="F247" i="6"/>
  <c r="F247" i="34"/>
  <c r="F249" i="6"/>
  <c r="F249" i="34"/>
  <c r="F246" i="6"/>
  <c r="F246" i="34"/>
  <c r="F303" i="6"/>
  <c r="F303" i="34"/>
  <c r="F302" i="6"/>
  <c r="F302" i="34"/>
  <c r="F300" i="6"/>
  <c r="F300" i="34"/>
  <c r="E84" i="6"/>
  <c r="E84" i="34"/>
  <c r="E83" i="6"/>
  <c r="E83" i="34"/>
  <c r="E79" i="6"/>
  <c r="E79" i="34"/>
  <c r="E78" i="6"/>
  <c r="E78" i="34"/>
  <c r="E82" i="6"/>
  <c r="E82" i="34"/>
  <c r="E81" i="6"/>
  <c r="E81" i="34"/>
  <c r="E80" i="6"/>
  <c r="E80" i="34"/>
  <c r="E77" i="34"/>
  <c r="E194" i="6"/>
  <c r="E194" i="34"/>
  <c r="E193" i="6"/>
  <c r="E193" i="34"/>
  <c r="E191" i="34"/>
  <c r="E192" i="6"/>
  <c r="E192" i="34"/>
  <c r="E197" i="6"/>
  <c r="E197" i="34"/>
  <c r="E198" i="6"/>
  <c r="E198" i="34"/>
  <c r="E196" i="6"/>
  <c r="E196" i="34"/>
  <c r="E195" i="6"/>
  <c r="E195" i="34"/>
  <c r="E202" i="6"/>
  <c r="E202" i="34"/>
  <c r="E203" i="6"/>
  <c r="E203" i="34"/>
  <c r="E201" i="6"/>
  <c r="E201" i="34"/>
  <c r="E200" i="34"/>
  <c r="E206" i="6"/>
  <c r="E206" i="34"/>
  <c r="E205" i="6"/>
  <c r="E205" i="34"/>
  <c r="E204" i="6"/>
  <c r="E204" i="34"/>
  <c r="E207" i="6"/>
  <c r="E207" i="34"/>
  <c r="E216" i="6"/>
  <c r="E216" i="34"/>
  <c r="E214" i="6"/>
  <c r="E214" i="34"/>
  <c r="E212" i="6"/>
  <c r="E212" i="34"/>
  <c r="E211" i="6"/>
  <c r="E211" i="34"/>
  <c r="E209" i="34"/>
  <c r="E215" i="6"/>
  <c r="E215" i="34"/>
  <c r="E210" i="6"/>
  <c r="E210" i="34"/>
  <c r="E213" i="6"/>
  <c r="E213" i="34"/>
  <c r="E219" i="6"/>
  <c r="E219" i="34"/>
  <c r="E223" i="6"/>
  <c r="E223" i="34"/>
  <c r="E218" i="34"/>
  <c r="E221" i="6"/>
  <c r="E221" i="34"/>
  <c r="E225" i="6"/>
  <c r="E225" i="34"/>
  <c r="E220" i="6"/>
  <c r="E220" i="34"/>
  <c r="E224" i="6"/>
  <c r="E224" i="34"/>
  <c r="E222" i="6"/>
  <c r="E222" i="34"/>
  <c r="E228" i="6"/>
  <c r="E228" i="34"/>
  <c r="E230" i="6"/>
  <c r="E230" i="34"/>
  <c r="E229" i="6"/>
  <c r="E229" i="34"/>
  <c r="E232" i="6"/>
  <c r="E232" i="34"/>
  <c r="E227" i="34"/>
  <c r="E234" i="6"/>
  <c r="E234" i="34"/>
  <c r="E233" i="6"/>
  <c r="E233" i="34"/>
  <c r="E231" i="6"/>
  <c r="E231" i="34"/>
  <c r="E243" i="6"/>
  <c r="E243" i="34"/>
  <c r="E237" i="6"/>
  <c r="E237" i="34"/>
  <c r="E241" i="6"/>
  <c r="E241" i="34"/>
  <c r="E242" i="6"/>
  <c r="E242" i="34"/>
  <c r="E236" i="34"/>
  <c r="E238" i="6"/>
  <c r="E238" i="34"/>
  <c r="E239" i="6"/>
  <c r="E239" i="34"/>
  <c r="E240" i="6"/>
  <c r="E240" i="34"/>
  <c r="E254" i="34"/>
  <c r="E259" i="6"/>
  <c r="E259" i="34"/>
  <c r="E256" i="6"/>
  <c r="E256" i="34"/>
  <c r="E260" i="6"/>
  <c r="E260" i="34"/>
  <c r="E255" i="6"/>
  <c r="E255" i="34"/>
  <c r="E257" i="6"/>
  <c r="E257" i="34"/>
  <c r="E258" i="6"/>
  <c r="E258" i="34"/>
  <c r="E261" i="6"/>
  <c r="E261" i="34"/>
  <c r="E264" i="6"/>
  <c r="E273" i="6"/>
  <c r="E273" i="34"/>
  <c r="E265" i="6"/>
  <c r="E274" i="6"/>
  <c r="E274" i="34"/>
  <c r="E267" i="6"/>
  <c r="E276" i="6"/>
  <c r="E276" i="34"/>
  <c r="E272" i="34"/>
  <c r="E269" i="6"/>
  <c r="E278" i="6"/>
  <c r="E278" i="34"/>
  <c r="E268" i="6"/>
  <c r="E277" i="6"/>
  <c r="E277" i="34"/>
  <c r="E266" i="6"/>
  <c r="E275" i="6"/>
  <c r="E275" i="34"/>
  <c r="E270" i="6"/>
  <c r="E279" i="6"/>
  <c r="E279" i="34"/>
  <c r="E263" i="34"/>
  <c r="E265" i="34"/>
  <c r="E267" i="34"/>
  <c r="E270" i="34"/>
  <c r="E264" i="34"/>
  <c r="E268" i="34"/>
  <c r="E269" i="34"/>
  <c r="E266" i="34"/>
  <c r="E286" i="6"/>
  <c r="E295" i="6"/>
  <c r="E295" i="34"/>
  <c r="E285" i="6"/>
  <c r="E294" i="6"/>
  <c r="E294" i="34"/>
  <c r="E288" i="6"/>
  <c r="E297" i="6"/>
  <c r="E297" i="34"/>
  <c r="E282" i="6"/>
  <c r="E291" i="6"/>
  <c r="E291" i="34"/>
  <c r="E284" i="6"/>
  <c r="E293" i="6"/>
  <c r="E293" i="34"/>
  <c r="E287" i="6"/>
  <c r="E296" i="6"/>
  <c r="E296" i="34"/>
  <c r="E283" i="6"/>
  <c r="E292" i="6"/>
  <c r="E292" i="34"/>
  <c r="E290" i="6"/>
  <c r="E290" i="34"/>
  <c r="E282" i="34"/>
  <c r="E281" i="34"/>
  <c r="E287" i="34"/>
  <c r="E286" i="34"/>
  <c r="E288" i="34"/>
  <c r="E284" i="34"/>
  <c r="E285" i="34"/>
  <c r="E283" i="34"/>
  <c r="D263" i="34"/>
  <c r="D272" i="34"/>
  <c r="D281" i="34"/>
  <c r="D290" i="6"/>
  <c r="D290" i="34"/>
  <c r="D269" i="6"/>
  <c r="D278" i="6"/>
  <c r="D287" i="6"/>
  <c r="D296" i="6"/>
  <c r="D296" i="34"/>
  <c r="D267" i="6"/>
  <c r="D276" i="6"/>
  <c r="D285" i="6"/>
  <c r="D294" i="6"/>
  <c r="D294" i="34"/>
  <c r="D270" i="6"/>
  <c r="D279" i="6"/>
  <c r="D288" i="6"/>
  <c r="D297" i="6"/>
  <c r="D297" i="34"/>
  <c r="D268" i="6"/>
  <c r="D277" i="6"/>
  <c r="D286" i="6"/>
  <c r="D295" i="6"/>
  <c r="D295" i="34"/>
  <c r="D266" i="6"/>
  <c r="D275" i="6"/>
  <c r="D284" i="6"/>
  <c r="D293" i="6"/>
  <c r="D293" i="34"/>
  <c r="D265" i="6"/>
  <c r="D274" i="6"/>
  <c r="D283" i="6"/>
  <c r="D292" i="6"/>
  <c r="D292" i="34"/>
  <c r="D264" i="6"/>
  <c r="D273" i="6"/>
  <c r="D282" i="6"/>
  <c r="D291" i="6"/>
  <c r="D291" i="34"/>
  <c r="D288" i="34"/>
  <c r="D284" i="34"/>
  <c r="D286" i="34"/>
  <c r="D287" i="34"/>
  <c r="D282" i="34"/>
  <c r="D285" i="34"/>
  <c r="D283" i="34"/>
  <c r="D273" i="34"/>
  <c r="D279" i="34"/>
  <c r="D274" i="34"/>
  <c r="D278" i="34"/>
  <c r="D275" i="34"/>
  <c r="D277" i="34"/>
  <c r="D276" i="34"/>
  <c r="D267" i="34"/>
  <c r="D270" i="34"/>
  <c r="D264" i="34"/>
  <c r="D268" i="34"/>
  <c r="D266" i="34"/>
  <c r="D265" i="34"/>
  <c r="D269" i="34"/>
  <c r="C290" i="6"/>
  <c r="C290" i="34"/>
  <c r="C281" i="34"/>
  <c r="C272" i="34"/>
  <c r="C276" i="34"/>
  <c r="C279" i="34"/>
  <c r="C275" i="34"/>
  <c r="C278" i="34"/>
  <c r="C277" i="34"/>
  <c r="C274" i="34"/>
  <c r="C273" i="34"/>
  <c r="C288" i="34"/>
  <c r="C284" i="34"/>
  <c r="C287" i="34"/>
  <c r="C286" i="34"/>
  <c r="C282" i="34"/>
  <c r="C283" i="34"/>
  <c r="C285" i="34"/>
  <c r="C294" i="6"/>
  <c r="C294" i="34"/>
  <c r="C296" i="6"/>
  <c r="C296" i="34"/>
  <c r="C295" i="6"/>
  <c r="C295" i="34"/>
  <c r="C293" i="6"/>
  <c r="C293" i="34"/>
  <c r="C297" i="6"/>
  <c r="C297" i="34"/>
  <c r="C291" i="6"/>
  <c r="C291" i="34"/>
  <c r="C292" i="6"/>
  <c r="C292" i="34"/>
  <c r="H78" i="30"/>
  <c r="H192" i="30"/>
  <c r="H201" i="30"/>
  <c r="H210" i="30"/>
  <c r="H219" i="30"/>
  <c r="H228" i="30"/>
  <c r="H237" i="30"/>
  <c r="H255" i="30"/>
  <c r="H264" i="30"/>
  <c r="H273" i="30"/>
  <c r="H79" i="30"/>
  <c r="H193" i="30"/>
  <c r="H202" i="30"/>
  <c r="H211" i="30"/>
  <c r="H220" i="30"/>
  <c r="H229" i="30"/>
  <c r="H238" i="30"/>
  <c r="H256" i="30"/>
  <c r="H265" i="30"/>
  <c r="H274" i="30"/>
  <c r="H80" i="30"/>
  <c r="H194" i="30"/>
  <c r="H203" i="30"/>
  <c r="H212" i="30"/>
  <c r="H221" i="30"/>
  <c r="H230" i="30"/>
  <c r="H239" i="30"/>
  <c r="H257" i="30"/>
  <c r="H266" i="30"/>
  <c r="H275" i="30"/>
  <c r="H81" i="30"/>
  <c r="H195" i="30"/>
  <c r="H204" i="30"/>
  <c r="H213" i="30"/>
  <c r="H222" i="30"/>
  <c r="H231" i="30"/>
  <c r="H240" i="30"/>
  <c r="H258" i="30"/>
  <c r="H267" i="30"/>
  <c r="H276" i="30"/>
  <c r="H82" i="30"/>
  <c r="H196" i="30"/>
  <c r="H205" i="30"/>
  <c r="H214" i="30"/>
  <c r="H223" i="30"/>
  <c r="H232" i="30"/>
  <c r="H241" i="30"/>
  <c r="H259" i="30"/>
  <c r="H268" i="30"/>
  <c r="H277" i="30"/>
  <c r="H83" i="30"/>
  <c r="H197" i="30"/>
  <c r="H206" i="30"/>
  <c r="H215" i="30"/>
  <c r="H224" i="30"/>
  <c r="H233" i="30"/>
  <c r="H242" i="30"/>
  <c r="H260" i="30"/>
  <c r="H269" i="30"/>
  <c r="H278" i="30"/>
  <c r="H84" i="30"/>
  <c r="H198" i="30"/>
  <c r="H207" i="30"/>
  <c r="H216" i="30"/>
  <c r="H225" i="30"/>
  <c r="H234" i="30"/>
  <c r="H243" i="30"/>
  <c r="H261" i="30"/>
  <c r="H270" i="30"/>
  <c r="H279" i="30"/>
  <c r="H282" i="30"/>
  <c r="H291" i="30"/>
  <c r="H309" i="30"/>
  <c r="H318" i="30"/>
  <c r="H327" i="30"/>
  <c r="H283" i="30"/>
  <c r="H292" i="30"/>
  <c r="H310" i="30"/>
  <c r="H319" i="30"/>
  <c r="H328" i="30"/>
  <c r="H284" i="30"/>
  <c r="H293" i="30"/>
  <c r="H311" i="30"/>
  <c r="H320" i="30"/>
  <c r="H329" i="30"/>
  <c r="H285" i="30"/>
  <c r="H294" i="30"/>
  <c r="H312" i="30"/>
  <c r="H321" i="30"/>
  <c r="H330" i="30"/>
  <c r="H286" i="30"/>
  <c r="H295" i="30"/>
  <c r="H313" i="30"/>
  <c r="H322" i="30"/>
  <c r="H331" i="30"/>
  <c r="H287" i="30"/>
  <c r="H296" i="30"/>
  <c r="H314" i="30"/>
  <c r="H323" i="30"/>
  <c r="H332" i="30"/>
  <c r="H288" i="30"/>
  <c r="H297" i="30"/>
  <c r="H315" i="30"/>
  <c r="H324" i="30"/>
  <c r="H333" i="30"/>
  <c r="H336" i="30"/>
  <c r="H345" i="30"/>
  <c r="H363" i="30"/>
  <c r="H337" i="30"/>
  <c r="H346" i="30"/>
  <c r="H364" i="30"/>
  <c r="H338" i="30"/>
  <c r="H347" i="30"/>
  <c r="H365" i="30"/>
  <c r="H339" i="30"/>
  <c r="H348" i="30"/>
  <c r="H366" i="30"/>
  <c r="H340" i="30"/>
  <c r="H349" i="30"/>
  <c r="H367" i="30"/>
  <c r="H341" i="30"/>
  <c r="H350" i="30"/>
  <c r="H368" i="30"/>
  <c r="H342" i="30"/>
  <c r="H351" i="30"/>
  <c r="H369" i="30"/>
  <c r="H372" i="30"/>
  <c r="H381" i="30"/>
  <c r="H390" i="30"/>
  <c r="H373" i="30"/>
  <c r="H382" i="30"/>
  <c r="H391" i="30"/>
  <c r="H374" i="30"/>
  <c r="H383" i="30"/>
  <c r="H392" i="30"/>
  <c r="H375" i="30"/>
  <c r="H384" i="30"/>
  <c r="H393" i="30"/>
  <c r="H376" i="30"/>
  <c r="H385" i="30"/>
  <c r="H394" i="30"/>
  <c r="H377" i="30"/>
  <c r="H386" i="30"/>
  <c r="H395" i="30"/>
  <c r="H378" i="30"/>
  <c r="H387" i="30"/>
  <c r="H396" i="30"/>
  <c r="H407" i="30"/>
  <c r="H400" i="30"/>
  <c r="H409" i="30"/>
  <c r="H401" i="30"/>
  <c r="H410" i="30"/>
  <c r="H403" i="30"/>
  <c r="H412" i="30"/>
  <c r="H404" i="30"/>
  <c r="H413" i="30"/>
  <c r="H405" i="30"/>
  <c r="H414" i="30"/>
  <c r="H399" i="30"/>
  <c r="H408" i="30"/>
  <c r="H402" i="30"/>
  <c r="H411" i="30"/>
  <c r="H417" i="30"/>
  <c r="H418" i="30"/>
  <c r="H419" i="30"/>
  <c r="H420" i="30"/>
  <c r="H421" i="30"/>
  <c r="H422" i="30"/>
  <c r="H423" i="30"/>
  <c r="H424" i="30"/>
  <c r="G15" i="9"/>
  <c r="H427" i="30"/>
  <c r="H428" i="30"/>
  <c r="H429" i="30"/>
  <c r="H430" i="30"/>
  <c r="H431" i="30"/>
  <c r="H432" i="30"/>
  <c r="H433" i="30"/>
  <c r="H434" i="30"/>
  <c r="G17" i="9"/>
  <c r="C312" i="6"/>
  <c r="C312" i="34"/>
  <c r="C314" i="6"/>
  <c r="C314" i="34"/>
  <c r="C313" i="6"/>
  <c r="C313" i="34"/>
  <c r="C311" i="6"/>
  <c r="C311" i="34"/>
  <c r="C315" i="6"/>
  <c r="C315" i="34"/>
  <c r="C309" i="6"/>
  <c r="C309" i="34"/>
  <c r="C310" i="6"/>
  <c r="C310" i="34"/>
  <c r="C308" i="6"/>
  <c r="C308" i="34"/>
  <c r="D315" i="6"/>
  <c r="D315" i="34"/>
  <c r="D311" i="6"/>
  <c r="D311" i="34"/>
  <c r="D313" i="6"/>
  <c r="D313" i="34"/>
  <c r="D312" i="6"/>
  <c r="D312" i="34"/>
  <c r="D309" i="6"/>
  <c r="D309" i="34"/>
  <c r="D310" i="6"/>
  <c r="D310" i="34"/>
  <c r="D314" i="6"/>
  <c r="D314" i="34"/>
  <c r="D323" i="6"/>
  <c r="D323" i="34"/>
  <c r="D324" i="6"/>
  <c r="D324" i="34"/>
  <c r="D321" i="6"/>
  <c r="D321" i="34"/>
  <c r="D322" i="6"/>
  <c r="D322" i="34"/>
  <c r="D318" i="6"/>
  <c r="D318" i="34"/>
  <c r="D320" i="6"/>
  <c r="D320" i="34"/>
  <c r="D319" i="6"/>
  <c r="D319" i="34"/>
  <c r="D328" i="6"/>
  <c r="D328" i="34"/>
  <c r="D331" i="6"/>
  <c r="D331" i="34"/>
  <c r="D330" i="6"/>
  <c r="D330" i="34"/>
  <c r="D329" i="6"/>
  <c r="D329" i="34"/>
  <c r="D332" i="6"/>
  <c r="D332" i="34"/>
  <c r="D333" i="6"/>
  <c r="D333" i="34"/>
  <c r="D327" i="6"/>
  <c r="D327" i="34"/>
  <c r="D340" i="6"/>
  <c r="D340" i="34"/>
  <c r="D338" i="6"/>
  <c r="D338" i="34"/>
  <c r="D337" i="6"/>
  <c r="D337" i="34"/>
  <c r="D341" i="6"/>
  <c r="D341" i="34"/>
  <c r="D339" i="6"/>
  <c r="D339" i="34"/>
  <c r="D336" i="6"/>
  <c r="D336" i="34"/>
  <c r="D342" i="6"/>
  <c r="D342" i="34"/>
  <c r="D308" i="6"/>
  <c r="D308" i="34"/>
  <c r="E314" i="6"/>
  <c r="E323" i="6"/>
  <c r="E332" i="6"/>
  <c r="E341" i="6"/>
  <c r="E341" i="34"/>
  <c r="E311" i="6"/>
  <c r="E320" i="6"/>
  <c r="E329" i="6"/>
  <c r="E338" i="6"/>
  <c r="E338" i="34"/>
  <c r="E313" i="6"/>
  <c r="E322" i="6"/>
  <c r="E331" i="6"/>
  <c r="E340" i="6"/>
  <c r="E340" i="34"/>
  <c r="E312" i="6"/>
  <c r="E321" i="6"/>
  <c r="E330" i="6"/>
  <c r="E339" i="6"/>
  <c r="E339" i="34"/>
  <c r="E315" i="6"/>
  <c r="E324" i="6"/>
  <c r="E333" i="6"/>
  <c r="E342" i="6"/>
  <c r="E342" i="34"/>
  <c r="E309" i="6"/>
  <c r="E318" i="6"/>
  <c r="E327" i="6"/>
  <c r="E336" i="6"/>
  <c r="E336" i="34"/>
  <c r="E310" i="6"/>
  <c r="E319" i="6"/>
  <c r="E328" i="6"/>
  <c r="E337" i="6"/>
  <c r="E337" i="34"/>
  <c r="E332" i="34"/>
  <c r="E327" i="34"/>
  <c r="E330" i="34"/>
  <c r="E329" i="34"/>
  <c r="E328" i="34"/>
  <c r="E333" i="34"/>
  <c r="E331" i="34"/>
  <c r="E308" i="6"/>
  <c r="E308" i="34"/>
  <c r="E310" i="34"/>
  <c r="E312" i="34"/>
  <c r="E313" i="34"/>
  <c r="E309" i="34"/>
  <c r="E315" i="34"/>
  <c r="E314" i="34"/>
  <c r="E311" i="34"/>
  <c r="E320" i="34"/>
  <c r="E321" i="34"/>
  <c r="E319" i="34"/>
  <c r="E324" i="34"/>
  <c r="E322" i="34"/>
  <c r="E323" i="34"/>
  <c r="E318" i="34"/>
  <c r="J101" i="29"/>
  <c r="J118" i="29"/>
  <c r="J126" i="29"/>
  <c r="I86" i="30"/>
  <c r="I245" i="30"/>
  <c r="I95" i="30"/>
  <c r="I299" i="30"/>
  <c r="J102" i="29"/>
  <c r="J119" i="29"/>
  <c r="J127" i="29"/>
  <c r="I87" i="30"/>
  <c r="I246" i="30"/>
  <c r="I96" i="30"/>
  <c r="I300" i="30"/>
  <c r="J103" i="29"/>
  <c r="J120" i="29"/>
  <c r="J128" i="29"/>
  <c r="I88" i="30"/>
  <c r="I247" i="30"/>
  <c r="I97" i="30"/>
  <c r="I301" i="30"/>
  <c r="J104" i="29"/>
  <c r="J121" i="29"/>
  <c r="J129" i="29"/>
  <c r="I89" i="30"/>
  <c r="I248" i="30"/>
  <c r="I98" i="30"/>
  <c r="I302" i="30"/>
  <c r="J105" i="29"/>
  <c r="J122" i="29"/>
  <c r="J130" i="29"/>
  <c r="I90" i="30"/>
  <c r="I249" i="30"/>
  <c r="I99" i="30"/>
  <c r="I303" i="30"/>
  <c r="J106" i="29"/>
  <c r="J123" i="29"/>
  <c r="J131" i="29"/>
  <c r="I91" i="30"/>
  <c r="I250" i="30"/>
  <c r="I100" i="30"/>
  <c r="I304" i="30"/>
  <c r="J107" i="29"/>
  <c r="J124" i="29"/>
  <c r="J132" i="29"/>
  <c r="I92" i="30"/>
  <c r="I251" i="30"/>
  <c r="I101" i="30"/>
  <c r="I305" i="30"/>
  <c r="J108" i="29"/>
  <c r="J125" i="29"/>
  <c r="J133" i="29"/>
  <c r="I93" i="30"/>
  <c r="I252" i="30"/>
  <c r="I102" i="30"/>
  <c r="I306" i="30"/>
  <c r="K33" i="29"/>
  <c r="K43" i="29"/>
  <c r="K57" i="29"/>
  <c r="C344" i="6" a="1"/>
  <c r="E349" i="6"/>
  <c r="E367" i="6"/>
  <c r="E367" i="34"/>
  <c r="E345" i="6"/>
  <c r="E363" i="6"/>
  <c r="E363" i="34"/>
  <c r="E351" i="6"/>
  <c r="E369" i="6"/>
  <c r="E369" i="34"/>
  <c r="E350" i="6"/>
  <c r="E368" i="6"/>
  <c r="E368" i="34"/>
  <c r="E347" i="6"/>
  <c r="E365" i="6"/>
  <c r="E365" i="34"/>
  <c r="E346" i="6"/>
  <c r="E364" i="6"/>
  <c r="E364" i="34"/>
  <c r="E348" i="6"/>
  <c r="E366" i="6"/>
  <c r="E366" i="34"/>
  <c r="E351" i="34"/>
  <c r="E350" i="34"/>
  <c r="E348" i="34"/>
  <c r="E345" i="34"/>
  <c r="E346" i="34"/>
  <c r="E349" i="34"/>
  <c r="E347" i="34"/>
  <c r="D350" i="6"/>
  <c r="D368" i="6"/>
  <c r="D368" i="34"/>
  <c r="D348" i="6"/>
  <c r="D366" i="6"/>
  <c r="D366" i="34"/>
  <c r="D349" i="6"/>
  <c r="D367" i="6"/>
  <c r="D367" i="34"/>
  <c r="D347" i="6"/>
  <c r="D365" i="6"/>
  <c r="D365" i="34"/>
  <c r="D346" i="6"/>
  <c r="D364" i="6"/>
  <c r="D364" i="34"/>
  <c r="D345" i="6"/>
  <c r="D363" i="6"/>
  <c r="D363" i="34"/>
  <c r="D351" i="6"/>
  <c r="D369" i="6"/>
  <c r="D369" i="34"/>
  <c r="D350" i="34"/>
  <c r="D345" i="34"/>
  <c r="D348" i="34"/>
  <c r="D351" i="34"/>
  <c r="D346" i="34"/>
  <c r="D347" i="34"/>
  <c r="D349" i="34"/>
  <c r="H437" i="30"/>
  <c r="H438" i="30"/>
  <c r="H439" i="30"/>
  <c r="H440" i="30"/>
  <c r="H441" i="30"/>
  <c r="H442" i="30"/>
  <c r="H443" i="30"/>
  <c r="H444" i="30"/>
  <c r="G19" i="9"/>
  <c r="C317" i="6"/>
  <c r="C326" i="6"/>
  <c r="C335" i="6"/>
  <c r="G134" i="4" a="1"/>
  <c r="G134" i="4"/>
  <c r="G135" i="4"/>
  <c r="G136" i="4"/>
  <c r="G137" i="4"/>
  <c r="G139" i="4"/>
  <c r="J134" i="29" a="1"/>
  <c r="J134" i="29"/>
  <c r="J135" i="29"/>
  <c r="J136" i="29"/>
  <c r="J137" i="29"/>
  <c r="J139" i="29"/>
  <c r="I77" i="30"/>
  <c r="I191" i="30"/>
  <c r="I200" i="30"/>
  <c r="I209" i="30"/>
  <c r="I218" i="30"/>
  <c r="I227" i="30"/>
  <c r="I236" i="30"/>
  <c r="I254" i="30"/>
  <c r="I263" i="30"/>
  <c r="I272" i="30"/>
  <c r="I281" i="30"/>
  <c r="I290" i="30"/>
  <c r="I308" i="30"/>
  <c r="I317" i="30"/>
  <c r="I326" i="30"/>
  <c r="I335" i="30"/>
  <c r="I104" i="30"/>
  <c r="I105" i="30"/>
  <c r="I108" i="30"/>
  <c r="I344" i="30"/>
  <c r="I362" i="30"/>
  <c r="I371" i="30"/>
  <c r="I380" i="30"/>
  <c r="I389" i="30"/>
  <c r="I398" i="30"/>
  <c r="I416" i="30"/>
  <c r="I426" i="30"/>
  <c r="I436" i="30"/>
  <c r="I78" i="30"/>
  <c r="I192" i="30"/>
  <c r="I201" i="30"/>
  <c r="I210" i="30"/>
  <c r="I219" i="30"/>
  <c r="I228" i="30"/>
  <c r="I237" i="30"/>
  <c r="I255" i="30"/>
  <c r="I264" i="30"/>
  <c r="I273" i="30"/>
  <c r="I282" i="30"/>
  <c r="I291" i="30"/>
  <c r="I309" i="30"/>
  <c r="I318" i="30"/>
  <c r="I327" i="30"/>
  <c r="I336" i="30"/>
  <c r="I345" i="30"/>
  <c r="I363" i="30"/>
  <c r="I372" i="30"/>
  <c r="I381" i="30"/>
  <c r="I390" i="30"/>
  <c r="I399" i="30"/>
  <c r="I417" i="30"/>
  <c r="I427" i="30"/>
  <c r="I437" i="30"/>
  <c r="I79" i="30"/>
  <c r="I193" i="30"/>
  <c r="I202" i="30"/>
  <c r="I211" i="30"/>
  <c r="I220" i="30"/>
  <c r="I229" i="30"/>
  <c r="I238" i="30"/>
  <c r="I256" i="30"/>
  <c r="I265" i="30"/>
  <c r="I274" i="30"/>
  <c r="I283" i="30"/>
  <c r="I292" i="30"/>
  <c r="I310" i="30"/>
  <c r="I319" i="30"/>
  <c r="I328" i="30"/>
  <c r="I337" i="30"/>
  <c r="I346" i="30"/>
  <c r="I364" i="30"/>
  <c r="I373" i="30"/>
  <c r="I382" i="30"/>
  <c r="I391" i="30"/>
  <c r="I400" i="30"/>
  <c r="I418" i="30"/>
  <c r="I428" i="30"/>
  <c r="I438" i="30"/>
  <c r="I80" i="30"/>
  <c r="I194" i="30"/>
  <c r="I203" i="30"/>
  <c r="I212" i="30"/>
  <c r="I221" i="30"/>
  <c r="I230" i="30"/>
  <c r="I239" i="30"/>
  <c r="I257" i="30"/>
  <c r="I266" i="30"/>
  <c r="I275" i="30"/>
  <c r="I284" i="30"/>
  <c r="I293" i="30"/>
  <c r="I311" i="30"/>
  <c r="I320" i="30"/>
  <c r="I329" i="30"/>
  <c r="I338" i="30"/>
  <c r="I347" i="30"/>
  <c r="I365" i="30"/>
  <c r="I374" i="30"/>
  <c r="I383" i="30"/>
  <c r="I392" i="30"/>
  <c r="I401" i="30"/>
  <c r="I419" i="30"/>
  <c r="I429" i="30"/>
  <c r="I439" i="30"/>
  <c r="I81" i="30"/>
  <c r="I195" i="30"/>
  <c r="I204" i="30"/>
  <c r="I213" i="30"/>
  <c r="I222" i="30"/>
  <c r="I231" i="30"/>
  <c r="I240" i="30"/>
  <c r="I258" i="30"/>
  <c r="I267" i="30"/>
  <c r="I276" i="30"/>
  <c r="I285" i="30"/>
  <c r="I294" i="30"/>
  <c r="I312" i="30"/>
  <c r="I321" i="30"/>
  <c r="I330" i="30"/>
  <c r="I339" i="30"/>
  <c r="I348" i="30"/>
  <c r="I366" i="30"/>
  <c r="I375" i="30"/>
  <c r="I384" i="30"/>
  <c r="I393" i="30"/>
  <c r="I402" i="30"/>
  <c r="I420" i="30"/>
  <c r="I430" i="30"/>
  <c r="I440" i="30"/>
  <c r="I82" i="30"/>
  <c r="I196" i="30"/>
  <c r="I205" i="30"/>
  <c r="I214" i="30"/>
  <c r="I223" i="30"/>
  <c r="I232" i="30"/>
  <c r="I241" i="30"/>
  <c r="I259" i="30"/>
  <c r="I268" i="30"/>
  <c r="I277" i="30"/>
  <c r="I286" i="30"/>
  <c r="I295" i="30"/>
  <c r="I313" i="30"/>
  <c r="I322" i="30"/>
  <c r="I331" i="30"/>
  <c r="I340" i="30"/>
  <c r="I349" i="30"/>
  <c r="I367" i="30"/>
  <c r="I376" i="30"/>
  <c r="I385" i="30"/>
  <c r="I394" i="30"/>
  <c r="I403" i="30"/>
  <c r="I421" i="30"/>
  <c r="I431" i="30"/>
  <c r="I441" i="30"/>
  <c r="I83" i="30"/>
  <c r="I197" i="30"/>
  <c r="I206" i="30"/>
  <c r="I215" i="30"/>
  <c r="I224" i="30"/>
  <c r="I233" i="30"/>
  <c r="I242" i="30"/>
  <c r="I260" i="30"/>
  <c r="I269" i="30"/>
  <c r="I278" i="30"/>
  <c r="I287" i="30"/>
  <c r="I296" i="30"/>
  <c r="I314" i="30"/>
  <c r="I323" i="30"/>
  <c r="I332" i="30"/>
  <c r="I341" i="30"/>
  <c r="I350" i="30"/>
  <c r="I368" i="30"/>
  <c r="I377" i="30"/>
  <c r="I386" i="30"/>
  <c r="I395" i="30"/>
  <c r="I404" i="30"/>
  <c r="I422" i="30"/>
  <c r="I432" i="30"/>
  <c r="I442" i="30"/>
  <c r="I84" i="30"/>
  <c r="I198" i="30"/>
  <c r="I207" i="30"/>
  <c r="I216" i="30"/>
  <c r="I225" i="30"/>
  <c r="I234" i="30"/>
  <c r="I243" i="30"/>
  <c r="I261" i="30"/>
  <c r="I270" i="30"/>
  <c r="I279" i="30"/>
  <c r="I288" i="30"/>
  <c r="I297" i="30"/>
  <c r="I315" i="30"/>
  <c r="I324" i="30"/>
  <c r="I333" i="30"/>
  <c r="I342" i="30"/>
  <c r="I351" i="30"/>
  <c r="I369" i="30"/>
  <c r="I378" i="30"/>
  <c r="I387" i="30"/>
  <c r="I396" i="30"/>
  <c r="I405" i="30"/>
  <c r="I423" i="30"/>
  <c r="I433" i="30"/>
  <c r="I443" i="30"/>
  <c r="I444" i="30"/>
  <c r="H19" i="9"/>
  <c r="H24" i="4"/>
  <c r="H25" i="4"/>
  <c r="H26" i="4"/>
  <c r="H27" i="4"/>
  <c r="H29" i="4"/>
  <c r="H30" i="4"/>
  <c r="H31" i="4"/>
  <c r="H34" i="4"/>
  <c r="H35" i="4"/>
  <c r="H36" i="4"/>
  <c r="H37" i="4"/>
  <c r="H48" i="4"/>
  <c r="H50" i="4"/>
  <c r="H39" i="4"/>
  <c r="H40" i="4"/>
  <c r="H41" i="4"/>
  <c r="H44" i="4"/>
  <c r="H45" i="4"/>
  <c r="H46" i="4"/>
  <c r="H47" i="4"/>
  <c r="H49" i="4"/>
  <c r="H51" i="4"/>
  <c r="H53" i="4"/>
  <c r="H54" i="4"/>
  <c r="H55" i="4"/>
  <c r="H58" i="4"/>
  <c r="H59" i="4"/>
  <c r="H60" i="4"/>
  <c r="H61" i="4"/>
  <c r="H62" i="4"/>
  <c r="H108" i="4"/>
  <c r="H125" i="4"/>
  <c r="H106" i="4"/>
  <c r="H123" i="4"/>
  <c r="H102" i="4"/>
  <c r="H119" i="4"/>
  <c r="H101" i="4"/>
  <c r="H118" i="4"/>
  <c r="H103" i="4"/>
  <c r="H120" i="4"/>
  <c r="H105" i="4"/>
  <c r="H122" i="4"/>
  <c r="H104" i="4"/>
  <c r="H121" i="4"/>
  <c r="H107" i="4"/>
  <c r="H124" i="4"/>
  <c r="C323" i="6"/>
  <c r="C332" i="6"/>
  <c r="C341" i="6"/>
  <c r="C350" i="6"/>
  <c r="C368" i="6"/>
  <c r="C377" i="6"/>
  <c r="D377" i="6"/>
  <c r="E377" i="6"/>
  <c r="F104" i="6"/>
  <c r="F105" i="6"/>
  <c r="F108" i="6"/>
  <c r="F83" i="6"/>
  <c r="F197" i="6"/>
  <c r="F206" i="6"/>
  <c r="F215" i="6"/>
  <c r="F224" i="6"/>
  <c r="F233" i="6"/>
  <c r="F242" i="6"/>
  <c r="F260" i="6"/>
  <c r="F269" i="6"/>
  <c r="F278" i="6"/>
  <c r="F287" i="6"/>
  <c r="F296" i="6"/>
  <c r="F314" i="6"/>
  <c r="F323" i="6"/>
  <c r="F332" i="6"/>
  <c r="F341" i="6"/>
  <c r="F350" i="6"/>
  <c r="F368" i="6"/>
  <c r="F377" i="6"/>
  <c r="C318" i="6"/>
  <c r="C327" i="6"/>
  <c r="C336" i="6"/>
  <c r="C345" i="6"/>
  <c r="C363" i="6"/>
  <c r="C372" i="6"/>
  <c r="D372" i="6"/>
  <c r="E372" i="6"/>
  <c r="F78" i="6"/>
  <c r="F192" i="6"/>
  <c r="F201" i="6"/>
  <c r="F210" i="6"/>
  <c r="F219" i="6"/>
  <c r="F228" i="6"/>
  <c r="F237" i="6"/>
  <c r="F255" i="6"/>
  <c r="F264" i="6"/>
  <c r="F273" i="6"/>
  <c r="F282" i="6"/>
  <c r="F291" i="6"/>
  <c r="F309" i="6"/>
  <c r="F318" i="6"/>
  <c r="F327" i="6"/>
  <c r="F336" i="6"/>
  <c r="F345" i="6"/>
  <c r="F363" i="6"/>
  <c r="F372" i="6"/>
  <c r="C322" i="6"/>
  <c r="C331" i="6"/>
  <c r="C340" i="6"/>
  <c r="C349" i="6"/>
  <c r="C367" i="6"/>
  <c r="C376" i="6"/>
  <c r="D376" i="6"/>
  <c r="E376" i="6"/>
  <c r="F82" i="6"/>
  <c r="F196" i="6"/>
  <c r="F205" i="6"/>
  <c r="F214" i="6"/>
  <c r="F223" i="6"/>
  <c r="F232" i="6"/>
  <c r="F241" i="6"/>
  <c r="F259" i="6"/>
  <c r="F268" i="6"/>
  <c r="F277" i="6"/>
  <c r="F286" i="6"/>
  <c r="F295" i="6"/>
  <c r="F313" i="6"/>
  <c r="F322" i="6"/>
  <c r="F331" i="6"/>
  <c r="F340" i="6"/>
  <c r="F349" i="6"/>
  <c r="F367" i="6"/>
  <c r="F376" i="6"/>
  <c r="C320" i="6"/>
  <c r="C329" i="6"/>
  <c r="C338" i="6"/>
  <c r="C347" i="6"/>
  <c r="C365" i="6"/>
  <c r="C374" i="6"/>
  <c r="D374" i="6"/>
  <c r="E374" i="6"/>
  <c r="F80" i="6"/>
  <c r="F194" i="6"/>
  <c r="F203" i="6"/>
  <c r="F212" i="6"/>
  <c r="F221" i="6"/>
  <c r="F230" i="6"/>
  <c r="F239" i="6"/>
  <c r="F257" i="6"/>
  <c r="F266" i="6"/>
  <c r="F275" i="6"/>
  <c r="F284" i="6"/>
  <c r="F293" i="6"/>
  <c r="F311" i="6"/>
  <c r="F320" i="6"/>
  <c r="F329" i="6"/>
  <c r="F338" i="6"/>
  <c r="F347" i="6"/>
  <c r="F365" i="6"/>
  <c r="F374" i="6"/>
  <c r="C324" i="6"/>
  <c r="C333" i="6"/>
  <c r="C342" i="6"/>
  <c r="C351" i="6"/>
  <c r="C369" i="6"/>
  <c r="C378" i="6"/>
  <c r="D378" i="6"/>
  <c r="E378" i="6"/>
  <c r="F84" i="6"/>
  <c r="F198" i="6"/>
  <c r="F207" i="6"/>
  <c r="F216" i="6"/>
  <c r="F225" i="6"/>
  <c r="F234" i="6"/>
  <c r="F243" i="6"/>
  <c r="F261" i="6"/>
  <c r="F270" i="6"/>
  <c r="F279" i="6"/>
  <c r="F288" i="6"/>
  <c r="F297" i="6"/>
  <c r="F315" i="6"/>
  <c r="F324" i="6"/>
  <c r="F333" i="6"/>
  <c r="F342" i="6"/>
  <c r="F351" i="6"/>
  <c r="F369" i="6"/>
  <c r="F378" i="6"/>
  <c r="C319" i="6"/>
  <c r="C328" i="6"/>
  <c r="C337" i="6"/>
  <c r="C346" i="6"/>
  <c r="C364" i="6"/>
  <c r="C373" i="6"/>
  <c r="D373" i="6"/>
  <c r="E373" i="6"/>
  <c r="F79" i="6"/>
  <c r="F193" i="6"/>
  <c r="F202" i="6"/>
  <c r="F211" i="6"/>
  <c r="F220" i="6"/>
  <c r="F229" i="6"/>
  <c r="F238" i="6"/>
  <c r="F256" i="6"/>
  <c r="F265" i="6"/>
  <c r="F274" i="6"/>
  <c r="F283" i="6"/>
  <c r="F292" i="6"/>
  <c r="F310" i="6"/>
  <c r="F319" i="6"/>
  <c r="F328" i="6"/>
  <c r="F337" i="6"/>
  <c r="F346" i="6"/>
  <c r="F364" i="6"/>
  <c r="F373" i="6"/>
  <c r="C321" i="6"/>
  <c r="C330" i="6"/>
  <c r="C339" i="6"/>
  <c r="C348" i="6"/>
  <c r="C366" i="6"/>
  <c r="C375" i="6"/>
  <c r="D375" i="6"/>
  <c r="E375" i="6"/>
  <c r="F81" i="6"/>
  <c r="F195" i="6"/>
  <c r="F204" i="6"/>
  <c r="F213" i="6"/>
  <c r="F222" i="6"/>
  <c r="F231" i="6"/>
  <c r="F240" i="6"/>
  <c r="F258" i="6"/>
  <c r="F267" i="6"/>
  <c r="F276" i="6"/>
  <c r="F285" i="6"/>
  <c r="F294" i="6"/>
  <c r="F312" i="6"/>
  <c r="F321" i="6"/>
  <c r="F330" i="6"/>
  <c r="F339" i="6"/>
  <c r="F348" i="6"/>
  <c r="F366" i="6"/>
  <c r="F375" i="6"/>
  <c r="C344" i="6"/>
  <c r="C362" i="6"/>
  <c r="C371" i="6"/>
  <c r="D317" i="6"/>
  <c r="D326" i="6"/>
  <c r="D335" i="6"/>
  <c r="D344" i="6"/>
  <c r="D362" i="6"/>
  <c r="D371" i="6"/>
  <c r="E317" i="6"/>
  <c r="E326" i="6"/>
  <c r="E335" i="6"/>
  <c r="E344" i="6"/>
  <c r="E362" i="6"/>
  <c r="E371" i="6"/>
  <c r="F77" i="6"/>
  <c r="F191" i="6"/>
  <c r="F200" i="6"/>
  <c r="F209" i="6"/>
  <c r="F218" i="6"/>
  <c r="F227" i="6"/>
  <c r="F236" i="6"/>
  <c r="F254" i="6"/>
  <c r="F263" i="6"/>
  <c r="F272" i="6"/>
  <c r="F281" i="6"/>
  <c r="F290" i="6"/>
  <c r="F308" i="6"/>
  <c r="F317" i="6"/>
  <c r="F326" i="6"/>
  <c r="F335" i="6"/>
  <c r="F344" i="6"/>
  <c r="F362" i="6"/>
  <c r="F371" i="6"/>
  <c r="K24" i="29"/>
  <c r="K25" i="29"/>
  <c r="K26" i="29"/>
  <c r="K27" i="29"/>
  <c r="K29" i="29"/>
  <c r="K30" i="29"/>
  <c r="K31" i="29"/>
  <c r="K34" i="29"/>
  <c r="K35" i="29"/>
  <c r="K36" i="29"/>
  <c r="K37" i="29"/>
  <c r="K48" i="29"/>
  <c r="K50" i="29"/>
  <c r="K39" i="29"/>
  <c r="K40" i="29"/>
  <c r="K41" i="29"/>
  <c r="K44" i="29"/>
  <c r="K45" i="29"/>
  <c r="K46" i="29"/>
  <c r="K47" i="29"/>
  <c r="K49" i="29"/>
  <c r="K51" i="29"/>
  <c r="K53" i="29"/>
  <c r="K54" i="29"/>
  <c r="K55" i="29"/>
  <c r="K58" i="29"/>
  <c r="K59" i="29"/>
  <c r="K60" i="29"/>
  <c r="K61" i="29"/>
  <c r="K62" i="29"/>
  <c r="K108" i="29"/>
  <c r="K125" i="29"/>
  <c r="K107" i="29"/>
  <c r="K124" i="29"/>
  <c r="K106" i="29"/>
  <c r="K123" i="29"/>
  <c r="K105" i="29"/>
  <c r="K122" i="29"/>
  <c r="K104" i="29"/>
  <c r="K121" i="29"/>
  <c r="K103" i="29"/>
  <c r="K120" i="29"/>
  <c r="K102" i="29"/>
  <c r="K119" i="29"/>
  <c r="K101" i="29"/>
  <c r="K118" i="29"/>
  <c r="F380" i="6"/>
  <c r="F389" i="6"/>
  <c r="F398" i="6"/>
  <c r="F416" i="6"/>
  <c r="F381" i="6"/>
  <c r="F390" i="6"/>
  <c r="F399" i="6"/>
  <c r="F417" i="6"/>
  <c r="F382" i="6"/>
  <c r="F391" i="6"/>
  <c r="F400" i="6"/>
  <c r="F418" i="6"/>
  <c r="F383" i="6"/>
  <c r="F392" i="6"/>
  <c r="F401" i="6"/>
  <c r="F419" i="6"/>
  <c r="F384" i="6"/>
  <c r="F393" i="6"/>
  <c r="F402" i="6"/>
  <c r="F420" i="6"/>
  <c r="F385" i="6"/>
  <c r="F394" i="6"/>
  <c r="F403" i="6"/>
  <c r="F421" i="6"/>
  <c r="F386" i="6"/>
  <c r="F395" i="6"/>
  <c r="F404" i="6"/>
  <c r="F422" i="6"/>
  <c r="F387" i="6"/>
  <c r="F396" i="6"/>
  <c r="F405" i="6"/>
  <c r="F423" i="6"/>
  <c r="F424" i="6"/>
  <c r="F424" i="34"/>
  <c r="E26" i="9"/>
  <c r="E380" i="6"/>
  <c r="E389" i="6"/>
  <c r="E398" i="6"/>
  <c r="E416" i="6"/>
  <c r="E381" i="6"/>
  <c r="E390" i="6"/>
  <c r="E399" i="6"/>
  <c r="E417" i="6"/>
  <c r="E382" i="6"/>
  <c r="E391" i="6"/>
  <c r="E400" i="6"/>
  <c r="E418" i="6"/>
  <c r="E383" i="6"/>
  <c r="E392" i="6"/>
  <c r="E401" i="6"/>
  <c r="E419" i="6"/>
  <c r="E384" i="6"/>
  <c r="E393" i="6"/>
  <c r="E402" i="6"/>
  <c r="E420" i="6"/>
  <c r="E385" i="6"/>
  <c r="E394" i="6"/>
  <c r="E403" i="6"/>
  <c r="E421" i="6"/>
  <c r="E386" i="6"/>
  <c r="E395" i="6"/>
  <c r="E404" i="6"/>
  <c r="E422" i="6"/>
  <c r="E387" i="6"/>
  <c r="E396" i="6"/>
  <c r="E405" i="6"/>
  <c r="E423" i="6"/>
  <c r="E424" i="6"/>
  <c r="E424" i="34"/>
  <c r="D26" i="9"/>
  <c r="D380" i="6"/>
  <c r="D389" i="6"/>
  <c r="D398" i="6"/>
  <c r="D416" i="6"/>
  <c r="D381" i="6"/>
  <c r="D390" i="6"/>
  <c r="D399" i="6"/>
  <c r="D417" i="6"/>
  <c r="D382" i="6"/>
  <c r="D391" i="6"/>
  <c r="D400" i="6"/>
  <c r="D418" i="6"/>
  <c r="D383" i="6"/>
  <c r="D392" i="6"/>
  <c r="D401" i="6"/>
  <c r="D419" i="6"/>
  <c r="D384" i="6"/>
  <c r="D393" i="6"/>
  <c r="D402" i="6"/>
  <c r="D420" i="6"/>
  <c r="D385" i="6"/>
  <c r="D394" i="6"/>
  <c r="D403" i="6"/>
  <c r="D421" i="6"/>
  <c r="D386" i="6"/>
  <c r="D395" i="6"/>
  <c r="D404" i="6"/>
  <c r="D422" i="6"/>
  <c r="D387" i="6"/>
  <c r="D396" i="6"/>
  <c r="D405" i="6"/>
  <c r="D423" i="6"/>
  <c r="D424" i="6"/>
  <c r="D424" i="34"/>
  <c r="C26" i="9"/>
  <c r="F426" i="6"/>
  <c r="F427" i="6"/>
  <c r="F428" i="6"/>
  <c r="F429" i="6"/>
  <c r="F430" i="6"/>
  <c r="F431" i="6"/>
  <c r="F432" i="6"/>
  <c r="F433" i="6"/>
  <c r="F434" i="6"/>
  <c r="F434" i="34"/>
  <c r="E28" i="9"/>
  <c r="E426" i="6"/>
  <c r="E427" i="6"/>
  <c r="E428" i="6"/>
  <c r="E429" i="6"/>
  <c r="E430" i="6"/>
  <c r="E431" i="6"/>
  <c r="E432" i="6"/>
  <c r="E433" i="6"/>
  <c r="E434" i="6"/>
  <c r="E434" i="34"/>
  <c r="D28" i="9"/>
  <c r="D426" i="6"/>
  <c r="D427" i="6"/>
  <c r="D428" i="6"/>
  <c r="D429" i="6"/>
  <c r="D430" i="6"/>
  <c r="D431" i="6"/>
  <c r="D432" i="6"/>
  <c r="D433" i="6"/>
  <c r="D434" i="6"/>
  <c r="D434" i="34"/>
  <c r="C28" i="9"/>
  <c r="I43" i="4"/>
  <c r="I33" i="4"/>
  <c r="I57" i="4"/>
  <c r="L57" i="29"/>
  <c r="L43" i="29"/>
  <c r="L33" i="29"/>
  <c r="D436" i="6"/>
  <c r="D437" i="6"/>
  <c r="D438" i="6"/>
  <c r="D439" i="6"/>
  <c r="D440" i="6"/>
  <c r="D441" i="6"/>
  <c r="D442" i="6"/>
  <c r="D443" i="6"/>
  <c r="D444" i="6"/>
  <c r="D444" i="34"/>
  <c r="C30" i="9"/>
  <c r="E436" i="6"/>
  <c r="E437" i="6"/>
  <c r="E438" i="6"/>
  <c r="E439" i="6"/>
  <c r="E440" i="6"/>
  <c r="E441" i="6"/>
  <c r="E442" i="6"/>
  <c r="E443" i="6"/>
  <c r="E444" i="6"/>
  <c r="E444" i="34"/>
  <c r="D30" i="9"/>
  <c r="F436" i="6"/>
  <c r="F437" i="6"/>
  <c r="F438" i="6"/>
  <c r="F439" i="6"/>
  <c r="F440" i="6"/>
  <c r="F441" i="6"/>
  <c r="F442" i="6"/>
  <c r="F443" i="6"/>
  <c r="F444" i="6"/>
  <c r="F444" i="34"/>
  <c r="E30" i="9"/>
  <c r="C8" i="9"/>
  <c r="D8" i="9"/>
  <c r="E8" i="9"/>
  <c r="F426" i="34"/>
  <c r="F436" i="34"/>
  <c r="F416" i="34"/>
  <c r="F407" i="6"/>
  <c r="F407" i="34"/>
  <c r="F398" i="34"/>
  <c r="F389" i="34"/>
  <c r="F380" i="34"/>
  <c r="F437" i="34"/>
  <c r="F443" i="34"/>
  <c r="F441" i="34"/>
  <c r="F438" i="34"/>
  <c r="F442" i="34"/>
  <c r="F439" i="34"/>
  <c r="F440" i="34"/>
  <c r="F433" i="34"/>
  <c r="F431" i="34"/>
  <c r="F429" i="34"/>
  <c r="F427" i="34"/>
  <c r="F428" i="34"/>
  <c r="F432" i="34"/>
  <c r="F430" i="34"/>
  <c r="F423" i="34"/>
  <c r="F419" i="34"/>
  <c r="F418" i="34"/>
  <c r="F417" i="34"/>
  <c r="F421" i="34"/>
  <c r="F420" i="34"/>
  <c r="F422" i="34"/>
  <c r="F411" i="6"/>
  <c r="F411" i="34"/>
  <c r="F413" i="6"/>
  <c r="F413" i="34"/>
  <c r="F410" i="6"/>
  <c r="F410" i="34"/>
  <c r="F412" i="6"/>
  <c r="F412" i="34"/>
  <c r="F414" i="6"/>
  <c r="F414" i="34"/>
  <c r="F408" i="6"/>
  <c r="F408" i="34"/>
  <c r="F409" i="6"/>
  <c r="F409" i="34"/>
  <c r="F402" i="34"/>
  <c r="F404" i="34"/>
  <c r="F401" i="34"/>
  <c r="F403" i="34"/>
  <c r="F405" i="34"/>
  <c r="F399" i="34"/>
  <c r="F400" i="34"/>
  <c r="F393" i="34"/>
  <c r="F396" i="34"/>
  <c r="F394" i="34"/>
  <c r="F392" i="34"/>
  <c r="F391" i="34"/>
  <c r="F395" i="34"/>
  <c r="F390" i="34"/>
  <c r="F371" i="34"/>
  <c r="F377" i="34"/>
  <c r="F374" i="34"/>
  <c r="F372" i="34"/>
  <c r="F376" i="34"/>
  <c r="F375" i="34"/>
  <c r="F373" i="34"/>
  <c r="F378" i="34"/>
  <c r="F385" i="34"/>
  <c r="F387" i="34"/>
  <c r="F383" i="34"/>
  <c r="F381" i="34"/>
  <c r="F382" i="34"/>
  <c r="F384" i="34"/>
  <c r="F386" i="34"/>
  <c r="E382" i="34"/>
  <c r="E386" i="34"/>
  <c r="E383" i="34"/>
  <c r="E385" i="34"/>
  <c r="E387" i="34"/>
  <c r="E381" i="34"/>
  <c r="E384" i="34"/>
  <c r="E376" i="34"/>
  <c r="E378" i="34"/>
  <c r="E377" i="34"/>
  <c r="E373" i="34"/>
  <c r="E372" i="34"/>
  <c r="E375" i="34"/>
  <c r="E374" i="34"/>
  <c r="E371" i="34"/>
  <c r="E392" i="34"/>
  <c r="E391" i="34"/>
  <c r="E390" i="34"/>
  <c r="E395" i="34"/>
  <c r="E396" i="34"/>
  <c r="E393" i="34"/>
  <c r="E394" i="34"/>
  <c r="E399" i="34"/>
  <c r="E402" i="34"/>
  <c r="E405" i="34"/>
  <c r="E401" i="34"/>
  <c r="E400" i="34"/>
  <c r="E404" i="34"/>
  <c r="E403" i="34"/>
  <c r="E408" i="6"/>
  <c r="E408" i="34"/>
  <c r="E411" i="6"/>
  <c r="E411" i="34"/>
  <c r="E414" i="6"/>
  <c r="E414" i="34"/>
  <c r="E410" i="6"/>
  <c r="E410" i="34"/>
  <c r="E409" i="6"/>
  <c r="E409" i="34"/>
  <c r="E413" i="6"/>
  <c r="E413" i="34"/>
  <c r="E412" i="6"/>
  <c r="E412" i="34"/>
  <c r="E423" i="34"/>
  <c r="E417" i="34"/>
  <c r="E422" i="34"/>
  <c r="E421" i="34"/>
  <c r="E420" i="34"/>
  <c r="E418" i="34"/>
  <c r="E419" i="34"/>
  <c r="E431" i="34"/>
  <c r="E432" i="34"/>
  <c r="E433" i="34"/>
  <c r="E430" i="34"/>
  <c r="E429" i="34"/>
  <c r="E428" i="34"/>
  <c r="E427" i="34"/>
  <c r="E437" i="34"/>
  <c r="E442" i="34"/>
  <c r="E440" i="34"/>
  <c r="E438" i="34"/>
  <c r="E443" i="34"/>
  <c r="E439" i="34"/>
  <c r="E441" i="34"/>
  <c r="E380" i="34"/>
  <c r="E389" i="34"/>
  <c r="E398" i="34"/>
  <c r="E407" i="6"/>
  <c r="E407" i="34"/>
  <c r="E416" i="34"/>
  <c r="E436" i="34"/>
  <c r="E426" i="34"/>
  <c r="C385" i="6"/>
  <c r="C394" i="6"/>
  <c r="C403" i="6"/>
  <c r="C421" i="6"/>
  <c r="C421" i="34"/>
  <c r="C384" i="6"/>
  <c r="C393" i="6"/>
  <c r="C402" i="6"/>
  <c r="C420" i="6"/>
  <c r="C420" i="34"/>
  <c r="C387" i="6"/>
  <c r="C396" i="6"/>
  <c r="C405" i="6"/>
  <c r="C423" i="6"/>
  <c r="C423" i="34"/>
  <c r="C382" i="6"/>
  <c r="C391" i="6"/>
  <c r="C400" i="6"/>
  <c r="C418" i="6"/>
  <c r="C418" i="34"/>
  <c r="C386" i="6"/>
  <c r="C395" i="6"/>
  <c r="C404" i="6"/>
  <c r="C422" i="6"/>
  <c r="C422" i="34"/>
  <c r="C381" i="6"/>
  <c r="C390" i="6"/>
  <c r="C399" i="6"/>
  <c r="C417" i="6"/>
  <c r="C417" i="34"/>
  <c r="C383" i="6"/>
  <c r="C392" i="6"/>
  <c r="C401" i="6"/>
  <c r="C419" i="6"/>
  <c r="C419" i="34"/>
  <c r="C431" i="6"/>
  <c r="C431" i="34"/>
  <c r="C432" i="6"/>
  <c r="C432" i="34"/>
  <c r="C429" i="6"/>
  <c r="C429" i="34"/>
  <c r="C428" i="6"/>
  <c r="C428" i="34"/>
  <c r="C427" i="6"/>
  <c r="C427" i="34"/>
  <c r="C430" i="6"/>
  <c r="C430" i="34"/>
  <c r="C433" i="6"/>
  <c r="C433" i="34"/>
  <c r="D426" i="34"/>
  <c r="C438" i="6"/>
  <c r="C438" i="34"/>
  <c r="C439" i="6"/>
  <c r="C439" i="34"/>
  <c r="C437" i="6"/>
  <c r="C437" i="34"/>
  <c r="C443" i="6"/>
  <c r="C443" i="34"/>
  <c r="C442" i="6"/>
  <c r="C442" i="34"/>
  <c r="C441" i="6"/>
  <c r="C441" i="34"/>
  <c r="C440" i="6"/>
  <c r="C440" i="34"/>
  <c r="D436" i="34"/>
  <c r="D416" i="34"/>
  <c r="D407" i="6"/>
  <c r="D407" i="34"/>
  <c r="D398" i="34"/>
  <c r="D389" i="34"/>
  <c r="D380" i="34"/>
  <c r="D440" i="34"/>
  <c r="D443" i="34"/>
  <c r="D437" i="34"/>
  <c r="D438" i="34"/>
  <c r="D441" i="34"/>
  <c r="D442" i="34"/>
  <c r="D439" i="34"/>
  <c r="D429" i="34"/>
  <c r="D427" i="34"/>
  <c r="D432" i="34"/>
  <c r="D433" i="34"/>
  <c r="D431" i="34"/>
  <c r="D430" i="34"/>
  <c r="D428" i="34"/>
  <c r="D423" i="34"/>
  <c r="D419" i="34"/>
  <c r="D421" i="34"/>
  <c r="D418" i="34"/>
  <c r="D420" i="34"/>
  <c r="D422" i="34"/>
  <c r="D417" i="34"/>
  <c r="D412" i="6"/>
  <c r="D412" i="34"/>
  <c r="D413" i="6"/>
  <c r="D413" i="34"/>
  <c r="D410" i="6"/>
  <c r="D410" i="34"/>
  <c r="D411" i="6"/>
  <c r="D411" i="34"/>
  <c r="D414" i="6"/>
  <c r="D414" i="34"/>
  <c r="D409" i="6"/>
  <c r="D409" i="34"/>
  <c r="D408" i="6"/>
  <c r="D408" i="34"/>
  <c r="D403" i="34"/>
  <c r="D404" i="34"/>
  <c r="D401" i="34"/>
  <c r="D402" i="34"/>
  <c r="D405" i="34"/>
  <c r="D400" i="34"/>
  <c r="D399" i="34"/>
  <c r="D393" i="34"/>
  <c r="D394" i="34"/>
  <c r="D395" i="34"/>
  <c r="D396" i="34"/>
  <c r="D391" i="34"/>
  <c r="D392" i="34"/>
  <c r="D390" i="34"/>
  <c r="D371" i="34"/>
  <c r="D381" i="34"/>
  <c r="D387" i="34"/>
  <c r="D385" i="34"/>
  <c r="D384" i="34"/>
  <c r="D383" i="34"/>
  <c r="D382" i="34"/>
  <c r="D386" i="34"/>
  <c r="D377" i="34"/>
  <c r="D376" i="34"/>
  <c r="D374" i="34"/>
  <c r="D372" i="34"/>
  <c r="D378" i="34"/>
  <c r="D375" i="34"/>
  <c r="D373" i="34"/>
  <c r="C413" i="6"/>
  <c r="C413" i="34"/>
  <c r="C414" i="6"/>
  <c r="C414" i="34"/>
  <c r="C408" i="6"/>
  <c r="C408" i="34"/>
  <c r="C409" i="6"/>
  <c r="C409" i="34"/>
  <c r="C411" i="6"/>
  <c r="C411" i="34"/>
  <c r="C412" i="6"/>
  <c r="C412" i="34"/>
  <c r="C410" i="6"/>
  <c r="C410" i="34"/>
  <c r="C404" i="34"/>
  <c r="C405" i="34"/>
  <c r="C399" i="34"/>
  <c r="C400" i="34"/>
  <c r="C402" i="34"/>
  <c r="C403" i="34"/>
  <c r="C401" i="34"/>
  <c r="C394" i="34"/>
  <c r="C395" i="34"/>
  <c r="C391" i="34"/>
  <c r="C392" i="34"/>
  <c r="C396" i="34"/>
  <c r="C390" i="34"/>
  <c r="C393" i="34"/>
  <c r="C387" i="34"/>
  <c r="C382" i="34"/>
  <c r="C386" i="34"/>
  <c r="C383" i="34"/>
  <c r="C381" i="34"/>
  <c r="C384" i="34"/>
  <c r="C385" i="34"/>
  <c r="K133" i="29"/>
  <c r="J102" i="30"/>
  <c r="J306" i="30"/>
  <c r="J93" i="30"/>
  <c r="J252" i="30"/>
  <c r="K132" i="29"/>
  <c r="J101" i="30"/>
  <c r="J305" i="30"/>
  <c r="J92" i="30"/>
  <c r="J251" i="30"/>
  <c r="K131" i="29"/>
  <c r="J100" i="30"/>
  <c r="J304" i="30"/>
  <c r="J91" i="30"/>
  <c r="J250" i="30"/>
  <c r="K130" i="29"/>
  <c r="J99" i="30"/>
  <c r="J303" i="30"/>
  <c r="J90" i="30"/>
  <c r="J249" i="30"/>
  <c r="K129" i="29"/>
  <c r="J98" i="30"/>
  <c r="J302" i="30"/>
  <c r="J89" i="30"/>
  <c r="J248" i="30"/>
  <c r="K128" i="29"/>
  <c r="J97" i="30"/>
  <c r="J301" i="30"/>
  <c r="J88" i="30"/>
  <c r="J247" i="30"/>
  <c r="K127" i="29"/>
  <c r="J96" i="30"/>
  <c r="J300" i="30"/>
  <c r="J87" i="30"/>
  <c r="J246" i="30"/>
  <c r="K126" i="29"/>
  <c r="J95" i="30"/>
  <c r="J299" i="30"/>
  <c r="J86" i="30"/>
  <c r="J245" i="30"/>
  <c r="I407" i="30"/>
  <c r="I414" i="30"/>
  <c r="I408" i="30"/>
  <c r="I412" i="30"/>
  <c r="I413" i="30"/>
  <c r="I409" i="30"/>
  <c r="I411" i="30"/>
  <c r="I410" i="30"/>
  <c r="I424" i="30"/>
  <c r="H15" i="9"/>
  <c r="I434" i="30"/>
  <c r="H17" i="9"/>
  <c r="C362" i="34"/>
  <c r="C363" i="34"/>
  <c r="C368" i="34"/>
  <c r="C367" i="34"/>
  <c r="C365" i="34"/>
  <c r="C369" i="34"/>
  <c r="C366" i="34"/>
  <c r="C364" i="34"/>
  <c r="C347" i="34"/>
  <c r="C350" i="34"/>
  <c r="C349" i="34"/>
  <c r="C351" i="34"/>
  <c r="C345" i="34"/>
  <c r="C346" i="34"/>
  <c r="C348" i="34"/>
  <c r="C344" i="34"/>
  <c r="C372" i="34"/>
  <c r="C374" i="34"/>
  <c r="C378" i="34"/>
  <c r="C373" i="34"/>
  <c r="C376" i="34"/>
  <c r="C377" i="34"/>
  <c r="C375" i="34"/>
  <c r="C371" i="34"/>
  <c r="D362" i="34"/>
  <c r="D344" i="34"/>
  <c r="E344" i="34"/>
  <c r="E362" i="34"/>
  <c r="F347" i="34"/>
  <c r="F349" i="34"/>
  <c r="F346" i="34"/>
  <c r="F350" i="34"/>
  <c r="F344" i="34"/>
  <c r="F345" i="34"/>
  <c r="F351" i="34"/>
  <c r="F348" i="34"/>
  <c r="F363" i="34"/>
  <c r="F367" i="34"/>
  <c r="F365" i="34"/>
  <c r="F369" i="34"/>
  <c r="F362" i="34"/>
  <c r="F364" i="34"/>
  <c r="F368" i="34"/>
  <c r="F366" i="34"/>
  <c r="H132" i="4"/>
  <c r="G101" i="6"/>
  <c r="G305" i="6"/>
  <c r="H128" i="4"/>
  <c r="G97" i="6"/>
  <c r="G301" i="6"/>
  <c r="H127" i="4"/>
  <c r="G96" i="6"/>
  <c r="G300" i="6"/>
  <c r="H131" i="4"/>
  <c r="G100" i="6"/>
  <c r="G304" i="6"/>
  <c r="H130" i="4"/>
  <c r="G99" i="6"/>
  <c r="G303" i="6"/>
  <c r="H133" i="4"/>
  <c r="G102" i="6"/>
  <c r="G306" i="6"/>
  <c r="H129" i="4"/>
  <c r="G98" i="6"/>
  <c r="G302" i="6"/>
  <c r="H126" i="4"/>
  <c r="G95" i="6"/>
  <c r="G299" i="6"/>
  <c r="G91" i="6"/>
  <c r="G250" i="6"/>
  <c r="G89" i="6"/>
  <c r="G248" i="6"/>
  <c r="G93" i="6"/>
  <c r="G252" i="6"/>
  <c r="G87" i="6"/>
  <c r="G246" i="6"/>
  <c r="G92" i="6"/>
  <c r="G251" i="6"/>
  <c r="G90" i="6"/>
  <c r="G249" i="6"/>
  <c r="G88" i="6"/>
  <c r="G247" i="6"/>
  <c r="G86" i="6"/>
  <c r="G245" i="6"/>
  <c r="F341" i="34"/>
  <c r="F342" i="34"/>
  <c r="F338" i="34"/>
  <c r="F335" i="34"/>
  <c r="F337" i="34"/>
  <c r="F336" i="34"/>
  <c r="F340" i="34"/>
  <c r="F339" i="34"/>
  <c r="F331" i="34"/>
  <c r="F329" i="34"/>
  <c r="F326" i="34"/>
  <c r="F332" i="34"/>
  <c r="F330" i="34"/>
  <c r="F327" i="34"/>
  <c r="F328" i="34"/>
  <c r="F333" i="34"/>
  <c r="F321" i="34"/>
  <c r="F322" i="34"/>
  <c r="F317" i="34"/>
  <c r="F318" i="34"/>
  <c r="F323" i="34"/>
  <c r="F324" i="34"/>
  <c r="F319" i="34"/>
  <c r="F320" i="34"/>
  <c r="F310" i="34"/>
  <c r="F312" i="34"/>
  <c r="F315" i="34"/>
  <c r="F314" i="34"/>
  <c r="F311" i="34"/>
  <c r="F313" i="34"/>
  <c r="F309" i="34"/>
  <c r="F308" i="34"/>
  <c r="E317" i="34"/>
  <c r="E326" i="34"/>
  <c r="E335" i="34"/>
  <c r="D335" i="34"/>
  <c r="D326" i="34"/>
  <c r="D317" i="34"/>
  <c r="C338" i="34"/>
  <c r="C340" i="34"/>
  <c r="C339" i="34"/>
  <c r="C342" i="34"/>
  <c r="C337" i="34"/>
  <c r="C336" i="34"/>
  <c r="C341" i="34"/>
  <c r="C335" i="34"/>
  <c r="C326" i="34"/>
  <c r="C329" i="34"/>
  <c r="C327" i="34"/>
  <c r="C328" i="34"/>
  <c r="C332" i="34"/>
  <c r="C330" i="34"/>
  <c r="C331" i="34"/>
  <c r="C333" i="34"/>
  <c r="C320" i="34"/>
  <c r="C318" i="34"/>
  <c r="C321" i="34"/>
  <c r="C319" i="34"/>
  <c r="C322" i="34"/>
  <c r="C323" i="34"/>
  <c r="C324" i="34"/>
  <c r="C317" i="34"/>
  <c r="F263" i="34"/>
  <c r="F268" i="34"/>
  <c r="F266" i="34"/>
  <c r="F269" i="34"/>
  <c r="F270" i="34"/>
  <c r="F264" i="34"/>
  <c r="F265" i="34"/>
  <c r="F267" i="34"/>
  <c r="F279" i="34"/>
  <c r="F273" i="34"/>
  <c r="F277" i="34"/>
  <c r="F275" i="34"/>
  <c r="F274" i="34"/>
  <c r="F278" i="34"/>
  <c r="F272" i="34"/>
  <c r="F276" i="34"/>
  <c r="F257" i="34"/>
  <c r="F258" i="34"/>
  <c r="F260" i="34"/>
  <c r="F254" i="34"/>
  <c r="F261" i="34"/>
  <c r="F256" i="34"/>
  <c r="F259" i="34"/>
  <c r="F255" i="34"/>
  <c r="G299" i="34"/>
  <c r="G301" i="34"/>
  <c r="G300" i="34"/>
  <c r="G248" i="34"/>
  <c r="G306" i="34"/>
  <c r="G304" i="34"/>
  <c r="G249" i="34"/>
  <c r="G302" i="34"/>
  <c r="G305" i="34"/>
  <c r="G247" i="34"/>
  <c r="G246" i="34"/>
  <c r="G252" i="34"/>
  <c r="G251" i="34"/>
  <c r="G250" i="34"/>
  <c r="G303" i="34"/>
  <c r="G245" i="34"/>
  <c r="G89" i="34"/>
  <c r="G86" i="34"/>
  <c r="G98" i="34"/>
  <c r="G99" i="34"/>
  <c r="G92" i="34"/>
  <c r="G90" i="34"/>
  <c r="G91" i="34"/>
  <c r="G96" i="34"/>
  <c r="G100" i="34"/>
  <c r="G87" i="34"/>
  <c r="G102" i="34"/>
  <c r="G97" i="34"/>
  <c r="G93" i="34"/>
  <c r="G88" i="34"/>
  <c r="G95" i="34"/>
  <c r="G101" i="34"/>
  <c r="H128" i="33"/>
  <c r="H130" i="33"/>
  <c r="H132" i="33"/>
  <c r="H127" i="33"/>
  <c r="H126" i="33"/>
  <c r="H131" i="33"/>
  <c r="H129" i="33"/>
  <c r="H133" i="33"/>
  <c r="H123" i="33"/>
  <c r="H120" i="33"/>
  <c r="H118" i="33"/>
  <c r="H121" i="33"/>
  <c r="H119" i="33"/>
  <c r="H122" i="33"/>
  <c r="H125" i="33"/>
  <c r="H124" i="33"/>
  <c r="H102" i="33"/>
  <c r="H107" i="33"/>
  <c r="H104" i="33"/>
  <c r="H105" i="33"/>
  <c r="H106" i="33"/>
  <c r="H101" i="33"/>
  <c r="H103" i="33"/>
  <c r="H108" i="33"/>
  <c r="H50" i="33"/>
  <c r="H47" i="33"/>
  <c r="H51" i="33"/>
  <c r="H37" i="33"/>
  <c r="I57" i="33"/>
  <c r="H46" i="33"/>
  <c r="H49" i="33"/>
  <c r="H61" i="33"/>
  <c r="H60" i="33"/>
  <c r="I43" i="33"/>
  <c r="I33" i="33"/>
  <c r="H48" i="33"/>
  <c r="H36" i="33"/>
  <c r="H45" i="33"/>
  <c r="H59" i="33"/>
  <c r="H35" i="33"/>
  <c r="F195" i="34"/>
  <c r="F198" i="34"/>
  <c r="F197" i="34"/>
  <c r="F196" i="34"/>
  <c r="F194" i="34"/>
  <c r="F191" i="34"/>
  <c r="H58" i="33"/>
  <c r="F192" i="34"/>
  <c r="H44" i="33"/>
  <c r="F193" i="34"/>
  <c r="H34" i="33"/>
  <c r="F77" i="34"/>
  <c r="F82" i="34"/>
  <c r="F80" i="34"/>
  <c r="F78" i="34"/>
  <c r="F83" i="34"/>
  <c r="F79" i="34"/>
  <c r="F84" i="34"/>
  <c r="H31" i="33"/>
  <c r="H55" i="33"/>
  <c r="H41" i="33"/>
  <c r="F81" i="34"/>
  <c r="H25" i="33"/>
  <c r="F105" i="34"/>
  <c r="H30" i="33"/>
  <c r="H54" i="33"/>
  <c r="H40" i="33"/>
  <c r="H53" i="33"/>
  <c r="G137" i="33"/>
  <c r="F104" i="34"/>
  <c r="H39" i="33"/>
  <c r="H24" i="33"/>
  <c r="H29" i="33"/>
  <c r="G135" i="33"/>
  <c r="F205" i="34"/>
  <c r="F202" i="34"/>
  <c r="F200" i="34"/>
  <c r="F207" i="34"/>
  <c r="F201" i="34"/>
  <c r="F206" i="34"/>
  <c r="F203" i="34"/>
  <c r="F204" i="34"/>
  <c r="F210" i="34"/>
  <c r="F212" i="34"/>
  <c r="F214" i="34"/>
  <c r="F209" i="34"/>
  <c r="F216" i="34"/>
  <c r="F215" i="34"/>
  <c r="F211" i="34"/>
  <c r="F213" i="34"/>
  <c r="F222" i="34"/>
  <c r="F218" i="34"/>
  <c r="F219" i="34"/>
  <c r="F224" i="34"/>
  <c r="F225" i="34"/>
  <c r="F221" i="34"/>
  <c r="F223" i="34"/>
  <c r="F220" i="34"/>
  <c r="F228" i="34"/>
  <c r="F227" i="34"/>
  <c r="F234" i="34"/>
  <c r="F233" i="34"/>
  <c r="F231" i="34"/>
  <c r="F230" i="34"/>
  <c r="F232" i="34"/>
  <c r="F229" i="34"/>
  <c r="F239" i="34"/>
  <c r="F238" i="34"/>
  <c r="F240" i="34"/>
  <c r="F241" i="34"/>
  <c r="F243" i="34"/>
  <c r="F242" i="34"/>
  <c r="F237" i="34"/>
  <c r="F236" i="34"/>
  <c r="F282" i="34"/>
  <c r="F286" i="34"/>
  <c r="F283" i="34"/>
  <c r="F287" i="34"/>
  <c r="F285" i="34"/>
  <c r="F284" i="34"/>
  <c r="F288" i="34"/>
  <c r="F281" i="34"/>
  <c r="F295" i="34"/>
  <c r="F296" i="34"/>
  <c r="F294" i="34"/>
  <c r="F297" i="34"/>
  <c r="F290" i="34"/>
  <c r="F291" i="34"/>
  <c r="F292" i="34"/>
  <c r="F293" i="34"/>
  <c r="YD2" i="77"/>
  <c r="T424" i="34"/>
  <c r="YC2" i="77"/>
  <c r="YB2" i="77"/>
  <c r="S424" i="34"/>
  <c r="YA2" i="77"/>
  <c r="XZ2" i="77"/>
  <c r="R424" i="34"/>
  <c r="XY2" i="77"/>
  <c r="XJ2" i="77"/>
  <c r="F108" i="34"/>
  <c r="XI2" i="77"/>
  <c r="G139" i="33"/>
  <c r="VB2" i="77"/>
  <c r="R139" i="33"/>
  <c r="VA2" i="77"/>
  <c r="G136" i="33"/>
  <c r="UH2" i="77"/>
  <c r="R136" i="33"/>
  <c r="UG2" i="77"/>
  <c r="G134" i="33"/>
  <c r="TN2" i="77"/>
  <c r="R134" i="33"/>
  <c r="TM2" i="77"/>
  <c r="H62" i="33"/>
  <c r="SV2" i="77"/>
  <c r="S62" i="33"/>
  <c r="SU2" i="77"/>
  <c r="H27" i="33"/>
  <c r="SB2" i="77"/>
  <c r="S27" i="33"/>
  <c r="SA2" i="77"/>
  <c r="H26" i="33"/>
  <c r="RH2" i="77"/>
  <c r="S26" i="33"/>
  <c r="RG2" i="77"/>
  <c r="QR2" i="77"/>
  <c r="U139" i="29"/>
  <c r="QQ2" i="77"/>
  <c r="PX2" i="77"/>
  <c r="U136" i="29"/>
  <c r="PW2" i="77"/>
  <c r="PD2" i="77"/>
  <c r="U134" i="29"/>
  <c r="PC2" i="77"/>
  <c r="OL2" i="77"/>
  <c r="V62" i="29"/>
  <c r="OK2" i="77"/>
  <c r="NR2" i="77"/>
  <c r="V27" i="29"/>
  <c r="NQ2" i="77"/>
  <c r="MX2" i="77"/>
  <c r="V26" i="29"/>
  <c r="MW2" i="77"/>
  <c r="LV2" i="77"/>
  <c r="R139" i="4"/>
  <c r="LU2" i="77"/>
  <c r="LB2" i="77"/>
  <c r="R136" i="4"/>
  <c r="LA2" i="77"/>
  <c r="KH2" i="77"/>
  <c r="R134" i="4"/>
  <c r="KG2" i="77"/>
  <c r="JP2" i="77"/>
  <c r="S62" i="4"/>
  <c r="JO2" i="77"/>
  <c r="IV2" i="77"/>
  <c r="S27" i="4"/>
  <c r="IU2" i="77"/>
  <c r="IB2" i="77"/>
  <c r="S26" i="4"/>
  <c r="IA2" i="77"/>
  <c r="C380" i="6"/>
  <c r="C389" i="6"/>
  <c r="C398" i="6"/>
  <c r="C416" i="6"/>
  <c r="C426" i="6"/>
  <c r="C436" i="6"/>
  <c r="H134" i="4" a="1"/>
  <c r="H134" i="4"/>
  <c r="H135" i="4"/>
  <c r="H136" i="4"/>
  <c r="H137" i="4"/>
  <c r="H139" i="4"/>
  <c r="G77" i="6"/>
  <c r="G191" i="6"/>
  <c r="G200" i="6"/>
  <c r="G209" i="6"/>
  <c r="G218" i="6"/>
  <c r="G227" i="6"/>
  <c r="G236" i="6"/>
  <c r="G254" i="6"/>
  <c r="G263" i="6"/>
  <c r="G272" i="6"/>
  <c r="G281" i="6"/>
  <c r="G290" i="6"/>
  <c r="G308" i="6"/>
  <c r="G317" i="6"/>
  <c r="G326" i="6"/>
  <c r="G335" i="6"/>
  <c r="G104" i="6"/>
  <c r="G105" i="6"/>
  <c r="G108" i="6"/>
  <c r="G344" i="6"/>
  <c r="G362" i="6"/>
  <c r="G371" i="6"/>
  <c r="G380" i="6"/>
  <c r="G389" i="6"/>
  <c r="G398" i="6"/>
  <c r="G416" i="6"/>
  <c r="G426" i="6"/>
  <c r="G436" i="6"/>
  <c r="I24" i="4"/>
  <c r="I25" i="4"/>
  <c r="I26" i="4"/>
  <c r="T26" i="4"/>
  <c r="IC2" i="77"/>
  <c r="ID2" i="77"/>
  <c r="I27" i="4"/>
  <c r="T27" i="4"/>
  <c r="IW2" i="77"/>
  <c r="IX2" i="77"/>
  <c r="I29" i="4"/>
  <c r="I30" i="4"/>
  <c r="I31" i="4"/>
  <c r="I34" i="4"/>
  <c r="I35" i="4"/>
  <c r="I36" i="4"/>
  <c r="I37" i="4"/>
  <c r="I48" i="4"/>
  <c r="I50" i="4"/>
  <c r="I39" i="4"/>
  <c r="I40" i="4"/>
  <c r="I41" i="4"/>
  <c r="I44" i="4"/>
  <c r="I45" i="4"/>
  <c r="I46" i="4"/>
  <c r="I47" i="4"/>
  <c r="I49" i="4"/>
  <c r="I51" i="4"/>
  <c r="I53" i="4"/>
  <c r="I54" i="4"/>
  <c r="I55" i="4"/>
  <c r="I58" i="4"/>
  <c r="I59" i="4"/>
  <c r="I60" i="4"/>
  <c r="I61" i="4"/>
  <c r="I62" i="4"/>
  <c r="T62" i="4"/>
  <c r="JQ2" i="77"/>
  <c r="JR2" i="77"/>
  <c r="S134" i="4"/>
  <c r="KI2" i="77"/>
  <c r="KJ2" i="77"/>
  <c r="S136" i="4"/>
  <c r="LC2" i="77"/>
  <c r="LD2" i="77"/>
  <c r="S139" i="4"/>
  <c r="LW2" i="77"/>
  <c r="LX2" i="77"/>
  <c r="K134" i="29" a="1"/>
  <c r="K134" i="29"/>
  <c r="K135" i="29"/>
  <c r="K136" i="29"/>
  <c r="L24" i="29"/>
  <c r="L25" i="29"/>
  <c r="L26" i="29"/>
  <c r="W26" i="29"/>
  <c r="MY2" i="77"/>
  <c r="MZ2" i="77"/>
  <c r="L27" i="29"/>
  <c r="W27" i="29"/>
  <c r="NS2" i="77"/>
  <c r="NT2" i="77"/>
  <c r="L29" i="29"/>
  <c r="L30" i="29"/>
  <c r="L31" i="29"/>
  <c r="L34" i="29"/>
  <c r="L35" i="29"/>
  <c r="L36" i="29"/>
  <c r="L37" i="29"/>
  <c r="L48" i="29"/>
  <c r="L50" i="29"/>
  <c r="L39" i="29"/>
  <c r="L40" i="29"/>
  <c r="L41" i="29"/>
  <c r="L44" i="29"/>
  <c r="L45" i="29"/>
  <c r="L46" i="29"/>
  <c r="L47" i="29"/>
  <c r="L49" i="29"/>
  <c r="L51" i="29"/>
  <c r="L53" i="29"/>
  <c r="L54" i="29"/>
  <c r="L55" i="29"/>
  <c r="L58" i="29"/>
  <c r="L59" i="29"/>
  <c r="L60" i="29"/>
  <c r="L61" i="29"/>
  <c r="L62" i="29"/>
  <c r="W62" i="29"/>
  <c r="OM2" i="77"/>
  <c r="ON2" i="77"/>
  <c r="V134" i="29"/>
  <c r="PE2" i="77"/>
  <c r="PF2" i="77"/>
  <c r="V136" i="29"/>
  <c r="PY2" i="77"/>
  <c r="PZ2" i="77"/>
  <c r="K137" i="29"/>
  <c r="K139" i="29"/>
  <c r="V139" i="29"/>
  <c r="QS2" i="77"/>
  <c r="QT2" i="77"/>
  <c r="I26" i="33"/>
  <c r="T26" i="33"/>
  <c r="RI2" i="77"/>
  <c r="RJ2" i="77"/>
  <c r="I27" i="33"/>
  <c r="T27" i="33"/>
  <c r="SC2" i="77"/>
  <c r="SD2" i="77"/>
  <c r="I62" i="33"/>
  <c r="T62" i="33"/>
  <c r="SW2" i="77"/>
  <c r="SX2" i="77"/>
  <c r="H134" i="33"/>
  <c r="S134" i="33"/>
  <c r="TO2" i="77"/>
  <c r="TP2" i="77"/>
  <c r="H136" i="33"/>
  <c r="S136" i="33"/>
  <c r="UI2" i="77"/>
  <c r="UJ2" i="77"/>
  <c r="H139" i="33"/>
  <c r="S139" i="33"/>
  <c r="VC2" i="77"/>
  <c r="VD2" i="77"/>
  <c r="G108" i="34"/>
  <c r="XK2" i="77"/>
  <c r="XL2" i="77"/>
  <c r="C424" i="6"/>
  <c r="C424" i="34"/>
  <c r="Q424" i="34"/>
  <c r="XW2" i="77"/>
  <c r="XX2" i="77"/>
  <c r="G78" i="6"/>
  <c r="G192" i="6"/>
  <c r="G201" i="6"/>
  <c r="G210" i="6"/>
  <c r="G219" i="6"/>
  <c r="G228" i="6"/>
  <c r="G237" i="6"/>
  <c r="G255" i="6"/>
  <c r="G264" i="6"/>
  <c r="G273" i="6"/>
  <c r="G282" i="6"/>
  <c r="G291" i="6"/>
  <c r="G309" i="6"/>
  <c r="G318" i="6"/>
  <c r="G327" i="6"/>
  <c r="G336" i="6"/>
  <c r="G345" i="6"/>
  <c r="G363" i="6"/>
  <c r="G372" i="6"/>
  <c r="G381" i="6"/>
  <c r="G390" i="6"/>
  <c r="G399" i="6"/>
  <c r="G417" i="6"/>
  <c r="G79" i="6"/>
  <c r="G193" i="6"/>
  <c r="G202" i="6"/>
  <c r="G211" i="6"/>
  <c r="G220" i="6"/>
  <c r="G229" i="6"/>
  <c r="G238" i="6"/>
  <c r="G256" i="6"/>
  <c r="G265" i="6"/>
  <c r="G274" i="6"/>
  <c r="G283" i="6"/>
  <c r="G292" i="6"/>
  <c r="G310" i="6"/>
  <c r="G319" i="6"/>
  <c r="G328" i="6"/>
  <c r="G337" i="6"/>
  <c r="G346" i="6"/>
  <c r="G364" i="6"/>
  <c r="G373" i="6"/>
  <c r="G382" i="6"/>
  <c r="G391" i="6"/>
  <c r="G400" i="6"/>
  <c r="G418" i="6"/>
  <c r="G80" i="6"/>
  <c r="G194" i="6"/>
  <c r="G203" i="6"/>
  <c r="G212" i="6"/>
  <c r="G221" i="6"/>
  <c r="G230" i="6"/>
  <c r="G239" i="6"/>
  <c r="G257" i="6"/>
  <c r="G266" i="6"/>
  <c r="G275" i="6"/>
  <c r="G284" i="6"/>
  <c r="G293" i="6"/>
  <c r="G311" i="6"/>
  <c r="G320" i="6"/>
  <c r="G329" i="6"/>
  <c r="G338" i="6"/>
  <c r="G347" i="6"/>
  <c r="G365" i="6"/>
  <c r="G374" i="6"/>
  <c r="G383" i="6"/>
  <c r="G392" i="6"/>
  <c r="G401" i="6"/>
  <c r="G419" i="6"/>
  <c r="G81" i="6"/>
  <c r="G195" i="6"/>
  <c r="G204" i="6"/>
  <c r="G213" i="6"/>
  <c r="G222" i="6"/>
  <c r="G231" i="6"/>
  <c r="G240" i="6"/>
  <c r="G258" i="6"/>
  <c r="G267" i="6"/>
  <c r="G276" i="6"/>
  <c r="G285" i="6"/>
  <c r="G294" i="6"/>
  <c r="G312" i="6"/>
  <c r="G321" i="6"/>
  <c r="G330" i="6"/>
  <c r="G339" i="6"/>
  <c r="G348" i="6"/>
  <c r="G366" i="6"/>
  <c r="G375" i="6"/>
  <c r="G384" i="6"/>
  <c r="G393" i="6"/>
  <c r="G402" i="6"/>
  <c r="G420" i="6"/>
  <c r="G82" i="6"/>
  <c r="G196" i="6"/>
  <c r="G205" i="6"/>
  <c r="G214" i="6"/>
  <c r="G223" i="6"/>
  <c r="G232" i="6"/>
  <c r="G241" i="6"/>
  <c r="G259" i="6"/>
  <c r="G268" i="6"/>
  <c r="G277" i="6"/>
  <c r="G286" i="6"/>
  <c r="G295" i="6"/>
  <c r="G313" i="6"/>
  <c r="G322" i="6"/>
  <c r="G331" i="6"/>
  <c r="G340" i="6"/>
  <c r="G349" i="6"/>
  <c r="G367" i="6"/>
  <c r="G376" i="6"/>
  <c r="G385" i="6"/>
  <c r="G394" i="6"/>
  <c r="G403" i="6"/>
  <c r="G421" i="6"/>
  <c r="G83" i="6"/>
  <c r="G197" i="6"/>
  <c r="G206" i="6"/>
  <c r="G215" i="6"/>
  <c r="G224" i="6"/>
  <c r="G233" i="6"/>
  <c r="G242" i="6"/>
  <c r="G260" i="6"/>
  <c r="G269" i="6"/>
  <c r="G278" i="6"/>
  <c r="G287" i="6"/>
  <c r="G296" i="6"/>
  <c r="G314" i="6"/>
  <c r="G323" i="6"/>
  <c r="G332" i="6"/>
  <c r="G341" i="6"/>
  <c r="G350" i="6"/>
  <c r="G368" i="6"/>
  <c r="G377" i="6"/>
  <c r="G386" i="6"/>
  <c r="G395" i="6"/>
  <c r="G404" i="6"/>
  <c r="G422" i="6"/>
  <c r="G84" i="6"/>
  <c r="G198" i="6"/>
  <c r="G207" i="6"/>
  <c r="G216" i="6"/>
  <c r="G225" i="6"/>
  <c r="G234" i="6"/>
  <c r="G243" i="6"/>
  <c r="G261" i="6"/>
  <c r="G270" i="6"/>
  <c r="G279" i="6"/>
  <c r="G288" i="6"/>
  <c r="G297" i="6"/>
  <c r="G315" i="6"/>
  <c r="G324" i="6"/>
  <c r="G333" i="6"/>
  <c r="G342" i="6"/>
  <c r="G351" i="6"/>
  <c r="G369" i="6"/>
  <c r="G378" i="6"/>
  <c r="G387" i="6"/>
  <c r="G396" i="6"/>
  <c r="G405" i="6"/>
  <c r="G423" i="6"/>
  <c r="G424" i="6"/>
  <c r="G424" i="34"/>
  <c r="U424" i="34"/>
  <c r="YE2" i="77"/>
  <c r="YF2" i="77"/>
  <c r="G427" i="6"/>
  <c r="G437" i="6"/>
  <c r="G428" i="6"/>
  <c r="G438" i="6"/>
  <c r="G429" i="6"/>
  <c r="G439" i="6"/>
  <c r="G430" i="6"/>
  <c r="G440" i="6"/>
  <c r="G431" i="6"/>
  <c r="G441" i="6"/>
  <c r="G432" i="6"/>
  <c r="G442" i="6"/>
  <c r="G433" i="6"/>
  <c r="G443" i="6"/>
  <c r="J77" i="30"/>
  <c r="J191" i="30"/>
  <c r="J200" i="30"/>
  <c r="J209" i="30"/>
  <c r="J218" i="30"/>
  <c r="J227" i="30"/>
  <c r="J236" i="30"/>
  <c r="J254" i="30"/>
  <c r="J263" i="30"/>
  <c r="J272" i="30"/>
  <c r="J281" i="30"/>
  <c r="J290" i="30"/>
  <c r="J308" i="30"/>
  <c r="J317" i="30"/>
  <c r="J326" i="30"/>
  <c r="J335" i="30"/>
  <c r="J104" i="30"/>
  <c r="J105" i="30"/>
  <c r="J108" i="30"/>
  <c r="J344" i="30"/>
  <c r="J362" i="30"/>
  <c r="J371" i="30"/>
  <c r="J380" i="30"/>
  <c r="J389" i="30"/>
  <c r="J398" i="30"/>
  <c r="J416" i="30"/>
  <c r="J426" i="30"/>
  <c r="J436" i="30"/>
  <c r="G341" i="34"/>
  <c r="G338" i="34"/>
  <c r="G335" i="34"/>
  <c r="G337" i="34"/>
  <c r="G340" i="34"/>
  <c r="G339" i="34"/>
  <c r="G336" i="34"/>
  <c r="G342" i="34"/>
  <c r="G333" i="34"/>
  <c r="G332" i="34"/>
  <c r="G328" i="34"/>
  <c r="G331" i="34"/>
  <c r="G330" i="34"/>
  <c r="G326" i="34"/>
  <c r="G329" i="34"/>
  <c r="G327" i="34"/>
  <c r="H135" i="33"/>
  <c r="H137" i="33"/>
  <c r="I24" i="33"/>
  <c r="I39" i="33"/>
  <c r="I29" i="33"/>
  <c r="I53" i="33"/>
  <c r="G104" i="34"/>
  <c r="I25" i="33"/>
  <c r="I30" i="33"/>
  <c r="I54" i="33"/>
  <c r="G105" i="34"/>
  <c r="I40" i="33"/>
  <c r="G84" i="34"/>
  <c r="G82" i="34"/>
  <c r="G77" i="34"/>
  <c r="I31" i="33"/>
  <c r="G78" i="34"/>
  <c r="G80" i="34"/>
  <c r="G83" i="34"/>
  <c r="I55" i="33"/>
  <c r="G81" i="34"/>
  <c r="I41" i="33"/>
  <c r="G79" i="34"/>
  <c r="G198" i="34"/>
  <c r="G193" i="34"/>
  <c r="G194" i="34"/>
  <c r="G192" i="34"/>
  <c r="I58" i="33"/>
  <c r="I44" i="33"/>
  <c r="G197" i="34"/>
  <c r="G191" i="34"/>
  <c r="G196" i="34"/>
  <c r="G195" i="34"/>
  <c r="I34" i="33"/>
  <c r="I35" i="33"/>
  <c r="I59" i="33"/>
  <c r="I45" i="33"/>
  <c r="I49" i="33"/>
  <c r="I46" i="33"/>
  <c r="I61" i="33"/>
  <c r="I60" i="33"/>
  <c r="I48" i="33"/>
  <c r="I36" i="33"/>
  <c r="J57" i="4"/>
  <c r="J57" i="33"/>
  <c r="J33" i="4"/>
  <c r="J33" i="33"/>
  <c r="J43" i="4"/>
  <c r="J43" i="33"/>
  <c r="I51" i="33"/>
  <c r="I47" i="33"/>
  <c r="I37" i="33"/>
  <c r="I50" i="33"/>
  <c r="I103" i="4"/>
  <c r="I103" i="33"/>
  <c r="I106" i="4"/>
  <c r="I106" i="33"/>
  <c r="I104" i="4"/>
  <c r="I104" i="33"/>
  <c r="I105" i="4"/>
  <c r="I105" i="33"/>
  <c r="I107" i="4"/>
  <c r="I107" i="33"/>
  <c r="I101" i="4"/>
  <c r="I101" i="33"/>
  <c r="I108" i="4"/>
  <c r="I108" i="33"/>
  <c r="I102" i="4"/>
  <c r="I102" i="33"/>
  <c r="I120" i="4"/>
  <c r="I120" i="33"/>
  <c r="I125" i="4"/>
  <c r="I125" i="33"/>
  <c r="I123" i="4"/>
  <c r="I123" i="33"/>
  <c r="I119" i="4"/>
  <c r="I119" i="33"/>
  <c r="I118" i="4"/>
  <c r="I118" i="33"/>
  <c r="I124" i="4"/>
  <c r="I124" i="33"/>
  <c r="I122" i="4"/>
  <c r="I122" i="33"/>
  <c r="I121" i="4"/>
  <c r="I121" i="33"/>
  <c r="I130" i="4"/>
  <c r="I130" i="33"/>
  <c r="I126" i="4"/>
  <c r="I126" i="33"/>
  <c r="I131" i="4"/>
  <c r="I131" i="33"/>
  <c r="I133" i="4"/>
  <c r="I133" i="33"/>
  <c r="I129" i="4"/>
  <c r="I129" i="33"/>
  <c r="I128" i="4"/>
  <c r="I128" i="33"/>
  <c r="I132" i="4"/>
  <c r="I132" i="33"/>
  <c r="I127" i="4"/>
  <c r="I127" i="33"/>
  <c r="H96" i="6"/>
  <c r="H96" i="34"/>
  <c r="H99" i="6"/>
  <c r="H99" i="34"/>
  <c r="H88" i="6"/>
  <c r="H88" i="34"/>
  <c r="H89" i="6"/>
  <c r="H89" i="34"/>
  <c r="H98" i="6"/>
  <c r="H98" i="34"/>
  <c r="H86" i="6"/>
  <c r="H86" i="34"/>
  <c r="H87" i="6"/>
  <c r="H87" i="34"/>
  <c r="H95" i="6"/>
  <c r="H95" i="34"/>
  <c r="H97" i="6"/>
  <c r="H97" i="34"/>
  <c r="H101" i="6"/>
  <c r="H101" i="34"/>
  <c r="H91" i="6"/>
  <c r="H91" i="34"/>
  <c r="H92" i="6"/>
  <c r="H92" i="34"/>
  <c r="H102" i="6"/>
  <c r="H102" i="34"/>
  <c r="H100" i="6"/>
  <c r="H100" i="34"/>
  <c r="H93" i="6"/>
  <c r="H93" i="34"/>
  <c r="H90" i="6"/>
  <c r="H90" i="34"/>
  <c r="H252" i="6"/>
  <c r="H252" i="34"/>
  <c r="H306" i="6"/>
  <c r="H306" i="34"/>
  <c r="H303" i="6"/>
  <c r="H303" i="34"/>
  <c r="H300" i="6"/>
  <c r="H300" i="34"/>
  <c r="H250" i="6"/>
  <c r="H250" i="34"/>
  <c r="H305" i="6"/>
  <c r="H305" i="34"/>
  <c r="H246" i="6"/>
  <c r="H246" i="34"/>
  <c r="H247" i="6"/>
  <c r="H247" i="34"/>
  <c r="H304" i="6"/>
  <c r="H304" i="34"/>
  <c r="H245" i="6"/>
  <c r="H245" i="34"/>
  <c r="H301" i="6"/>
  <c r="H301" i="34"/>
  <c r="H302" i="6"/>
  <c r="H302" i="34"/>
  <c r="H299" i="6"/>
  <c r="H299" i="34"/>
  <c r="H249" i="6"/>
  <c r="H249" i="34"/>
  <c r="H248" i="6"/>
  <c r="H248" i="34"/>
  <c r="H251" i="6"/>
  <c r="H251" i="34"/>
  <c r="G203" i="34"/>
  <c r="G206" i="34"/>
  <c r="G205" i="34"/>
  <c r="G204" i="34"/>
  <c r="G201" i="34"/>
  <c r="G207" i="34"/>
  <c r="G200" i="34"/>
  <c r="G202" i="34"/>
  <c r="G211" i="34"/>
  <c r="G213" i="34"/>
  <c r="G209" i="34"/>
  <c r="G210" i="34"/>
  <c r="G214" i="34"/>
  <c r="G216" i="34"/>
  <c r="G212" i="34"/>
  <c r="G215" i="34"/>
  <c r="G221" i="34"/>
  <c r="G219" i="34"/>
  <c r="G222" i="34"/>
  <c r="G220" i="34"/>
  <c r="G225" i="34"/>
  <c r="G218" i="34"/>
  <c r="G223" i="34"/>
  <c r="G224" i="34"/>
  <c r="G232" i="34"/>
  <c r="G230" i="34"/>
  <c r="G229" i="34"/>
  <c r="G227" i="34"/>
  <c r="G228" i="34"/>
  <c r="G231" i="34"/>
  <c r="G234" i="34"/>
  <c r="G233" i="34"/>
  <c r="G237" i="34"/>
  <c r="G242" i="34"/>
  <c r="G240" i="34"/>
  <c r="G236" i="34"/>
  <c r="G241" i="34"/>
  <c r="G239" i="34"/>
  <c r="G243" i="34"/>
  <c r="G238" i="34"/>
  <c r="G254" i="34"/>
  <c r="G257" i="34"/>
  <c r="G258" i="34"/>
  <c r="G261" i="34"/>
  <c r="G259" i="34"/>
  <c r="G260" i="34"/>
  <c r="G256" i="34"/>
  <c r="G255" i="34"/>
  <c r="G285" i="34"/>
  <c r="G286" i="34"/>
  <c r="G281" i="34"/>
  <c r="G288" i="34"/>
  <c r="G283" i="34"/>
  <c r="G282" i="34"/>
  <c r="G284" i="34"/>
  <c r="G287" i="34"/>
  <c r="G276" i="34"/>
  <c r="G272" i="34"/>
  <c r="G275" i="34"/>
  <c r="G273" i="34"/>
  <c r="G278" i="34"/>
  <c r="G274" i="34"/>
  <c r="G277" i="34"/>
  <c r="G279" i="34"/>
  <c r="G263" i="34"/>
  <c r="G265" i="34"/>
  <c r="G267" i="34"/>
  <c r="G269" i="34"/>
  <c r="G264" i="34"/>
  <c r="G270" i="34"/>
  <c r="G266" i="34"/>
  <c r="G268" i="34"/>
  <c r="G293" i="34"/>
  <c r="G296" i="34"/>
  <c r="G292" i="34"/>
  <c r="G294" i="34"/>
  <c r="G295" i="34"/>
  <c r="G290" i="34"/>
  <c r="G297" i="34"/>
  <c r="G291" i="34"/>
  <c r="G313" i="34"/>
  <c r="G311" i="34"/>
  <c r="G314" i="34"/>
  <c r="G310" i="34"/>
  <c r="G312" i="34"/>
  <c r="G308" i="34"/>
  <c r="G315" i="34"/>
  <c r="G309" i="34"/>
  <c r="G317" i="34"/>
  <c r="G320" i="34"/>
  <c r="G324" i="34"/>
  <c r="G321" i="34"/>
  <c r="G322" i="34"/>
  <c r="G318" i="34"/>
  <c r="G319" i="34"/>
  <c r="G323" i="34"/>
  <c r="G348" i="34"/>
  <c r="G345" i="34"/>
  <c r="G346" i="34"/>
  <c r="G349" i="34"/>
  <c r="G350" i="34"/>
  <c r="G344" i="34"/>
  <c r="G351" i="34"/>
  <c r="G347" i="34"/>
  <c r="G368" i="34"/>
  <c r="G364" i="34"/>
  <c r="G366" i="34"/>
  <c r="G365" i="34"/>
  <c r="G369" i="34"/>
  <c r="G362" i="34"/>
  <c r="G367" i="34"/>
  <c r="G363" i="34"/>
  <c r="J78" i="30"/>
  <c r="J192" i="30"/>
  <c r="J201" i="30"/>
  <c r="J210" i="30"/>
  <c r="J219" i="30"/>
  <c r="J228" i="30"/>
  <c r="J237" i="30"/>
  <c r="J255" i="30"/>
  <c r="J264" i="30"/>
  <c r="J273" i="30"/>
  <c r="J282" i="30"/>
  <c r="J291" i="30"/>
  <c r="J309" i="30"/>
  <c r="J318" i="30"/>
  <c r="J327" i="30"/>
  <c r="J336" i="30"/>
  <c r="J345" i="30"/>
  <c r="J363" i="30"/>
  <c r="J372" i="30"/>
  <c r="J381" i="30"/>
  <c r="J390" i="30"/>
  <c r="J79" i="30"/>
  <c r="J193" i="30"/>
  <c r="J202" i="30"/>
  <c r="J211" i="30"/>
  <c r="J220" i="30"/>
  <c r="J229" i="30"/>
  <c r="J238" i="30"/>
  <c r="J256" i="30"/>
  <c r="J265" i="30"/>
  <c r="J274" i="30"/>
  <c r="J283" i="30"/>
  <c r="J292" i="30"/>
  <c r="J310" i="30"/>
  <c r="J319" i="30"/>
  <c r="J328" i="30"/>
  <c r="J337" i="30"/>
  <c r="J346" i="30"/>
  <c r="J364" i="30"/>
  <c r="J373" i="30"/>
  <c r="J382" i="30"/>
  <c r="J391" i="30"/>
  <c r="J80" i="30"/>
  <c r="J194" i="30"/>
  <c r="J203" i="30"/>
  <c r="J212" i="30"/>
  <c r="J221" i="30"/>
  <c r="J230" i="30"/>
  <c r="J239" i="30"/>
  <c r="J257" i="30"/>
  <c r="J266" i="30"/>
  <c r="J275" i="30"/>
  <c r="J284" i="30"/>
  <c r="J293" i="30"/>
  <c r="J311" i="30"/>
  <c r="J320" i="30"/>
  <c r="J329" i="30"/>
  <c r="J338" i="30"/>
  <c r="J347" i="30"/>
  <c r="J365" i="30"/>
  <c r="J374" i="30"/>
  <c r="J383" i="30"/>
  <c r="J392" i="30"/>
  <c r="J81" i="30"/>
  <c r="J195" i="30"/>
  <c r="J204" i="30"/>
  <c r="J213" i="30"/>
  <c r="J222" i="30"/>
  <c r="J231" i="30"/>
  <c r="J240" i="30"/>
  <c r="J258" i="30"/>
  <c r="J267" i="30"/>
  <c r="J276" i="30"/>
  <c r="J285" i="30"/>
  <c r="J294" i="30"/>
  <c r="J312" i="30"/>
  <c r="J321" i="30"/>
  <c r="J330" i="30"/>
  <c r="J339" i="30"/>
  <c r="J348" i="30"/>
  <c r="J366" i="30"/>
  <c r="J375" i="30"/>
  <c r="J384" i="30"/>
  <c r="J393" i="30"/>
  <c r="J82" i="30"/>
  <c r="J196" i="30"/>
  <c r="J205" i="30"/>
  <c r="J214" i="30"/>
  <c r="J223" i="30"/>
  <c r="J232" i="30"/>
  <c r="J241" i="30"/>
  <c r="J259" i="30"/>
  <c r="J268" i="30"/>
  <c r="J277" i="30"/>
  <c r="J286" i="30"/>
  <c r="J295" i="30"/>
  <c r="J313" i="30"/>
  <c r="J322" i="30"/>
  <c r="J331" i="30"/>
  <c r="J340" i="30"/>
  <c r="J349" i="30"/>
  <c r="J367" i="30"/>
  <c r="J376" i="30"/>
  <c r="J385" i="30"/>
  <c r="J394" i="30"/>
  <c r="J83" i="30"/>
  <c r="J197" i="30"/>
  <c r="J206" i="30"/>
  <c r="J215" i="30"/>
  <c r="J224" i="30"/>
  <c r="J233" i="30"/>
  <c r="J242" i="30"/>
  <c r="J260" i="30"/>
  <c r="J269" i="30"/>
  <c r="J278" i="30"/>
  <c r="J287" i="30"/>
  <c r="J296" i="30"/>
  <c r="J314" i="30"/>
  <c r="J323" i="30"/>
  <c r="J332" i="30"/>
  <c r="J341" i="30"/>
  <c r="J350" i="30"/>
  <c r="J368" i="30"/>
  <c r="J377" i="30"/>
  <c r="J386" i="30"/>
  <c r="J395" i="30"/>
  <c r="J84" i="30"/>
  <c r="J198" i="30"/>
  <c r="J207" i="30"/>
  <c r="J216" i="30"/>
  <c r="J225" i="30"/>
  <c r="J234" i="30"/>
  <c r="J243" i="30"/>
  <c r="J261" i="30"/>
  <c r="J270" i="30"/>
  <c r="J279" i="30"/>
  <c r="J288" i="30"/>
  <c r="J297" i="30"/>
  <c r="J315" i="30"/>
  <c r="J324" i="30"/>
  <c r="J333" i="30"/>
  <c r="J342" i="30"/>
  <c r="J351" i="30"/>
  <c r="J369" i="30"/>
  <c r="J378" i="30"/>
  <c r="J387" i="30"/>
  <c r="J396" i="30"/>
  <c r="J407" i="30"/>
  <c r="J404" i="30"/>
  <c r="J413" i="30"/>
  <c r="J399" i="30"/>
  <c r="J408" i="30"/>
  <c r="J400" i="30"/>
  <c r="J409" i="30"/>
  <c r="J403" i="30"/>
  <c r="J412" i="30"/>
  <c r="J405" i="30"/>
  <c r="J414" i="30"/>
  <c r="J402" i="30"/>
  <c r="J411" i="30"/>
  <c r="J401" i="30"/>
  <c r="J410" i="30"/>
  <c r="J417" i="30"/>
  <c r="J418" i="30"/>
  <c r="J419" i="30"/>
  <c r="J420" i="30"/>
  <c r="J421" i="30"/>
  <c r="J422" i="30"/>
  <c r="J423" i="30"/>
  <c r="J424" i="30"/>
  <c r="I15" i="9"/>
  <c r="J427" i="30"/>
  <c r="J428" i="30"/>
  <c r="J429" i="30"/>
  <c r="J430" i="30"/>
  <c r="J431" i="30"/>
  <c r="J432" i="30"/>
  <c r="J433" i="30"/>
  <c r="J434" i="30"/>
  <c r="I17" i="9"/>
  <c r="C407" i="6"/>
  <c r="C407" i="34"/>
  <c r="C398" i="34"/>
  <c r="C389" i="34"/>
  <c r="C380" i="34"/>
  <c r="C416" i="34"/>
  <c r="C436" i="34"/>
  <c r="C426" i="34"/>
  <c r="G432" i="34"/>
  <c r="G428" i="34"/>
  <c r="G427" i="34"/>
  <c r="G433" i="34"/>
  <c r="G430" i="34"/>
  <c r="G431" i="34"/>
  <c r="G429" i="34"/>
  <c r="G426" i="34"/>
  <c r="G442" i="34"/>
  <c r="G440" i="34"/>
  <c r="G439" i="34"/>
  <c r="G437" i="34"/>
  <c r="G438" i="34"/>
  <c r="G443" i="34"/>
  <c r="G441" i="34"/>
  <c r="G436" i="34"/>
  <c r="G416" i="34"/>
  <c r="G418" i="34"/>
  <c r="G420" i="34"/>
  <c r="G417" i="34"/>
  <c r="G421" i="34"/>
  <c r="G422" i="34"/>
  <c r="G419" i="34"/>
  <c r="G423" i="34"/>
  <c r="G380" i="34"/>
  <c r="G387" i="34"/>
  <c r="G382" i="34"/>
  <c r="G383" i="34"/>
  <c r="G384" i="34"/>
  <c r="G386" i="34"/>
  <c r="G385" i="34"/>
  <c r="G381" i="34"/>
  <c r="G372" i="34"/>
  <c r="G374" i="34"/>
  <c r="G373" i="34"/>
  <c r="G377" i="34"/>
  <c r="G378" i="34"/>
  <c r="G375" i="34"/>
  <c r="G376" i="34"/>
  <c r="G371" i="34"/>
  <c r="G389" i="34"/>
  <c r="G394" i="34"/>
  <c r="G391" i="34"/>
  <c r="G393" i="34"/>
  <c r="G395" i="34"/>
  <c r="G390" i="34"/>
  <c r="G396" i="34"/>
  <c r="G392" i="34"/>
  <c r="G404" i="34"/>
  <c r="G400" i="34"/>
  <c r="G401" i="34"/>
  <c r="G403" i="34"/>
  <c r="G405" i="34"/>
  <c r="G402" i="34"/>
  <c r="G399" i="34"/>
  <c r="G398" i="34"/>
  <c r="G407" i="6"/>
  <c r="G407" i="34"/>
  <c r="G408" i="6"/>
  <c r="G408" i="34"/>
  <c r="G411" i="6"/>
  <c r="G411" i="34"/>
  <c r="G414" i="6"/>
  <c r="G414" i="34"/>
  <c r="G412" i="6"/>
  <c r="G412" i="34"/>
  <c r="G410" i="6"/>
  <c r="G410" i="34"/>
  <c r="G409" i="6"/>
  <c r="G409" i="34"/>
  <c r="G413" i="6"/>
  <c r="G413" i="34"/>
  <c r="G444" i="6"/>
  <c r="F8" i="9"/>
  <c r="C444" i="6"/>
  <c r="B8" i="9"/>
  <c r="G444" i="34"/>
  <c r="F30" i="9"/>
  <c r="L101" i="29"/>
  <c r="L118" i="29"/>
  <c r="L126" i="29"/>
  <c r="K86" i="30"/>
  <c r="K245" i="30"/>
  <c r="K95" i="30"/>
  <c r="K299" i="30"/>
  <c r="L102" i="29"/>
  <c r="L119" i="29"/>
  <c r="L127" i="29"/>
  <c r="K87" i="30"/>
  <c r="K246" i="30"/>
  <c r="K96" i="30"/>
  <c r="K300" i="30"/>
  <c r="L103" i="29"/>
  <c r="L120" i="29"/>
  <c r="L128" i="29"/>
  <c r="K88" i="30"/>
  <c r="K247" i="30"/>
  <c r="K97" i="30"/>
  <c r="K301" i="30"/>
  <c r="L104" i="29"/>
  <c r="L121" i="29"/>
  <c r="L129" i="29"/>
  <c r="K89" i="30"/>
  <c r="K248" i="30"/>
  <c r="K98" i="30"/>
  <c r="K302" i="30"/>
  <c r="L105" i="29"/>
  <c r="L122" i="29"/>
  <c r="L130" i="29"/>
  <c r="K90" i="30"/>
  <c r="K249" i="30"/>
  <c r="K99" i="30"/>
  <c r="K303" i="30"/>
  <c r="L106" i="29"/>
  <c r="L123" i="29"/>
  <c r="L131" i="29"/>
  <c r="K91" i="30"/>
  <c r="K250" i="30"/>
  <c r="K100" i="30"/>
  <c r="K304" i="30"/>
  <c r="L107" i="29"/>
  <c r="L124" i="29"/>
  <c r="L132" i="29"/>
  <c r="K92" i="30"/>
  <c r="K251" i="30"/>
  <c r="K101" i="30"/>
  <c r="K305" i="30"/>
  <c r="L108" i="29"/>
  <c r="L125" i="29"/>
  <c r="L133" i="29"/>
  <c r="K93" i="30"/>
  <c r="K252" i="30"/>
  <c r="K102" i="30"/>
  <c r="K306" i="30"/>
  <c r="M33" i="29"/>
  <c r="M43" i="29"/>
  <c r="M57" i="29"/>
  <c r="C434" i="6"/>
  <c r="C434" i="34"/>
  <c r="B28" i="9"/>
  <c r="G434" i="6"/>
  <c r="G434" i="34"/>
  <c r="F28" i="9"/>
  <c r="B6" i="9" a="1"/>
  <c r="C6" i="9"/>
  <c r="B6" i="9"/>
  <c r="D6" i="9"/>
  <c r="E6" i="9"/>
  <c r="F6" i="9"/>
  <c r="B26" i="9"/>
  <c r="F26" i="9"/>
  <c r="B4" i="9" a="1"/>
  <c r="C4" i="9"/>
  <c r="B4" i="9"/>
  <c r="D4" i="9"/>
  <c r="E4" i="9"/>
  <c r="F4" i="9"/>
  <c r="J437" i="30"/>
  <c r="J438" i="30"/>
  <c r="J439" i="30"/>
  <c r="J440" i="30"/>
  <c r="J441" i="30"/>
  <c r="J442" i="30"/>
  <c r="J443" i="30"/>
  <c r="J444" i="30"/>
  <c r="I19" i="9"/>
  <c r="C444" i="34"/>
  <c r="B30" i="9"/>
  <c r="I134" i="4" a="1"/>
  <c r="I134" i="4"/>
  <c r="I135" i="4"/>
  <c r="I136" i="4"/>
  <c r="I137" i="4"/>
  <c r="I139" i="4"/>
  <c r="H77" i="6"/>
  <c r="H191" i="6"/>
  <c r="H200" i="6"/>
  <c r="H209" i="6"/>
  <c r="H218" i="6"/>
  <c r="H227" i="6"/>
  <c r="H236" i="6"/>
  <c r="H254" i="6"/>
  <c r="H263" i="6"/>
  <c r="H272" i="6"/>
  <c r="H281" i="6"/>
  <c r="H290" i="6"/>
  <c r="H308" i="6"/>
  <c r="H317" i="6"/>
  <c r="H326" i="6"/>
  <c r="H335" i="6"/>
  <c r="H104" i="6"/>
  <c r="H105" i="6"/>
  <c r="H108" i="6"/>
  <c r="H344" i="6"/>
  <c r="H362" i="6"/>
  <c r="H371" i="6"/>
  <c r="H380" i="6"/>
  <c r="H389" i="6"/>
  <c r="H398" i="6"/>
  <c r="H416" i="6"/>
  <c r="H426" i="6"/>
  <c r="H436" i="6"/>
  <c r="H78" i="6"/>
  <c r="H192" i="6"/>
  <c r="H201" i="6"/>
  <c r="H210" i="6"/>
  <c r="H219" i="6"/>
  <c r="H228" i="6"/>
  <c r="H237" i="6"/>
  <c r="H255" i="6"/>
  <c r="H264" i="6"/>
  <c r="H273" i="6"/>
  <c r="H282" i="6"/>
  <c r="H291" i="6"/>
  <c r="H309" i="6"/>
  <c r="H318" i="6"/>
  <c r="H327" i="6"/>
  <c r="H336" i="6"/>
  <c r="H345" i="6"/>
  <c r="H363" i="6"/>
  <c r="H372" i="6"/>
  <c r="H381" i="6"/>
  <c r="H390" i="6"/>
  <c r="H399" i="6"/>
  <c r="H417" i="6"/>
  <c r="H427" i="6"/>
  <c r="H437" i="6"/>
  <c r="H79" i="6"/>
  <c r="H193" i="6"/>
  <c r="H202" i="6"/>
  <c r="H211" i="6"/>
  <c r="H220" i="6"/>
  <c r="H229" i="6"/>
  <c r="H238" i="6"/>
  <c r="H256" i="6"/>
  <c r="H265" i="6"/>
  <c r="H274" i="6"/>
  <c r="H283" i="6"/>
  <c r="H292" i="6"/>
  <c r="H310" i="6"/>
  <c r="H319" i="6"/>
  <c r="H328" i="6"/>
  <c r="H337" i="6"/>
  <c r="H346" i="6"/>
  <c r="H364" i="6"/>
  <c r="H373" i="6"/>
  <c r="H382" i="6"/>
  <c r="H391" i="6"/>
  <c r="H400" i="6"/>
  <c r="H418" i="6"/>
  <c r="H428" i="6"/>
  <c r="H438" i="6"/>
  <c r="H80" i="6"/>
  <c r="H194" i="6"/>
  <c r="H203" i="6"/>
  <c r="H212" i="6"/>
  <c r="H221" i="6"/>
  <c r="H230" i="6"/>
  <c r="H239" i="6"/>
  <c r="H257" i="6"/>
  <c r="H266" i="6"/>
  <c r="H275" i="6"/>
  <c r="H284" i="6"/>
  <c r="H293" i="6"/>
  <c r="H311" i="6"/>
  <c r="H320" i="6"/>
  <c r="H329" i="6"/>
  <c r="H338" i="6"/>
  <c r="H347" i="6"/>
  <c r="H365" i="6"/>
  <c r="H374" i="6"/>
  <c r="H383" i="6"/>
  <c r="H392" i="6"/>
  <c r="H401" i="6"/>
  <c r="H419" i="6"/>
  <c r="H429" i="6"/>
  <c r="H439" i="6"/>
  <c r="H81" i="6"/>
  <c r="H195" i="6"/>
  <c r="H204" i="6"/>
  <c r="H213" i="6"/>
  <c r="H222" i="6"/>
  <c r="H231" i="6"/>
  <c r="H240" i="6"/>
  <c r="H258" i="6"/>
  <c r="H267" i="6"/>
  <c r="H276" i="6"/>
  <c r="H285" i="6"/>
  <c r="H294" i="6"/>
  <c r="H312" i="6"/>
  <c r="H321" i="6"/>
  <c r="H330" i="6"/>
  <c r="H339" i="6"/>
  <c r="H348" i="6"/>
  <c r="H366" i="6"/>
  <c r="H375" i="6"/>
  <c r="H384" i="6"/>
  <c r="H393" i="6"/>
  <c r="H402" i="6"/>
  <c r="H420" i="6"/>
  <c r="H430" i="6"/>
  <c r="H440" i="6"/>
  <c r="H82" i="6"/>
  <c r="H196" i="6"/>
  <c r="H205" i="6"/>
  <c r="H214" i="6"/>
  <c r="H223" i="6"/>
  <c r="H232" i="6"/>
  <c r="H241" i="6"/>
  <c r="H259" i="6"/>
  <c r="H268" i="6"/>
  <c r="H277" i="6"/>
  <c r="H286" i="6"/>
  <c r="H295" i="6"/>
  <c r="H313" i="6"/>
  <c r="H322" i="6"/>
  <c r="H331" i="6"/>
  <c r="H340" i="6"/>
  <c r="H349" i="6"/>
  <c r="H367" i="6"/>
  <c r="H376" i="6"/>
  <c r="H385" i="6"/>
  <c r="H394" i="6"/>
  <c r="H403" i="6"/>
  <c r="H421" i="6"/>
  <c r="H431" i="6"/>
  <c r="H441" i="6"/>
  <c r="H83" i="6"/>
  <c r="H197" i="6"/>
  <c r="H206" i="6"/>
  <c r="H215" i="6"/>
  <c r="H224" i="6"/>
  <c r="H233" i="6"/>
  <c r="H242" i="6"/>
  <c r="H260" i="6"/>
  <c r="H269" i="6"/>
  <c r="H278" i="6"/>
  <c r="H287" i="6"/>
  <c r="H296" i="6"/>
  <c r="H314" i="6"/>
  <c r="H323" i="6"/>
  <c r="H332" i="6"/>
  <c r="H341" i="6"/>
  <c r="H350" i="6"/>
  <c r="H368" i="6"/>
  <c r="H377" i="6"/>
  <c r="H386" i="6"/>
  <c r="H395" i="6"/>
  <c r="H404" i="6"/>
  <c r="H422" i="6"/>
  <c r="H432" i="6"/>
  <c r="H442" i="6"/>
  <c r="H84" i="6"/>
  <c r="H198" i="6"/>
  <c r="H207" i="6"/>
  <c r="H216" i="6"/>
  <c r="H225" i="6"/>
  <c r="H234" i="6"/>
  <c r="H243" i="6"/>
  <c r="H261" i="6"/>
  <c r="H270" i="6"/>
  <c r="H279" i="6"/>
  <c r="H288" i="6"/>
  <c r="H297" i="6"/>
  <c r="H315" i="6"/>
  <c r="H324" i="6"/>
  <c r="H333" i="6"/>
  <c r="H342" i="6"/>
  <c r="H351" i="6"/>
  <c r="H369" i="6"/>
  <c r="H378" i="6"/>
  <c r="H387" i="6"/>
  <c r="H396" i="6"/>
  <c r="H405" i="6"/>
  <c r="H423" i="6"/>
  <c r="H433" i="6"/>
  <c r="H443" i="6"/>
  <c r="H444" i="6"/>
  <c r="H444" i="34"/>
  <c r="G30" i="9"/>
  <c r="L134" i="29" a="1"/>
  <c r="L134" i="29"/>
  <c r="L135" i="29"/>
  <c r="L136" i="29"/>
  <c r="L137" i="29"/>
  <c r="L139" i="29"/>
  <c r="K77" i="30"/>
  <c r="K191" i="30"/>
  <c r="K200" i="30"/>
  <c r="K209" i="30"/>
  <c r="K218" i="30"/>
  <c r="K227" i="30"/>
  <c r="K236" i="30"/>
  <c r="K254" i="30"/>
  <c r="K263" i="30"/>
  <c r="K272" i="30"/>
  <c r="K281" i="30"/>
  <c r="K290" i="30"/>
  <c r="K308" i="30"/>
  <c r="K317" i="30"/>
  <c r="K326" i="30"/>
  <c r="K335" i="30"/>
  <c r="K104" i="30"/>
  <c r="K105" i="30"/>
  <c r="K108" i="30"/>
  <c r="K344" i="30"/>
  <c r="K362" i="30"/>
  <c r="K371" i="30"/>
  <c r="K380" i="30"/>
  <c r="K389" i="30"/>
  <c r="K398" i="30"/>
  <c r="K416" i="30"/>
  <c r="K426" i="30"/>
  <c r="K436" i="30"/>
  <c r="K78" i="30"/>
  <c r="K192" i="30"/>
  <c r="K201" i="30"/>
  <c r="K210" i="30"/>
  <c r="K219" i="30"/>
  <c r="K228" i="30"/>
  <c r="K237" i="30"/>
  <c r="K255" i="30"/>
  <c r="K264" i="30"/>
  <c r="K273" i="30"/>
  <c r="K282" i="30"/>
  <c r="K291" i="30"/>
  <c r="K309" i="30"/>
  <c r="K318" i="30"/>
  <c r="K327" i="30"/>
  <c r="K336" i="30"/>
  <c r="K345" i="30"/>
  <c r="K363" i="30"/>
  <c r="K372" i="30"/>
  <c r="K381" i="30"/>
  <c r="K390" i="30"/>
  <c r="K399" i="30"/>
  <c r="K417" i="30"/>
  <c r="K427" i="30"/>
  <c r="K437" i="30"/>
  <c r="K79" i="30"/>
  <c r="K193" i="30"/>
  <c r="K202" i="30"/>
  <c r="K211" i="30"/>
  <c r="K220" i="30"/>
  <c r="K229" i="30"/>
  <c r="K238" i="30"/>
  <c r="K256" i="30"/>
  <c r="K265" i="30"/>
  <c r="K274" i="30"/>
  <c r="K283" i="30"/>
  <c r="K292" i="30"/>
  <c r="K310" i="30"/>
  <c r="K319" i="30"/>
  <c r="K328" i="30"/>
  <c r="K337" i="30"/>
  <c r="K346" i="30"/>
  <c r="K364" i="30"/>
  <c r="K373" i="30"/>
  <c r="K382" i="30"/>
  <c r="K391" i="30"/>
  <c r="K400" i="30"/>
  <c r="K418" i="30"/>
  <c r="K428" i="30"/>
  <c r="K438" i="30"/>
  <c r="K80" i="30"/>
  <c r="K194" i="30"/>
  <c r="K203" i="30"/>
  <c r="K212" i="30"/>
  <c r="K221" i="30"/>
  <c r="K230" i="30"/>
  <c r="K239" i="30"/>
  <c r="K257" i="30"/>
  <c r="K266" i="30"/>
  <c r="K275" i="30"/>
  <c r="K284" i="30"/>
  <c r="K293" i="30"/>
  <c r="K311" i="30"/>
  <c r="K320" i="30"/>
  <c r="K329" i="30"/>
  <c r="K338" i="30"/>
  <c r="K347" i="30"/>
  <c r="K365" i="30"/>
  <c r="K374" i="30"/>
  <c r="K383" i="30"/>
  <c r="K392" i="30"/>
  <c r="K401" i="30"/>
  <c r="K419" i="30"/>
  <c r="K429" i="30"/>
  <c r="K439" i="30"/>
  <c r="K81" i="30"/>
  <c r="K195" i="30"/>
  <c r="K204" i="30"/>
  <c r="K213" i="30"/>
  <c r="K222" i="30"/>
  <c r="K231" i="30"/>
  <c r="K240" i="30"/>
  <c r="K258" i="30"/>
  <c r="K267" i="30"/>
  <c r="K276" i="30"/>
  <c r="K285" i="30"/>
  <c r="K294" i="30"/>
  <c r="K312" i="30"/>
  <c r="K321" i="30"/>
  <c r="K330" i="30"/>
  <c r="K339" i="30"/>
  <c r="K348" i="30"/>
  <c r="K366" i="30"/>
  <c r="K375" i="30"/>
  <c r="K384" i="30"/>
  <c r="K393" i="30"/>
  <c r="K402" i="30"/>
  <c r="K420" i="30"/>
  <c r="K430" i="30"/>
  <c r="K440" i="30"/>
  <c r="K82" i="30"/>
  <c r="K196" i="30"/>
  <c r="K205" i="30"/>
  <c r="K214" i="30"/>
  <c r="K223" i="30"/>
  <c r="K232" i="30"/>
  <c r="K241" i="30"/>
  <c r="K259" i="30"/>
  <c r="K268" i="30"/>
  <c r="K277" i="30"/>
  <c r="K286" i="30"/>
  <c r="K295" i="30"/>
  <c r="K313" i="30"/>
  <c r="K322" i="30"/>
  <c r="K331" i="30"/>
  <c r="K340" i="30"/>
  <c r="K349" i="30"/>
  <c r="K367" i="30"/>
  <c r="K376" i="30"/>
  <c r="K385" i="30"/>
  <c r="K394" i="30"/>
  <c r="K403" i="30"/>
  <c r="K421" i="30"/>
  <c r="K431" i="30"/>
  <c r="K441" i="30"/>
  <c r="K83" i="30"/>
  <c r="K197" i="30"/>
  <c r="K206" i="30"/>
  <c r="K215" i="30"/>
  <c r="K224" i="30"/>
  <c r="K233" i="30"/>
  <c r="K242" i="30"/>
  <c r="K260" i="30"/>
  <c r="K269" i="30"/>
  <c r="K278" i="30"/>
  <c r="K287" i="30"/>
  <c r="K296" i="30"/>
  <c r="K314" i="30"/>
  <c r="K323" i="30"/>
  <c r="K332" i="30"/>
  <c r="K341" i="30"/>
  <c r="K350" i="30"/>
  <c r="K368" i="30"/>
  <c r="K377" i="30"/>
  <c r="K386" i="30"/>
  <c r="K395" i="30"/>
  <c r="K404" i="30"/>
  <c r="K422" i="30"/>
  <c r="K432" i="30"/>
  <c r="K442" i="30"/>
  <c r="K84" i="30"/>
  <c r="K198" i="30"/>
  <c r="K207" i="30"/>
  <c r="K216" i="30"/>
  <c r="K225" i="30"/>
  <c r="K234" i="30"/>
  <c r="K243" i="30"/>
  <c r="K261" i="30"/>
  <c r="K270" i="30"/>
  <c r="K279" i="30"/>
  <c r="K288" i="30"/>
  <c r="K297" i="30"/>
  <c r="K315" i="30"/>
  <c r="K324" i="30"/>
  <c r="K333" i="30"/>
  <c r="K342" i="30"/>
  <c r="K351" i="30"/>
  <c r="K369" i="30"/>
  <c r="K378" i="30"/>
  <c r="K387" i="30"/>
  <c r="K396" i="30"/>
  <c r="K405" i="30"/>
  <c r="K423" i="30"/>
  <c r="K433" i="30"/>
  <c r="K443" i="30"/>
  <c r="K444" i="30"/>
  <c r="J19" i="9"/>
  <c r="J24" i="4"/>
  <c r="J25" i="4"/>
  <c r="J26" i="4"/>
  <c r="J27" i="4"/>
  <c r="J29" i="4"/>
  <c r="J30" i="4"/>
  <c r="J31" i="4"/>
  <c r="J34" i="4"/>
  <c r="J35" i="4"/>
  <c r="J36" i="4"/>
  <c r="J37" i="4"/>
  <c r="J48" i="4"/>
  <c r="J50" i="4"/>
  <c r="J39" i="4"/>
  <c r="J40" i="4"/>
  <c r="J41" i="4"/>
  <c r="J44" i="4"/>
  <c r="J45" i="4"/>
  <c r="J46" i="4"/>
  <c r="J47" i="4"/>
  <c r="J49" i="4"/>
  <c r="J51" i="4"/>
  <c r="J53" i="4"/>
  <c r="J54" i="4"/>
  <c r="J55" i="4"/>
  <c r="J58" i="4"/>
  <c r="J59" i="4"/>
  <c r="J60" i="4"/>
  <c r="J61" i="4"/>
  <c r="J62" i="4"/>
  <c r="J108" i="4"/>
  <c r="J125" i="4"/>
  <c r="J106" i="4"/>
  <c r="J123" i="4"/>
  <c r="J102" i="4"/>
  <c r="J119" i="4"/>
  <c r="J101" i="4"/>
  <c r="J118" i="4"/>
  <c r="J103" i="4"/>
  <c r="J120" i="4"/>
  <c r="J105" i="4"/>
  <c r="J122" i="4"/>
  <c r="J104" i="4"/>
  <c r="J121" i="4"/>
  <c r="J107" i="4"/>
  <c r="J124" i="4"/>
  <c r="M24" i="29"/>
  <c r="M25" i="29"/>
  <c r="M26" i="29"/>
  <c r="M27" i="29"/>
  <c r="M29" i="29"/>
  <c r="M30" i="29"/>
  <c r="M31" i="29"/>
  <c r="M34" i="29"/>
  <c r="M35" i="29"/>
  <c r="M36" i="29"/>
  <c r="M37" i="29"/>
  <c r="M48" i="29"/>
  <c r="M50" i="29"/>
  <c r="M39" i="29"/>
  <c r="M40" i="29"/>
  <c r="M41" i="29"/>
  <c r="M44" i="29"/>
  <c r="M45" i="29"/>
  <c r="M46" i="29"/>
  <c r="M47" i="29"/>
  <c r="M49" i="29"/>
  <c r="M51" i="29"/>
  <c r="M53" i="29"/>
  <c r="M54" i="29"/>
  <c r="M55" i="29"/>
  <c r="M58" i="29"/>
  <c r="M59" i="29"/>
  <c r="M60" i="29"/>
  <c r="M61" i="29"/>
  <c r="M62" i="29"/>
  <c r="M108" i="29"/>
  <c r="M125" i="29"/>
  <c r="M133" i="29"/>
  <c r="L102" i="30"/>
  <c r="L306" i="30"/>
  <c r="L93" i="30"/>
  <c r="L252" i="30"/>
  <c r="M107" i="29"/>
  <c r="M124" i="29"/>
  <c r="M132" i="29"/>
  <c r="L101" i="30"/>
  <c r="L305" i="30"/>
  <c r="L92" i="30"/>
  <c r="L251" i="30"/>
  <c r="M106" i="29"/>
  <c r="M123" i="29"/>
  <c r="M131" i="29"/>
  <c r="L100" i="30"/>
  <c r="L304" i="30"/>
  <c r="L91" i="30"/>
  <c r="L250" i="30"/>
  <c r="M105" i="29"/>
  <c r="M122" i="29"/>
  <c r="M130" i="29"/>
  <c r="L99" i="30"/>
  <c r="L303" i="30"/>
  <c r="L90" i="30"/>
  <c r="L249" i="30"/>
  <c r="M104" i="29"/>
  <c r="M121" i="29"/>
  <c r="M129" i="29"/>
  <c r="L98" i="30"/>
  <c r="L302" i="30"/>
  <c r="L89" i="30"/>
  <c r="L248" i="30"/>
  <c r="M103" i="29"/>
  <c r="M120" i="29"/>
  <c r="M128" i="29"/>
  <c r="L97" i="30"/>
  <c r="L301" i="30"/>
  <c r="L88" i="30"/>
  <c r="L247" i="30"/>
  <c r="M102" i="29"/>
  <c r="M119" i="29"/>
  <c r="M127" i="29"/>
  <c r="L96" i="30"/>
  <c r="L300" i="30"/>
  <c r="L87" i="30"/>
  <c r="L246" i="30"/>
  <c r="M101" i="29"/>
  <c r="M118" i="29"/>
  <c r="M126" i="29"/>
  <c r="L95" i="30"/>
  <c r="L299" i="30"/>
  <c r="L86" i="30"/>
  <c r="L245" i="30"/>
  <c r="K424" i="30"/>
  <c r="J15" i="9"/>
  <c r="K434" i="30"/>
  <c r="J17" i="9"/>
  <c r="H424" i="6"/>
  <c r="G4" i="9"/>
  <c r="H424" i="34"/>
  <c r="G26" i="9"/>
  <c r="H434" i="6"/>
  <c r="G6" i="9"/>
  <c r="H434" i="34"/>
  <c r="G28" i="9"/>
  <c r="K413" i="30"/>
  <c r="K409" i="30"/>
  <c r="K408" i="30"/>
  <c r="K411" i="30"/>
  <c r="K412" i="30"/>
  <c r="K410" i="30"/>
  <c r="K414" i="30"/>
  <c r="K407" i="30"/>
  <c r="K43" i="4"/>
  <c r="K33" i="4"/>
  <c r="K57" i="4"/>
  <c r="G8" i="9"/>
  <c r="H428" i="34"/>
  <c r="H433" i="34"/>
  <c r="H432" i="34"/>
  <c r="H429" i="34"/>
  <c r="H427" i="34"/>
  <c r="H431" i="34"/>
  <c r="H430" i="34"/>
  <c r="H426" i="34"/>
  <c r="H438" i="34"/>
  <c r="H443" i="34"/>
  <c r="H442" i="34"/>
  <c r="H439" i="34"/>
  <c r="H437" i="34"/>
  <c r="H441" i="34"/>
  <c r="H440" i="34"/>
  <c r="H436" i="34"/>
  <c r="H416" i="34"/>
  <c r="H421" i="34"/>
  <c r="H417" i="34"/>
  <c r="H418" i="34"/>
  <c r="H423" i="34"/>
  <c r="H422" i="34"/>
  <c r="H420" i="34"/>
  <c r="H419" i="34"/>
  <c r="H411" i="6"/>
  <c r="H411" i="34"/>
  <c r="H408" i="6"/>
  <c r="H408" i="34"/>
  <c r="H414" i="6"/>
  <c r="H414" i="34"/>
  <c r="H413" i="6"/>
  <c r="H413" i="34"/>
  <c r="H412" i="6"/>
  <c r="H412" i="34"/>
  <c r="H410" i="6"/>
  <c r="H410" i="34"/>
  <c r="H409" i="6"/>
  <c r="H409" i="34"/>
  <c r="H407" i="6"/>
  <c r="H407" i="34"/>
  <c r="H398" i="34"/>
  <c r="H400" i="34"/>
  <c r="H401" i="34"/>
  <c r="H403" i="34"/>
  <c r="H404" i="34"/>
  <c r="H405" i="34"/>
  <c r="H399" i="34"/>
  <c r="H402" i="34"/>
  <c r="H391" i="34"/>
  <c r="H390" i="34"/>
  <c r="H395" i="34"/>
  <c r="H393" i="34"/>
  <c r="H396" i="34"/>
  <c r="H392" i="34"/>
  <c r="H394" i="34"/>
  <c r="H389" i="34"/>
  <c r="H371" i="34"/>
  <c r="H374" i="34"/>
  <c r="H372" i="34"/>
  <c r="H373" i="34"/>
  <c r="H376" i="34"/>
  <c r="H375" i="34"/>
  <c r="H377" i="34"/>
  <c r="H378" i="34"/>
  <c r="H381" i="34"/>
  <c r="H384" i="34"/>
  <c r="H382" i="34"/>
  <c r="H383" i="34"/>
  <c r="H387" i="34"/>
  <c r="H386" i="34"/>
  <c r="H385" i="34"/>
  <c r="H380" i="34"/>
  <c r="H348" i="34"/>
  <c r="H349" i="34"/>
  <c r="H344" i="34"/>
  <c r="H345" i="34"/>
  <c r="H350" i="34"/>
  <c r="H351" i="34"/>
  <c r="H346" i="34"/>
  <c r="H347" i="34"/>
  <c r="H363" i="34"/>
  <c r="H367" i="34"/>
  <c r="H366" i="34"/>
  <c r="H368" i="34"/>
  <c r="H365" i="34"/>
  <c r="H364" i="34"/>
  <c r="H362" i="34"/>
  <c r="H369" i="34"/>
  <c r="J126" i="4"/>
  <c r="I86" i="6"/>
  <c r="I245" i="6"/>
  <c r="J132" i="4"/>
  <c r="I92" i="6"/>
  <c r="I251" i="6"/>
  <c r="J130" i="4"/>
  <c r="I90" i="6"/>
  <c r="I249" i="6"/>
  <c r="J127" i="4"/>
  <c r="I87" i="6"/>
  <c r="I246" i="6"/>
  <c r="J129" i="4"/>
  <c r="I89" i="6"/>
  <c r="I248" i="6"/>
  <c r="J128" i="4"/>
  <c r="I88" i="6"/>
  <c r="I247" i="6"/>
  <c r="J131" i="4"/>
  <c r="I91" i="6"/>
  <c r="I250" i="6"/>
  <c r="J133" i="4"/>
  <c r="I93" i="6"/>
  <c r="I252" i="6"/>
  <c r="I95" i="6"/>
  <c r="I299" i="6"/>
  <c r="I99" i="6"/>
  <c r="I303" i="6"/>
  <c r="I97" i="6"/>
  <c r="I301" i="6"/>
  <c r="I98" i="6"/>
  <c r="I302" i="6"/>
  <c r="I102" i="6"/>
  <c r="I306" i="6"/>
  <c r="I100" i="6"/>
  <c r="I304" i="6"/>
  <c r="I101" i="6"/>
  <c r="I305" i="6"/>
  <c r="I96" i="6"/>
  <c r="I300" i="6"/>
  <c r="H340" i="34"/>
  <c r="H337" i="34"/>
  <c r="H335" i="34"/>
  <c r="H339" i="34"/>
  <c r="H342" i="34"/>
  <c r="H336" i="34"/>
  <c r="H338" i="34"/>
  <c r="H341" i="34"/>
  <c r="H254" i="34"/>
  <c r="H255" i="34"/>
  <c r="H257" i="34"/>
  <c r="H260" i="34"/>
  <c r="H258" i="34"/>
  <c r="H261" i="34"/>
  <c r="H256" i="34"/>
  <c r="H259" i="34"/>
  <c r="H239" i="34"/>
  <c r="H241" i="34"/>
  <c r="H238" i="34"/>
  <c r="H236" i="34"/>
  <c r="H242" i="34"/>
  <c r="H237" i="34"/>
  <c r="H243" i="34"/>
  <c r="H240" i="34"/>
  <c r="H229" i="34"/>
  <c r="H232" i="34"/>
  <c r="H231" i="34"/>
  <c r="H234" i="34"/>
  <c r="H230" i="34"/>
  <c r="H227" i="34"/>
  <c r="H233" i="34"/>
  <c r="H228" i="34"/>
  <c r="H220" i="34"/>
  <c r="H222" i="34"/>
  <c r="H223" i="34"/>
  <c r="H224" i="34"/>
  <c r="H219" i="34"/>
  <c r="H221" i="34"/>
  <c r="H225" i="34"/>
  <c r="H218" i="34"/>
  <c r="H214" i="34"/>
  <c r="H211" i="34"/>
  <c r="H215" i="34"/>
  <c r="H216" i="34"/>
  <c r="H210" i="34"/>
  <c r="H213" i="34"/>
  <c r="H209" i="34"/>
  <c r="H212" i="34"/>
  <c r="H203" i="34"/>
  <c r="H207" i="34"/>
  <c r="H205" i="34"/>
  <c r="H200" i="34"/>
  <c r="H204" i="34"/>
  <c r="H201" i="34"/>
  <c r="H206" i="34"/>
  <c r="H202" i="34"/>
  <c r="I245" i="34"/>
  <c r="I252" i="34"/>
  <c r="I304" i="34"/>
  <c r="I247" i="34"/>
  <c r="I301" i="34"/>
  <c r="I303" i="34"/>
  <c r="I249" i="34"/>
  <c r="I302" i="34"/>
  <c r="I246" i="34"/>
  <c r="I251" i="34"/>
  <c r="I306" i="34"/>
  <c r="I250" i="34"/>
  <c r="I305" i="34"/>
  <c r="I248" i="34"/>
  <c r="I299" i="34"/>
  <c r="I300" i="34"/>
  <c r="I92" i="34"/>
  <c r="I90" i="34"/>
  <c r="I87" i="34"/>
  <c r="I91" i="34"/>
  <c r="I96" i="34"/>
  <c r="I99" i="34"/>
  <c r="I88" i="34"/>
  <c r="I100" i="34"/>
  <c r="I93" i="34"/>
  <c r="I102" i="34"/>
  <c r="I95" i="34"/>
  <c r="I97" i="34"/>
  <c r="I89" i="34"/>
  <c r="I86" i="34"/>
  <c r="I98" i="34"/>
  <c r="I101" i="34"/>
  <c r="J128" i="33"/>
  <c r="J131" i="33"/>
  <c r="J133" i="33"/>
  <c r="J132" i="33"/>
  <c r="J126" i="33"/>
  <c r="J130" i="33"/>
  <c r="J129" i="33"/>
  <c r="J127" i="33"/>
  <c r="J124" i="33"/>
  <c r="J123" i="33"/>
  <c r="J125" i="33"/>
  <c r="J118" i="33"/>
  <c r="J119" i="33"/>
  <c r="J122" i="33"/>
  <c r="J120" i="33"/>
  <c r="J121" i="33"/>
  <c r="J101" i="33"/>
  <c r="J102" i="33"/>
  <c r="J105" i="33"/>
  <c r="J108" i="33"/>
  <c r="J104" i="33"/>
  <c r="J107" i="33"/>
  <c r="J106" i="33"/>
  <c r="J103" i="33"/>
  <c r="J50" i="33"/>
  <c r="J37" i="33"/>
  <c r="J51" i="33"/>
  <c r="J47" i="33"/>
  <c r="J36" i="33"/>
  <c r="J48" i="33"/>
  <c r="K33" i="33"/>
  <c r="J61" i="33"/>
  <c r="J60" i="33"/>
  <c r="J46" i="33"/>
  <c r="J49" i="33"/>
  <c r="K43" i="33"/>
  <c r="K57" i="33"/>
  <c r="J45" i="33"/>
  <c r="J59" i="33"/>
  <c r="J35" i="33"/>
  <c r="H193" i="34"/>
  <c r="J44" i="33"/>
  <c r="H191" i="34"/>
  <c r="H197" i="34"/>
  <c r="J34" i="33"/>
  <c r="H196" i="34"/>
  <c r="J58" i="33"/>
  <c r="H192" i="34"/>
  <c r="H195" i="34"/>
  <c r="H194" i="34"/>
  <c r="H198" i="34"/>
  <c r="H79" i="34"/>
  <c r="J41" i="33"/>
  <c r="H78" i="34"/>
  <c r="H84" i="34"/>
  <c r="H77" i="34"/>
  <c r="H80" i="34"/>
  <c r="H83" i="34"/>
  <c r="J31" i="33"/>
  <c r="J55" i="33"/>
  <c r="H82" i="34"/>
  <c r="H81" i="34"/>
  <c r="J54" i="33"/>
  <c r="H105" i="34"/>
  <c r="J30" i="33"/>
  <c r="J25" i="33"/>
  <c r="J40" i="33"/>
  <c r="J53" i="33"/>
  <c r="J24" i="33"/>
  <c r="I137" i="33"/>
  <c r="J29" i="33"/>
  <c r="H104" i="34"/>
  <c r="J39" i="33"/>
  <c r="I135" i="33"/>
  <c r="H274" i="34"/>
  <c r="H275" i="34"/>
  <c r="H278" i="34"/>
  <c r="H276" i="34"/>
  <c r="H277" i="34"/>
  <c r="H272" i="34"/>
  <c r="H279" i="34"/>
  <c r="H273" i="34"/>
  <c r="H283" i="34"/>
  <c r="H282" i="34"/>
  <c r="H287" i="34"/>
  <c r="H284" i="34"/>
  <c r="H286" i="34"/>
  <c r="H288" i="34"/>
  <c r="H285" i="34"/>
  <c r="H281" i="34"/>
  <c r="H269" i="34"/>
  <c r="H267" i="34"/>
  <c r="H264" i="34"/>
  <c r="H268" i="34"/>
  <c r="H266" i="34"/>
  <c r="H265" i="34"/>
  <c r="H263" i="34"/>
  <c r="H270" i="34"/>
  <c r="H297" i="34"/>
  <c r="H291" i="34"/>
  <c r="H293" i="34"/>
  <c r="H292" i="34"/>
  <c r="H294" i="34"/>
  <c r="H295" i="34"/>
  <c r="H296" i="34"/>
  <c r="H290" i="34"/>
  <c r="H311" i="34"/>
  <c r="H308" i="34"/>
  <c r="H315" i="34"/>
  <c r="H312" i="34"/>
  <c r="H309" i="34"/>
  <c r="H313" i="34"/>
  <c r="H310" i="34"/>
  <c r="H314" i="34"/>
  <c r="H319" i="34"/>
  <c r="H320" i="34"/>
  <c r="H318" i="34"/>
  <c r="H317" i="34"/>
  <c r="H322" i="34"/>
  <c r="H324" i="34"/>
  <c r="H323" i="34"/>
  <c r="H321" i="34"/>
  <c r="H328" i="34"/>
  <c r="H326" i="34"/>
  <c r="H332" i="34"/>
  <c r="H331" i="34"/>
  <c r="H329" i="34"/>
  <c r="H330" i="34"/>
  <c r="H333" i="34"/>
  <c r="H327" i="34"/>
  <c r="YH2" i="77"/>
  <c r="V424" i="34"/>
  <c r="YG2" i="77"/>
  <c r="XN2" i="77"/>
  <c r="H108" i="34"/>
  <c r="XM2" i="77"/>
  <c r="I139" i="33"/>
  <c r="VF2" i="77"/>
  <c r="T139" i="33"/>
  <c r="VE2" i="77"/>
  <c r="I136" i="33"/>
  <c r="UL2" i="77"/>
  <c r="T136" i="33"/>
  <c r="UK2" i="77"/>
  <c r="I134" i="33"/>
  <c r="TR2" i="77"/>
  <c r="T134" i="33"/>
  <c r="TQ2" i="77"/>
  <c r="J62" i="33"/>
  <c r="SZ2" i="77"/>
  <c r="U62" i="33"/>
  <c r="SY2" i="77"/>
  <c r="J27" i="33"/>
  <c r="SF2" i="77"/>
  <c r="U27" i="33"/>
  <c r="SE2" i="77"/>
  <c r="J26" i="33"/>
  <c r="RL2" i="77"/>
  <c r="U26" i="33"/>
  <c r="RK2" i="77"/>
  <c r="QV2" i="77"/>
  <c r="W139" i="29"/>
  <c r="QU2" i="77"/>
  <c r="QB2" i="77"/>
  <c r="W136" i="29"/>
  <c r="QA2" i="77"/>
  <c r="PH2" i="77"/>
  <c r="W134" i="29"/>
  <c r="PG2" i="77"/>
  <c r="OP2" i="77"/>
  <c r="X62" i="29"/>
  <c r="OO2" i="77"/>
  <c r="NV2" i="77"/>
  <c r="X27" i="29"/>
  <c r="NU2" i="77"/>
  <c r="NB2" i="77"/>
  <c r="X26" i="29"/>
  <c r="NA2" i="77"/>
  <c r="LZ2" i="77"/>
  <c r="T139" i="4"/>
  <c r="LY2" i="77"/>
  <c r="LF2" i="77"/>
  <c r="T136" i="4"/>
  <c r="LE2" i="77"/>
  <c r="KL2" i="77"/>
  <c r="T134" i="4"/>
  <c r="KK2" i="77"/>
  <c r="JT2" i="77"/>
  <c r="U62" i="4"/>
  <c r="JS2" i="77"/>
  <c r="IZ2" i="77"/>
  <c r="U27" i="4"/>
  <c r="IY2" i="77"/>
  <c r="IF2" i="77"/>
  <c r="U26" i="4"/>
  <c r="IE2" i="77"/>
  <c r="J134" i="4" a="1"/>
  <c r="J134" i="4"/>
  <c r="J135" i="4"/>
  <c r="J136" i="4"/>
  <c r="J137" i="4"/>
  <c r="J139" i="4"/>
  <c r="I77" i="6"/>
  <c r="I191" i="6"/>
  <c r="I200" i="6"/>
  <c r="I209" i="6"/>
  <c r="I218" i="6"/>
  <c r="I227" i="6"/>
  <c r="I236" i="6"/>
  <c r="I254" i="6"/>
  <c r="I263" i="6"/>
  <c r="I272" i="6"/>
  <c r="I281" i="6"/>
  <c r="I290" i="6"/>
  <c r="I308" i="6"/>
  <c r="I317" i="6"/>
  <c r="I326" i="6"/>
  <c r="I335" i="6"/>
  <c r="I104" i="6"/>
  <c r="I105" i="6"/>
  <c r="I108" i="6"/>
  <c r="I344" i="6"/>
  <c r="I362" i="6"/>
  <c r="I371" i="6"/>
  <c r="I380" i="6"/>
  <c r="I389" i="6"/>
  <c r="I398" i="6"/>
  <c r="I416" i="6"/>
  <c r="I426" i="6"/>
  <c r="I436" i="6"/>
  <c r="K24" i="4"/>
  <c r="K25" i="4"/>
  <c r="K26" i="4"/>
  <c r="V26" i="4"/>
  <c r="IG2" i="77"/>
  <c r="IH2" i="77"/>
  <c r="K27" i="4"/>
  <c r="V27" i="4"/>
  <c r="JA2" i="77"/>
  <c r="JB2" i="77"/>
  <c r="K29" i="4"/>
  <c r="K30" i="4"/>
  <c r="K31" i="4"/>
  <c r="K34" i="4"/>
  <c r="K35" i="4"/>
  <c r="K36" i="4"/>
  <c r="K37" i="4"/>
  <c r="K48" i="4"/>
  <c r="K50" i="4"/>
  <c r="K39" i="4"/>
  <c r="K40" i="4"/>
  <c r="K41" i="4"/>
  <c r="K44" i="4"/>
  <c r="K45" i="4"/>
  <c r="K46" i="4"/>
  <c r="K47" i="4"/>
  <c r="K49" i="4"/>
  <c r="K51" i="4"/>
  <c r="K53" i="4"/>
  <c r="K54" i="4"/>
  <c r="K55" i="4"/>
  <c r="K58" i="4"/>
  <c r="K59" i="4"/>
  <c r="K60" i="4"/>
  <c r="K61" i="4"/>
  <c r="K62" i="4"/>
  <c r="V62" i="4"/>
  <c r="JU2" i="77"/>
  <c r="JV2" i="77"/>
  <c r="U134" i="4"/>
  <c r="KM2" i="77"/>
  <c r="KN2" i="77"/>
  <c r="U136" i="4"/>
  <c r="LG2" i="77"/>
  <c r="LH2" i="77"/>
  <c r="U139" i="4"/>
  <c r="MA2" i="77"/>
  <c r="MB2" i="77"/>
  <c r="M134" i="29" a="1"/>
  <c r="M134" i="29"/>
  <c r="X134" i="29"/>
  <c r="PI2" i="77"/>
  <c r="PJ2" i="77"/>
  <c r="M135" i="29"/>
  <c r="M136" i="29"/>
  <c r="X136" i="29"/>
  <c r="QC2" i="77"/>
  <c r="QD2" i="77"/>
  <c r="M137" i="29"/>
  <c r="M139" i="29"/>
  <c r="X139" i="29"/>
  <c r="QW2" i="77"/>
  <c r="QX2" i="77"/>
  <c r="K26" i="33"/>
  <c r="V26" i="33"/>
  <c r="RM2" i="77"/>
  <c r="RN2" i="77"/>
  <c r="K27" i="33"/>
  <c r="V27" i="33"/>
  <c r="SG2" i="77"/>
  <c r="SH2" i="77"/>
  <c r="K62" i="33"/>
  <c r="V62" i="33"/>
  <c r="TA2" i="77"/>
  <c r="TB2" i="77"/>
  <c r="J134" i="33"/>
  <c r="U134" i="33"/>
  <c r="TS2" i="77"/>
  <c r="TT2" i="77"/>
  <c r="J136" i="33"/>
  <c r="U136" i="33"/>
  <c r="UM2" i="77"/>
  <c r="UN2" i="77"/>
  <c r="J139" i="33"/>
  <c r="U139" i="33"/>
  <c r="VG2" i="77"/>
  <c r="VH2" i="77"/>
  <c r="I108" i="34"/>
  <c r="XO2" i="77"/>
  <c r="XP2" i="77"/>
  <c r="I78" i="6"/>
  <c r="I192" i="6"/>
  <c r="I201" i="6"/>
  <c r="I210" i="6"/>
  <c r="I219" i="6"/>
  <c r="I228" i="6"/>
  <c r="I237" i="6"/>
  <c r="I255" i="6"/>
  <c r="I264" i="6"/>
  <c r="I273" i="6"/>
  <c r="I282" i="6"/>
  <c r="I291" i="6"/>
  <c r="I309" i="6"/>
  <c r="I318" i="6"/>
  <c r="I327" i="6"/>
  <c r="I336" i="6"/>
  <c r="I345" i="6"/>
  <c r="I363" i="6"/>
  <c r="I372" i="6"/>
  <c r="I381" i="6"/>
  <c r="I390" i="6"/>
  <c r="I399" i="6"/>
  <c r="I417" i="6"/>
  <c r="I79" i="6"/>
  <c r="I193" i="6"/>
  <c r="I202" i="6"/>
  <c r="I211" i="6"/>
  <c r="I220" i="6"/>
  <c r="I229" i="6"/>
  <c r="I238" i="6"/>
  <c r="I256" i="6"/>
  <c r="I265" i="6"/>
  <c r="I274" i="6"/>
  <c r="I283" i="6"/>
  <c r="I292" i="6"/>
  <c r="I310" i="6"/>
  <c r="I319" i="6"/>
  <c r="I328" i="6"/>
  <c r="I337" i="6"/>
  <c r="I346" i="6"/>
  <c r="I364" i="6"/>
  <c r="I373" i="6"/>
  <c r="I382" i="6"/>
  <c r="I391" i="6"/>
  <c r="I400" i="6"/>
  <c r="I418" i="6"/>
  <c r="I80" i="6"/>
  <c r="I194" i="6"/>
  <c r="I203" i="6"/>
  <c r="I212" i="6"/>
  <c r="I221" i="6"/>
  <c r="I230" i="6"/>
  <c r="I239" i="6"/>
  <c r="I257" i="6"/>
  <c r="I266" i="6"/>
  <c r="I275" i="6"/>
  <c r="I284" i="6"/>
  <c r="I293" i="6"/>
  <c r="I311" i="6"/>
  <c r="I320" i="6"/>
  <c r="I329" i="6"/>
  <c r="I338" i="6"/>
  <c r="I347" i="6"/>
  <c r="I365" i="6"/>
  <c r="I374" i="6"/>
  <c r="I383" i="6"/>
  <c r="I392" i="6"/>
  <c r="I401" i="6"/>
  <c r="I419" i="6"/>
  <c r="I81" i="6"/>
  <c r="I195" i="6"/>
  <c r="I204" i="6"/>
  <c r="I213" i="6"/>
  <c r="I222" i="6"/>
  <c r="I231" i="6"/>
  <c r="I240" i="6"/>
  <c r="I258" i="6"/>
  <c r="I267" i="6"/>
  <c r="I276" i="6"/>
  <c r="I285" i="6"/>
  <c r="I294" i="6"/>
  <c r="I312" i="6"/>
  <c r="I321" i="6"/>
  <c r="I330" i="6"/>
  <c r="I339" i="6"/>
  <c r="I348" i="6"/>
  <c r="I366" i="6"/>
  <c r="I375" i="6"/>
  <c r="I384" i="6"/>
  <c r="I393" i="6"/>
  <c r="I402" i="6"/>
  <c r="I420" i="6"/>
  <c r="I82" i="6"/>
  <c r="I196" i="6"/>
  <c r="I205" i="6"/>
  <c r="I214" i="6"/>
  <c r="I223" i="6"/>
  <c r="I232" i="6"/>
  <c r="I241" i="6"/>
  <c r="I259" i="6"/>
  <c r="I268" i="6"/>
  <c r="I277" i="6"/>
  <c r="I286" i="6"/>
  <c r="I295" i="6"/>
  <c r="I313" i="6"/>
  <c r="I322" i="6"/>
  <c r="I331" i="6"/>
  <c r="I340" i="6"/>
  <c r="I349" i="6"/>
  <c r="I367" i="6"/>
  <c r="I376" i="6"/>
  <c r="I385" i="6"/>
  <c r="I394" i="6"/>
  <c r="I403" i="6"/>
  <c r="I421" i="6"/>
  <c r="I83" i="6"/>
  <c r="I197" i="6"/>
  <c r="I206" i="6"/>
  <c r="I215" i="6"/>
  <c r="I224" i="6"/>
  <c r="I233" i="6"/>
  <c r="I242" i="6"/>
  <c r="I260" i="6"/>
  <c r="I269" i="6"/>
  <c r="I278" i="6"/>
  <c r="I287" i="6"/>
  <c r="I296" i="6"/>
  <c r="I314" i="6"/>
  <c r="I323" i="6"/>
  <c r="I332" i="6"/>
  <c r="I341" i="6"/>
  <c r="I350" i="6"/>
  <c r="I368" i="6"/>
  <c r="I377" i="6"/>
  <c r="I386" i="6"/>
  <c r="I395" i="6"/>
  <c r="I404" i="6"/>
  <c r="I422" i="6"/>
  <c r="I84" i="6"/>
  <c r="I198" i="6"/>
  <c r="I207" i="6"/>
  <c r="I216" i="6"/>
  <c r="I225" i="6"/>
  <c r="I234" i="6"/>
  <c r="I243" i="6"/>
  <c r="I261" i="6"/>
  <c r="I270" i="6"/>
  <c r="I279" i="6"/>
  <c r="I288" i="6"/>
  <c r="I297" i="6"/>
  <c r="I315" i="6"/>
  <c r="I324" i="6"/>
  <c r="I333" i="6"/>
  <c r="I342" i="6"/>
  <c r="I351" i="6"/>
  <c r="I369" i="6"/>
  <c r="I378" i="6"/>
  <c r="I387" i="6"/>
  <c r="I396" i="6"/>
  <c r="I405" i="6"/>
  <c r="I423" i="6"/>
  <c r="I424" i="6"/>
  <c r="I424" i="34"/>
  <c r="W424" i="34"/>
  <c r="YI2" i="77"/>
  <c r="YJ2" i="77"/>
  <c r="I427" i="6"/>
  <c r="I437" i="6"/>
  <c r="I428" i="6"/>
  <c r="I438" i="6"/>
  <c r="I429" i="6"/>
  <c r="I439" i="6"/>
  <c r="I430" i="6"/>
  <c r="I440" i="6"/>
  <c r="I431" i="6"/>
  <c r="I441" i="6"/>
  <c r="I432" i="6"/>
  <c r="I442" i="6"/>
  <c r="I433" i="6"/>
  <c r="I443" i="6"/>
  <c r="L77" i="30"/>
  <c r="L191" i="30"/>
  <c r="L200" i="30"/>
  <c r="L209" i="30"/>
  <c r="L218" i="30"/>
  <c r="L227" i="30"/>
  <c r="L236" i="30"/>
  <c r="L254" i="30"/>
  <c r="L263" i="30"/>
  <c r="L272" i="30"/>
  <c r="L281" i="30"/>
  <c r="L290" i="30"/>
  <c r="L308" i="30"/>
  <c r="L317" i="30"/>
  <c r="L326" i="30"/>
  <c r="L335" i="30"/>
  <c r="L104" i="30"/>
  <c r="L105" i="30"/>
  <c r="L108" i="30"/>
  <c r="L344" i="30"/>
  <c r="L362" i="30"/>
  <c r="L371" i="30"/>
  <c r="L380" i="30"/>
  <c r="L389" i="30"/>
  <c r="L398" i="30"/>
  <c r="L416" i="30"/>
  <c r="L426" i="30"/>
  <c r="L436" i="30"/>
  <c r="M436" i="30"/>
  <c r="L78" i="30"/>
  <c r="L192" i="30"/>
  <c r="L201" i="30"/>
  <c r="L210" i="30"/>
  <c r="L219" i="30"/>
  <c r="L228" i="30"/>
  <c r="L237" i="30"/>
  <c r="L255" i="30"/>
  <c r="L264" i="30"/>
  <c r="L273" i="30"/>
  <c r="L282" i="30"/>
  <c r="L291" i="30"/>
  <c r="L309" i="30"/>
  <c r="L318" i="30"/>
  <c r="L327" i="30"/>
  <c r="L336" i="30"/>
  <c r="L345" i="30"/>
  <c r="L363" i="30"/>
  <c r="L372" i="30"/>
  <c r="L381" i="30"/>
  <c r="L390" i="30"/>
  <c r="L399" i="30"/>
  <c r="L417" i="30"/>
  <c r="L427" i="30"/>
  <c r="L437" i="30"/>
  <c r="M437" i="30"/>
  <c r="L79" i="30"/>
  <c r="L193" i="30"/>
  <c r="L202" i="30"/>
  <c r="L211" i="30"/>
  <c r="L220" i="30"/>
  <c r="L229" i="30"/>
  <c r="L238" i="30"/>
  <c r="L256" i="30"/>
  <c r="L265" i="30"/>
  <c r="L274" i="30"/>
  <c r="L283" i="30"/>
  <c r="L292" i="30"/>
  <c r="L310" i="30"/>
  <c r="L319" i="30"/>
  <c r="L328" i="30"/>
  <c r="L337" i="30"/>
  <c r="L346" i="30"/>
  <c r="L364" i="30"/>
  <c r="L373" i="30"/>
  <c r="L382" i="30"/>
  <c r="L391" i="30"/>
  <c r="L400" i="30"/>
  <c r="L418" i="30"/>
  <c r="L428" i="30"/>
  <c r="L438" i="30"/>
  <c r="M438" i="30"/>
  <c r="L80" i="30"/>
  <c r="L194" i="30"/>
  <c r="L203" i="30"/>
  <c r="L212" i="30"/>
  <c r="L221" i="30"/>
  <c r="L230" i="30"/>
  <c r="L239" i="30"/>
  <c r="L257" i="30"/>
  <c r="L266" i="30"/>
  <c r="L275" i="30"/>
  <c r="L284" i="30"/>
  <c r="L293" i="30"/>
  <c r="L311" i="30"/>
  <c r="L320" i="30"/>
  <c r="L329" i="30"/>
  <c r="L338" i="30"/>
  <c r="L347" i="30"/>
  <c r="L365" i="30"/>
  <c r="L374" i="30"/>
  <c r="L383" i="30"/>
  <c r="L392" i="30"/>
  <c r="L401" i="30"/>
  <c r="L419" i="30"/>
  <c r="L429" i="30"/>
  <c r="L439" i="30"/>
  <c r="M439" i="30"/>
  <c r="L81" i="30"/>
  <c r="L195" i="30"/>
  <c r="L204" i="30"/>
  <c r="L213" i="30"/>
  <c r="L222" i="30"/>
  <c r="L231" i="30"/>
  <c r="L240" i="30"/>
  <c r="L258" i="30"/>
  <c r="L267" i="30"/>
  <c r="L276" i="30"/>
  <c r="L285" i="30"/>
  <c r="L294" i="30"/>
  <c r="L312" i="30"/>
  <c r="L321" i="30"/>
  <c r="L330" i="30"/>
  <c r="L339" i="30"/>
  <c r="L348" i="30"/>
  <c r="L366" i="30"/>
  <c r="L375" i="30"/>
  <c r="L384" i="30"/>
  <c r="L393" i="30"/>
  <c r="L402" i="30"/>
  <c r="L420" i="30"/>
  <c r="L430" i="30"/>
  <c r="L440" i="30"/>
  <c r="M440" i="30"/>
  <c r="L82" i="30"/>
  <c r="L196" i="30"/>
  <c r="L205" i="30"/>
  <c r="L214" i="30"/>
  <c r="L223" i="30"/>
  <c r="L232" i="30"/>
  <c r="L241" i="30"/>
  <c r="L259" i="30"/>
  <c r="L268" i="30"/>
  <c r="L277" i="30"/>
  <c r="L286" i="30"/>
  <c r="L295" i="30"/>
  <c r="L313" i="30"/>
  <c r="L322" i="30"/>
  <c r="L331" i="30"/>
  <c r="L340" i="30"/>
  <c r="L349" i="30"/>
  <c r="L367" i="30"/>
  <c r="L376" i="30"/>
  <c r="L385" i="30"/>
  <c r="L394" i="30"/>
  <c r="L403" i="30"/>
  <c r="L421" i="30"/>
  <c r="L431" i="30"/>
  <c r="L441" i="30"/>
  <c r="M441" i="30"/>
  <c r="L83" i="30"/>
  <c r="L197" i="30"/>
  <c r="L206" i="30"/>
  <c r="L215" i="30"/>
  <c r="L224" i="30"/>
  <c r="L233" i="30"/>
  <c r="L242" i="30"/>
  <c r="L260" i="30"/>
  <c r="L269" i="30"/>
  <c r="L278" i="30"/>
  <c r="L287" i="30"/>
  <c r="L296" i="30"/>
  <c r="L314" i="30"/>
  <c r="L323" i="30"/>
  <c r="L332" i="30"/>
  <c r="L341" i="30"/>
  <c r="L350" i="30"/>
  <c r="L368" i="30"/>
  <c r="L377" i="30"/>
  <c r="L386" i="30"/>
  <c r="L395" i="30"/>
  <c r="L404" i="30"/>
  <c r="L422" i="30"/>
  <c r="L432" i="30"/>
  <c r="L442" i="30"/>
  <c r="M442" i="30"/>
  <c r="L84" i="30"/>
  <c r="L198" i="30"/>
  <c r="L207" i="30"/>
  <c r="L216" i="30"/>
  <c r="L225" i="30"/>
  <c r="L234" i="30"/>
  <c r="L243" i="30"/>
  <c r="L261" i="30"/>
  <c r="L270" i="30"/>
  <c r="L279" i="30"/>
  <c r="L288" i="30"/>
  <c r="L297" i="30"/>
  <c r="L315" i="30"/>
  <c r="L324" i="30"/>
  <c r="L333" i="30"/>
  <c r="L342" i="30"/>
  <c r="L351" i="30"/>
  <c r="L369" i="30"/>
  <c r="L378" i="30"/>
  <c r="L387" i="30"/>
  <c r="L396" i="30"/>
  <c r="L405" i="30"/>
  <c r="L423" i="30"/>
  <c r="L433" i="30"/>
  <c r="L443" i="30"/>
  <c r="M443" i="30"/>
  <c r="M444" i="30"/>
  <c r="M445" i="30"/>
  <c r="L20" i="9"/>
  <c r="ZS2" i="77"/>
  <c r="ZT2" i="77"/>
  <c r="L23" i="9"/>
  <c r="ZY2" i="77"/>
  <c r="ZZ2" i="77"/>
  <c r="I328" i="34"/>
  <c r="I327" i="34"/>
  <c r="I333" i="34"/>
  <c r="I331" i="34"/>
  <c r="I330" i="34"/>
  <c r="I329" i="34"/>
  <c r="I326" i="34"/>
  <c r="I332" i="34"/>
  <c r="I337" i="34"/>
  <c r="I342" i="34"/>
  <c r="I339" i="34"/>
  <c r="I336" i="34"/>
  <c r="I338" i="34"/>
  <c r="I335" i="34"/>
  <c r="I340" i="34"/>
  <c r="I341" i="34"/>
  <c r="I319" i="34"/>
  <c r="I318" i="34"/>
  <c r="I320" i="34"/>
  <c r="I323" i="34"/>
  <c r="I321" i="34"/>
  <c r="I322" i="34"/>
  <c r="I317" i="34"/>
  <c r="I324" i="34"/>
  <c r="I309" i="34"/>
  <c r="I314" i="34"/>
  <c r="I313" i="34"/>
  <c r="I315" i="34"/>
  <c r="I311" i="34"/>
  <c r="I310" i="34"/>
  <c r="I312" i="34"/>
  <c r="I308" i="34"/>
  <c r="I294" i="34"/>
  <c r="I293" i="34"/>
  <c r="I291" i="34"/>
  <c r="I296" i="34"/>
  <c r="I292" i="34"/>
  <c r="I297" i="34"/>
  <c r="I290" i="34"/>
  <c r="I295" i="34"/>
  <c r="I265" i="34"/>
  <c r="I270" i="34"/>
  <c r="I266" i="34"/>
  <c r="I268" i="34"/>
  <c r="I263" i="34"/>
  <c r="I267" i="34"/>
  <c r="I264" i="34"/>
  <c r="I269" i="34"/>
  <c r="I279" i="34"/>
  <c r="I274" i="34"/>
  <c r="I277" i="34"/>
  <c r="I276" i="34"/>
  <c r="I273" i="34"/>
  <c r="I272" i="34"/>
  <c r="I275" i="34"/>
  <c r="I278" i="34"/>
  <c r="I282" i="34"/>
  <c r="I288" i="34"/>
  <c r="I281" i="34"/>
  <c r="I287" i="34"/>
  <c r="I285" i="34"/>
  <c r="I284" i="34"/>
  <c r="I283" i="34"/>
  <c r="I286" i="34"/>
  <c r="I261" i="34"/>
  <c r="I259" i="34"/>
  <c r="I256" i="34"/>
  <c r="I257" i="34"/>
  <c r="I255" i="34"/>
  <c r="I258" i="34"/>
  <c r="I260" i="34"/>
  <c r="I254" i="34"/>
  <c r="I237" i="34"/>
  <c r="I240" i="34"/>
  <c r="I241" i="34"/>
  <c r="I236" i="34"/>
  <c r="I239" i="34"/>
  <c r="I242" i="34"/>
  <c r="I238" i="34"/>
  <c r="I243" i="34"/>
  <c r="I234" i="34"/>
  <c r="I232" i="34"/>
  <c r="I233" i="34"/>
  <c r="I229" i="34"/>
  <c r="I228" i="34"/>
  <c r="I230" i="34"/>
  <c r="I231" i="34"/>
  <c r="I227" i="34"/>
  <c r="I220" i="34"/>
  <c r="I218" i="34"/>
  <c r="I221" i="34"/>
  <c r="I225" i="34"/>
  <c r="I222" i="34"/>
  <c r="I223" i="34"/>
  <c r="I224" i="34"/>
  <c r="I219" i="34"/>
  <c r="I211" i="34"/>
  <c r="I215" i="34"/>
  <c r="I210" i="34"/>
  <c r="I212" i="34"/>
  <c r="I214" i="34"/>
  <c r="I213" i="34"/>
  <c r="I209" i="34"/>
  <c r="I216" i="34"/>
  <c r="J135" i="33"/>
  <c r="K39" i="33"/>
  <c r="K29" i="33"/>
  <c r="K24" i="33"/>
  <c r="K53" i="33"/>
  <c r="I104" i="34"/>
  <c r="J137" i="33"/>
  <c r="K30" i="33"/>
  <c r="K40" i="33"/>
  <c r="I105" i="34"/>
  <c r="K54" i="33"/>
  <c r="K25" i="33"/>
  <c r="I84" i="34"/>
  <c r="I79" i="34"/>
  <c r="K55" i="33"/>
  <c r="I83" i="34"/>
  <c r="K31" i="33"/>
  <c r="I82" i="34"/>
  <c r="I81" i="34"/>
  <c r="I77" i="34"/>
  <c r="I80" i="34"/>
  <c r="I78" i="34"/>
  <c r="K41" i="33"/>
  <c r="I194" i="34"/>
  <c r="I198" i="34"/>
  <c r="K58" i="33"/>
  <c r="I195" i="34"/>
  <c r="I193" i="34"/>
  <c r="I192" i="34"/>
  <c r="I197" i="34"/>
  <c r="I196" i="34"/>
  <c r="K44" i="33"/>
  <c r="K34" i="33"/>
  <c r="I191" i="34"/>
  <c r="I206" i="34"/>
  <c r="I203" i="34"/>
  <c r="I204" i="34"/>
  <c r="I207" i="34"/>
  <c r="I205" i="34"/>
  <c r="K35" i="33"/>
  <c r="I201" i="34"/>
  <c r="I200" i="34"/>
  <c r="I202" i="34"/>
  <c r="K45" i="33"/>
  <c r="K59" i="33"/>
  <c r="L57" i="4"/>
  <c r="L57" i="33"/>
  <c r="L33" i="4"/>
  <c r="L33" i="33"/>
  <c r="K61" i="33"/>
  <c r="K60" i="33"/>
  <c r="L43" i="4"/>
  <c r="L43" i="33"/>
  <c r="K46" i="33"/>
  <c r="K49" i="33"/>
  <c r="K36" i="33"/>
  <c r="K48" i="33"/>
  <c r="K51" i="33"/>
  <c r="K47" i="33"/>
  <c r="K37" i="33"/>
  <c r="K50" i="33"/>
  <c r="K104" i="4"/>
  <c r="K104" i="33"/>
  <c r="K107" i="4"/>
  <c r="K107" i="33"/>
  <c r="K101" i="4"/>
  <c r="K101" i="33"/>
  <c r="K105" i="4"/>
  <c r="K105" i="33"/>
  <c r="K103" i="4"/>
  <c r="K103" i="33"/>
  <c r="K102" i="4"/>
  <c r="K102" i="33"/>
  <c r="K106" i="4"/>
  <c r="K106" i="33"/>
  <c r="K108" i="4"/>
  <c r="K108" i="33"/>
  <c r="K124" i="4"/>
  <c r="K124" i="33"/>
  <c r="K125" i="4"/>
  <c r="K125" i="33"/>
  <c r="K123" i="4"/>
  <c r="K123" i="33"/>
  <c r="K119" i="4"/>
  <c r="K119" i="33"/>
  <c r="K120" i="4"/>
  <c r="K120" i="33"/>
  <c r="K118" i="4"/>
  <c r="K118" i="33"/>
  <c r="K121" i="4"/>
  <c r="K121" i="33"/>
  <c r="K122" i="4"/>
  <c r="K122" i="33"/>
  <c r="K132" i="4"/>
  <c r="K132" i="33"/>
  <c r="K133" i="4"/>
  <c r="K133" i="33"/>
  <c r="K127" i="4"/>
  <c r="K127" i="33"/>
  <c r="K131" i="4"/>
  <c r="K131" i="33"/>
  <c r="K126" i="4"/>
  <c r="K126" i="33"/>
  <c r="K130" i="4"/>
  <c r="K130" i="33"/>
  <c r="K129" i="4"/>
  <c r="K129" i="33"/>
  <c r="K128" i="4"/>
  <c r="K128" i="33"/>
  <c r="J98" i="6"/>
  <c r="J98" i="34"/>
  <c r="J95" i="6"/>
  <c r="J95" i="34"/>
  <c r="J90" i="6"/>
  <c r="J90" i="34"/>
  <c r="J96" i="6"/>
  <c r="J96" i="34"/>
  <c r="J89" i="6"/>
  <c r="J89" i="34"/>
  <c r="J87" i="6"/>
  <c r="J87" i="34"/>
  <c r="J86" i="6"/>
  <c r="J86" i="34"/>
  <c r="J88" i="6"/>
  <c r="J88" i="34"/>
  <c r="J97" i="6"/>
  <c r="J97" i="34"/>
  <c r="J100" i="6"/>
  <c r="J100" i="34"/>
  <c r="J91" i="6"/>
  <c r="J91" i="34"/>
  <c r="J92" i="6"/>
  <c r="J92" i="34"/>
  <c r="J102" i="6"/>
  <c r="J102" i="34"/>
  <c r="J101" i="6"/>
  <c r="J101" i="34"/>
  <c r="J99" i="6"/>
  <c r="J99" i="34"/>
  <c r="J93" i="6"/>
  <c r="J93" i="34"/>
  <c r="J306" i="6"/>
  <c r="J306" i="34"/>
  <c r="J245" i="6"/>
  <c r="J245" i="34"/>
  <c r="J249" i="6"/>
  <c r="J249" i="34"/>
  <c r="J246" i="6"/>
  <c r="J246" i="34"/>
  <c r="J302" i="6"/>
  <c r="J302" i="34"/>
  <c r="J247" i="6"/>
  <c r="J247" i="34"/>
  <c r="J300" i="6"/>
  <c r="J300" i="34"/>
  <c r="J299" i="6"/>
  <c r="J299" i="34"/>
  <c r="J305" i="6"/>
  <c r="J305" i="34"/>
  <c r="J251" i="6"/>
  <c r="J251" i="34"/>
  <c r="J303" i="6"/>
  <c r="J303" i="34"/>
  <c r="J304" i="6"/>
  <c r="J304" i="34"/>
  <c r="J252" i="6"/>
  <c r="J252" i="34"/>
  <c r="J301" i="6"/>
  <c r="J301" i="34"/>
  <c r="J250" i="6"/>
  <c r="J250" i="34"/>
  <c r="J248" i="6"/>
  <c r="J248" i="34"/>
  <c r="I349" i="34"/>
  <c r="I347" i="34"/>
  <c r="I346" i="34"/>
  <c r="I348" i="34"/>
  <c r="I344" i="34"/>
  <c r="I345" i="34"/>
  <c r="I351" i="34"/>
  <c r="I350" i="34"/>
  <c r="I369" i="34"/>
  <c r="I364" i="34"/>
  <c r="I367" i="34"/>
  <c r="I365" i="34"/>
  <c r="I363" i="34"/>
  <c r="I368" i="34"/>
  <c r="I362" i="34"/>
  <c r="I366" i="34"/>
  <c r="I436" i="34"/>
  <c r="I437" i="34"/>
  <c r="I441" i="34"/>
  <c r="I443" i="34"/>
  <c r="I439" i="34"/>
  <c r="I442" i="34"/>
  <c r="I438" i="34"/>
  <c r="I440" i="34"/>
  <c r="I426" i="34"/>
  <c r="I427" i="34"/>
  <c r="I431" i="34"/>
  <c r="I433" i="34"/>
  <c r="I429" i="34"/>
  <c r="I432" i="34"/>
  <c r="I428" i="34"/>
  <c r="I430" i="34"/>
  <c r="I380" i="34"/>
  <c r="I385" i="34"/>
  <c r="I382" i="34"/>
  <c r="I384" i="34"/>
  <c r="I381" i="34"/>
  <c r="I383" i="34"/>
  <c r="I386" i="34"/>
  <c r="I387" i="34"/>
  <c r="I372" i="34"/>
  <c r="I378" i="34"/>
  <c r="I374" i="34"/>
  <c r="I373" i="34"/>
  <c r="I377" i="34"/>
  <c r="I375" i="34"/>
  <c r="I376" i="34"/>
  <c r="I371" i="34"/>
  <c r="I389" i="34"/>
  <c r="I395" i="34"/>
  <c r="I390" i="34"/>
  <c r="I396" i="34"/>
  <c r="I394" i="34"/>
  <c r="I391" i="34"/>
  <c r="I392" i="34"/>
  <c r="I393" i="34"/>
  <c r="I401" i="34"/>
  <c r="I402" i="34"/>
  <c r="I400" i="34"/>
  <c r="I404" i="34"/>
  <c r="I403" i="34"/>
  <c r="I399" i="34"/>
  <c r="I405" i="34"/>
  <c r="I398" i="34"/>
  <c r="I407" i="6"/>
  <c r="I407" i="34"/>
  <c r="I414" i="6"/>
  <c r="I414" i="34"/>
  <c r="I408" i="6"/>
  <c r="I408" i="34"/>
  <c r="I412" i="6"/>
  <c r="I412" i="34"/>
  <c r="I413" i="6"/>
  <c r="I413" i="34"/>
  <c r="I409" i="6"/>
  <c r="I409" i="34"/>
  <c r="I411" i="6"/>
  <c r="I411" i="34"/>
  <c r="I410" i="6"/>
  <c r="I410" i="34"/>
  <c r="I420" i="34"/>
  <c r="I421" i="34"/>
  <c r="I423" i="34"/>
  <c r="I418" i="34"/>
  <c r="I417" i="34"/>
  <c r="I419" i="34"/>
  <c r="I422" i="34"/>
  <c r="I416" i="34"/>
  <c r="I444" i="6"/>
  <c r="H8" i="9"/>
  <c r="I434" i="6"/>
  <c r="I434" i="34"/>
  <c r="H28" i="9"/>
  <c r="H6" i="9"/>
  <c r="H26" i="9"/>
  <c r="H4" i="9"/>
  <c r="L424" i="30"/>
  <c r="K15" i="9"/>
  <c r="L434" i="30"/>
  <c r="K17" i="9"/>
  <c r="L412" i="30"/>
  <c r="L410" i="30"/>
  <c r="L414" i="30"/>
  <c r="L408" i="30"/>
  <c r="L411" i="30"/>
  <c r="L413" i="30"/>
  <c r="L409" i="30"/>
  <c r="L407" i="30"/>
  <c r="L444" i="30"/>
  <c r="K19" i="9"/>
  <c r="L19" i="9"/>
  <c r="M449" i="30"/>
  <c r="M450" i="30"/>
  <c r="I444" i="34"/>
  <c r="H30" i="9"/>
  <c r="K134" i="4" a="1"/>
  <c r="K134" i="4"/>
  <c r="K135" i="4"/>
  <c r="K136" i="4"/>
  <c r="K137" i="4"/>
  <c r="K139" i="4"/>
  <c r="J77" i="6"/>
  <c r="J191" i="6"/>
  <c r="J200" i="6"/>
  <c r="J209" i="6"/>
  <c r="J218" i="6"/>
  <c r="J227" i="6"/>
  <c r="J236" i="6"/>
  <c r="J254" i="6"/>
  <c r="J263" i="6"/>
  <c r="J272" i="6"/>
  <c r="J281" i="6"/>
  <c r="J290" i="6"/>
  <c r="J308" i="6"/>
  <c r="J317" i="6"/>
  <c r="J326" i="6"/>
  <c r="J335" i="6"/>
  <c r="J104" i="6"/>
  <c r="J105" i="6"/>
  <c r="J108" i="6"/>
  <c r="J344" i="6"/>
  <c r="J362" i="6"/>
  <c r="J371" i="6"/>
  <c r="J380" i="6"/>
  <c r="J389" i="6"/>
  <c r="J398" i="6"/>
  <c r="J416" i="6"/>
  <c r="J426" i="6"/>
  <c r="J436" i="6"/>
  <c r="J78" i="6"/>
  <c r="J192" i="6"/>
  <c r="J201" i="6"/>
  <c r="J210" i="6"/>
  <c r="J219" i="6"/>
  <c r="J228" i="6"/>
  <c r="J237" i="6"/>
  <c r="J255" i="6"/>
  <c r="J264" i="6"/>
  <c r="J273" i="6"/>
  <c r="J282" i="6"/>
  <c r="J291" i="6"/>
  <c r="J309" i="6"/>
  <c r="J318" i="6"/>
  <c r="J327" i="6"/>
  <c r="J336" i="6"/>
  <c r="J345" i="6"/>
  <c r="J363" i="6"/>
  <c r="J372" i="6"/>
  <c r="J381" i="6"/>
  <c r="J390" i="6"/>
  <c r="J399" i="6"/>
  <c r="J417" i="6"/>
  <c r="J427" i="6"/>
  <c r="J437" i="6"/>
  <c r="J79" i="6"/>
  <c r="J193" i="6"/>
  <c r="J202" i="6"/>
  <c r="J211" i="6"/>
  <c r="J220" i="6"/>
  <c r="J229" i="6"/>
  <c r="J238" i="6"/>
  <c r="J256" i="6"/>
  <c r="J265" i="6"/>
  <c r="J274" i="6"/>
  <c r="J283" i="6"/>
  <c r="J292" i="6"/>
  <c r="J310" i="6"/>
  <c r="J319" i="6"/>
  <c r="J328" i="6"/>
  <c r="J337" i="6"/>
  <c r="J346" i="6"/>
  <c r="J364" i="6"/>
  <c r="J373" i="6"/>
  <c r="J382" i="6"/>
  <c r="J391" i="6"/>
  <c r="J400" i="6"/>
  <c r="J418" i="6"/>
  <c r="J428" i="6"/>
  <c r="J438" i="6"/>
  <c r="J80" i="6"/>
  <c r="J194" i="6"/>
  <c r="J203" i="6"/>
  <c r="J212" i="6"/>
  <c r="J221" i="6"/>
  <c r="J230" i="6"/>
  <c r="J239" i="6"/>
  <c r="J257" i="6"/>
  <c r="J266" i="6"/>
  <c r="J275" i="6"/>
  <c r="J284" i="6"/>
  <c r="J293" i="6"/>
  <c r="J311" i="6"/>
  <c r="J320" i="6"/>
  <c r="J329" i="6"/>
  <c r="J338" i="6"/>
  <c r="J347" i="6"/>
  <c r="J365" i="6"/>
  <c r="J374" i="6"/>
  <c r="J383" i="6"/>
  <c r="J392" i="6"/>
  <c r="J401" i="6"/>
  <c r="J419" i="6"/>
  <c r="J429" i="6"/>
  <c r="J439" i="6"/>
  <c r="J81" i="6"/>
  <c r="J195" i="6"/>
  <c r="J204" i="6"/>
  <c r="J213" i="6"/>
  <c r="J222" i="6"/>
  <c r="J231" i="6"/>
  <c r="J240" i="6"/>
  <c r="J258" i="6"/>
  <c r="J267" i="6"/>
  <c r="J276" i="6"/>
  <c r="J285" i="6"/>
  <c r="J294" i="6"/>
  <c r="J312" i="6"/>
  <c r="J321" i="6"/>
  <c r="J330" i="6"/>
  <c r="J339" i="6"/>
  <c r="J348" i="6"/>
  <c r="J366" i="6"/>
  <c r="J375" i="6"/>
  <c r="J384" i="6"/>
  <c r="J393" i="6"/>
  <c r="J402" i="6"/>
  <c r="J420" i="6"/>
  <c r="J430" i="6"/>
  <c r="J440" i="6"/>
  <c r="J82" i="6"/>
  <c r="J196" i="6"/>
  <c r="J205" i="6"/>
  <c r="J214" i="6"/>
  <c r="J223" i="6"/>
  <c r="J232" i="6"/>
  <c r="J241" i="6"/>
  <c r="J259" i="6"/>
  <c r="J268" i="6"/>
  <c r="J277" i="6"/>
  <c r="J286" i="6"/>
  <c r="J295" i="6"/>
  <c r="J313" i="6"/>
  <c r="J322" i="6"/>
  <c r="J331" i="6"/>
  <c r="J340" i="6"/>
  <c r="J349" i="6"/>
  <c r="J367" i="6"/>
  <c r="J376" i="6"/>
  <c r="J385" i="6"/>
  <c r="J394" i="6"/>
  <c r="J403" i="6"/>
  <c r="J421" i="6"/>
  <c r="J431" i="6"/>
  <c r="J441" i="6"/>
  <c r="J83" i="6"/>
  <c r="J197" i="6"/>
  <c r="J206" i="6"/>
  <c r="J215" i="6"/>
  <c r="J224" i="6"/>
  <c r="J233" i="6"/>
  <c r="J242" i="6"/>
  <c r="J260" i="6"/>
  <c r="J269" i="6"/>
  <c r="J278" i="6"/>
  <c r="J287" i="6"/>
  <c r="J296" i="6"/>
  <c r="J314" i="6"/>
  <c r="J323" i="6"/>
  <c r="J332" i="6"/>
  <c r="J341" i="6"/>
  <c r="J350" i="6"/>
  <c r="J368" i="6"/>
  <c r="J377" i="6"/>
  <c r="J386" i="6"/>
  <c r="J395" i="6"/>
  <c r="J404" i="6"/>
  <c r="J422" i="6"/>
  <c r="J432" i="6"/>
  <c r="J442" i="6"/>
  <c r="J84" i="6"/>
  <c r="J198" i="6"/>
  <c r="J207" i="6"/>
  <c r="J216" i="6"/>
  <c r="J225" i="6"/>
  <c r="J234" i="6"/>
  <c r="J243" i="6"/>
  <c r="J261" i="6"/>
  <c r="J270" i="6"/>
  <c r="J279" i="6"/>
  <c r="J288" i="6"/>
  <c r="J297" i="6"/>
  <c r="J315" i="6"/>
  <c r="J324" i="6"/>
  <c r="J333" i="6"/>
  <c r="J342" i="6"/>
  <c r="J351" i="6"/>
  <c r="J369" i="6"/>
  <c r="J378" i="6"/>
  <c r="J387" i="6"/>
  <c r="J396" i="6"/>
  <c r="J405" i="6"/>
  <c r="J423" i="6"/>
  <c r="J433" i="6"/>
  <c r="J443" i="6"/>
  <c r="J444" i="6"/>
  <c r="J444" i="34"/>
  <c r="I30" i="9"/>
  <c r="L24" i="4"/>
  <c r="L25" i="4"/>
  <c r="L26" i="4"/>
  <c r="L27" i="4"/>
  <c r="L29" i="4"/>
  <c r="L30" i="4"/>
  <c r="L31" i="4"/>
  <c r="L34" i="4"/>
  <c r="L35" i="4"/>
  <c r="L36" i="4"/>
  <c r="L37" i="4"/>
  <c r="L48" i="4"/>
  <c r="L50" i="4"/>
  <c r="L39" i="4"/>
  <c r="L40" i="4"/>
  <c r="L41" i="4"/>
  <c r="L44" i="4"/>
  <c r="L45" i="4"/>
  <c r="L46" i="4"/>
  <c r="L47" i="4"/>
  <c r="L49" i="4"/>
  <c r="L51" i="4"/>
  <c r="L53" i="4"/>
  <c r="L54" i="4"/>
  <c r="L55" i="4"/>
  <c r="L58" i="4"/>
  <c r="L59" i="4"/>
  <c r="L60" i="4"/>
  <c r="L61" i="4"/>
  <c r="L62" i="4"/>
  <c r="L108" i="4"/>
  <c r="L125" i="4"/>
  <c r="L106" i="4"/>
  <c r="L123" i="4"/>
  <c r="L102" i="4"/>
  <c r="L119" i="4"/>
  <c r="L101" i="4"/>
  <c r="L118" i="4"/>
  <c r="L103" i="4"/>
  <c r="L120" i="4"/>
  <c r="L105" i="4"/>
  <c r="L122" i="4"/>
  <c r="L104" i="4"/>
  <c r="L121" i="4"/>
  <c r="L107" i="4"/>
  <c r="L124" i="4"/>
  <c r="J424" i="6"/>
  <c r="I4" i="9"/>
  <c r="J424" i="34"/>
  <c r="I26" i="9"/>
  <c r="J434" i="6"/>
  <c r="I6" i="9"/>
  <c r="J434" i="34"/>
  <c r="I28" i="9"/>
  <c r="L126" i="4"/>
  <c r="K95" i="6"/>
  <c r="K299" i="6"/>
  <c r="L127" i="4"/>
  <c r="K96" i="6"/>
  <c r="K300" i="6"/>
  <c r="L128" i="4"/>
  <c r="K97" i="6"/>
  <c r="K301" i="6"/>
  <c r="L130" i="4"/>
  <c r="K99" i="6"/>
  <c r="K303" i="6"/>
  <c r="L132" i="4"/>
  <c r="K101" i="6"/>
  <c r="K305" i="6"/>
  <c r="L131" i="4"/>
  <c r="K100" i="6"/>
  <c r="K304" i="6"/>
  <c r="L129" i="4"/>
  <c r="K98" i="6"/>
  <c r="K302" i="6"/>
  <c r="L133" i="4"/>
  <c r="K102" i="6"/>
  <c r="K306" i="6"/>
  <c r="K90" i="6"/>
  <c r="K249" i="6"/>
  <c r="K89" i="6"/>
  <c r="K248" i="6"/>
  <c r="K87" i="6"/>
  <c r="K246" i="6"/>
  <c r="K88" i="6"/>
  <c r="K247" i="6"/>
  <c r="K92" i="6"/>
  <c r="K251" i="6"/>
  <c r="K93" i="6"/>
  <c r="K252" i="6"/>
  <c r="K91" i="6"/>
  <c r="K250" i="6"/>
  <c r="K86" i="6"/>
  <c r="K245" i="6"/>
  <c r="M43" i="4"/>
  <c r="M33" i="4"/>
  <c r="M57" i="4"/>
  <c r="I8" i="9"/>
  <c r="J432" i="34"/>
  <c r="J427" i="34"/>
  <c r="J428" i="34"/>
  <c r="J431" i="34"/>
  <c r="J430" i="34"/>
  <c r="J429" i="34"/>
  <c r="J433" i="34"/>
  <c r="J426" i="34"/>
  <c r="J442" i="34"/>
  <c r="J437" i="34"/>
  <c r="J438" i="34"/>
  <c r="J441" i="34"/>
  <c r="J440" i="34"/>
  <c r="J439" i="34"/>
  <c r="J443" i="34"/>
  <c r="J436" i="34"/>
  <c r="J416" i="34"/>
  <c r="J418" i="34"/>
  <c r="J422" i="34"/>
  <c r="J423" i="34"/>
  <c r="J417" i="34"/>
  <c r="J420" i="34"/>
  <c r="J421" i="34"/>
  <c r="J419" i="34"/>
  <c r="J410" i="6"/>
  <c r="J410" i="34"/>
  <c r="J411" i="6"/>
  <c r="J411" i="34"/>
  <c r="J414" i="6"/>
  <c r="J414" i="34"/>
  <c r="J412" i="6"/>
  <c r="J412" i="34"/>
  <c r="J409" i="6"/>
  <c r="J409" i="34"/>
  <c r="J408" i="6"/>
  <c r="J408" i="34"/>
  <c r="J413" i="6"/>
  <c r="J413" i="34"/>
  <c r="J407" i="6"/>
  <c r="J407" i="34"/>
  <c r="J398" i="34"/>
  <c r="J404" i="34"/>
  <c r="J399" i="34"/>
  <c r="J400" i="34"/>
  <c r="J403" i="34"/>
  <c r="J405" i="34"/>
  <c r="J402" i="34"/>
  <c r="J401" i="34"/>
  <c r="J395" i="34"/>
  <c r="J392" i="34"/>
  <c r="J394" i="34"/>
  <c r="J390" i="34"/>
  <c r="J393" i="34"/>
  <c r="J396" i="34"/>
  <c r="J391" i="34"/>
  <c r="J389" i="34"/>
  <c r="J371" i="34"/>
  <c r="J376" i="34"/>
  <c r="J378" i="34"/>
  <c r="J372" i="34"/>
  <c r="J375" i="34"/>
  <c r="J373" i="34"/>
  <c r="J374" i="34"/>
  <c r="J377" i="34"/>
  <c r="J383" i="34"/>
  <c r="J381" i="34"/>
  <c r="J386" i="34"/>
  <c r="J385" i="34"/>
  <c r="J387" i="34"/>
  <c r="J384" i="34"/>
  <c r="J382" i="34"/>
  <c r="J380" i="34"/>
  <c r="J368" i="34"/>
  <c r="J364" i="34"/>
  <c r="J365" i="34"/>
  <c r="J369" i="34"/>
  <c r="J367" i="34"/>
  <c r="J362" i="34"/>
  <c r="J363" i="34"/>
  <c r="J366" i="34"/>
  <c r="J279" i="34"/>
  <c r="J278" i="34"/>
  <c r="J276" i="34"/>
  <c r="J274" i="34"/>
  <c r="J272" i="34"/>
  <c r="J273" i="34"/>
  <c r="J275" i="34"/>
  <c r="J277" i="34"/>
  <c r="J284" i="34"/>
  <c r="J281" i="34"/>
  <c r="J286" i="34"/>
  <c r="J285" i="34"/>
  <c r="J287" i="34"/>
  <c r="J288" i="34"/>
  <c r="J283" i="34"/>
  <c r="J282" i="34"/>
  <c r="J270" i="34"/>
  <c r="J269" i="34"/>
  <c r="J266" i="34"/>
  <c r="J267" i="34"/>
  <c r="J264" i="34"/>
  <c r="J263" i="34"/>
  <c r="J268" i="34"/>
  <c r="J265" i="34"/>
  <c r="J257" i="34"/>
  <c r="J261" i="34"/>
  <c r="J259" i="34"/>
  <c r="J254" i="34"/>
  <c r="J255" i="34"/>
  <c r="J256" i="34"/>
  <c r="J258" i="34"/>
  <c r="J260" i="34"/>
  <c r="J236" i="34"/>
  <c r="J242" i="34"/>
  <c r="J240" i="34"/>
  <c r="J239" i="34"/>
  <c r="J241" i="34"/>
  <c r="J238" i="34"/>
  <c r="J243" i="34"/>
  <c r="J237" i="34"/>
  <c r="J231" i="34"/>
  <c r="J230" i="34"/>
  <c r="J234" i="34"/>
  <c r="J232" i="34"/>
  <c r="J228" i="34"/>
  <c r="J229" i="34"/>
  <c r="J233" i="34"/>
  <c r="J227" i="34"/>
  <c r="J223" i="34"/>
  <c r="J224" i="34"/>
  <c r="J221" i="34"/>
  <c r="J218" i="34"/>
  <c r="J219" i="34"/>
  <c r="J220" i="34"/>
  <c r="J222" i="34"/>
  <c r="J225" i="34"/>
  <c r="J216" i="34"/>
  <c r="J209" i="34"/>
  <c r="J214" i="34"/>
  <c r="J212" i="34"/>
  <c r="J211" i="34"/>
  <c r="J210" i="34"/>
  <c r="J215" i="34"/>
  <c r="J213" i="34"/>
  <c r="K248" i="34"/>
  <c r="K302" i="34"/>
  <c r="K299" i="34"/>
  <c r="K246" i="34"/>
  <c r="K247" i="34"/>
  <c r="K301" i="34"/>
  <c r="K306" i="34"/>
  <c r="K245" i="34"/>
  <c r="K251" i="34"/>
  <c r="K250" i="34"/>
  <c r="K300" i="34"/>
  <c r="K252" i="34"/>
  <c r="K305" i="34"/>
  <c r="K304" i="34"/>
  <c r="K303" i="34"/>
  <c r="K249" i="34"/>
  <c r="K95" i="34"/>
  <c r="K87" i="34"/>
  <c r="K96" i="34"/>
  <c r="K90" i="34"/>
  <c r="K102" i="34"/>
  <c r="K99" i="34"/>
  <c r="K93" i="34"/>
  <c r="K98" i="34"/>
  <c r="K89" i="34"/>
  <c r="K92" i="34"/>
  <c r="K100" i="34"/>
  <c r="K97" i="34"/>
  <c r="K91" i="34"/>
  <c r="K88" i="34"/>
  <c r="K86" i="34"/>
  <c r="K101" i="34"/>
  <c r="L129" i="33"/>
  <c r="L128" i="33"/>
  <c r="L130" i="33"/>
  <c r="L133" i="33"/>
  <c r="L132" i="33"/>
  <c r="L127" i="33"/>
  <c r="L126" i="33"/>
  <c r="L131" i="33"/>
  <c r="L124" i="33"/>
  <c r="L122" i="33"/>
  <c r="L120" i="33"/>
  <c r="L125" i="33"/>
  <c r="L118" i="33"/>
  <c r="L123" i="33"/>
  <c r="L121" i="33"/>
  <c r="L119" i="33"/>
  <c r="L107" i="33"/>
  <c r="L103" i="33"/>
  <c r="L104" i="33"/>
  <c r="L108" i="33"/>
  <c r="L106" i="33"/>
  <c r="L101" i="33"/>
  <c r="L102" i="33"/>
  <c r="L105" i="33"/>
  <c r="L50" i="33"/>
  <c r="L37" i="33"/>
  <c r="L51" i="33"/>
  <c r="L47" i="33"/>
  <c r="M33" i="33"/>
  <c r="L46" i="33"/>
  <c r="L49" i="33"/>
  <c r="L36" i="33"/>
  <c r="L48" i="33"/>
  <c r="M57" i="33"/>
  <c r="L60" i="33"/>
  <c r="L61" i="33"/>
  <c r="M43" i="33"/>
  <c r="J207" i="34"/>
  <c r="L59" i="33"/>
  <c r="J201" i="34"/>
  <c r="J204" i="34"/>
  <c r="J206" i="34"/>
  <c r="L35" i="33"/>
  <c r="J202" i="34"/>
  <c r="L45" i="33"/>
  <c r="J203" i="34"/>
  <c r="J205" i="34"/>
  <c r="J200" i="34"/>
  <c r="J192" i="34"/>
  <c r="L58" i="33"/>
  <c r="J193" i="34"/>
  <c r="J191" i="34"/>
  <c r="J195" i="34"/>
  <c r="J196" i="34"/>
  <c r="L44" i="33"/>
  <c r="L34" i="33"/>
  <c r="J194" i="34"/>
  <c r="J198" i="34"/>
  <c r="J197" i="34"/>
  <c r="L55" i="33"/>
  <c r="J77" i="34"/>
  <c r="L31" i="33"/>
  <c r="J80" i="34"/>
  <c r="J82" i="34"/>
  <c r="J78" i="34"/>
  <c r="J83" i="34"/>
  <c r="J81" i="34"/>
  <c r="J79" i="34"/>
  <c r="L41" i="33"/>
  <c r="J84" i="34"/>
  <c r="L30" i="33"/>
  <c r="L25" i="33"/>
  <c r="L54" i="33"/>
  <c r="L40" i="33"/>
  <c r="J105" i="34"/>
  <c r="K137" i="33"/>
  <c r="L39" i="33"/>
  <c r="L24" i="33"/>
  <c r="L29" i="33"/>
  <c r="L53" i="33"/>
  <c r="J104" i="34"/>
  <c r="K135" i="33"/>
  <c r="J292" i="34"/>
  <c r="J291" i="34"/>
  <c r="J294" i="34"/>
  <c r="J297" i="34"/>
  <c r="J290" i="34"/>
  <c r="J296" i="34"/>
  <c r="J293" i="34"/>
  <c r="J295" i="34"/>
  <c r="J314" i="34"/>
  <c r="J309" i="34"/>
  <c r="J313" i="34"/>
  <c r="J308" i="34"/>
  <c r="J311" i="34"/>
  <c r="J312" i="34"/>
  <c r="J310" i="34"/>
  <c r="J315" i="34"/>
  <c r="J320" i="34"/>
  <c r="J323" i="34"/>
  <c r="J321" i="34"/>
  <c r="J318" i="34"/>
  <c r="J319" i="34"/>
  <c r="J322" i="34"/>
  <c r="J317" i="34"/>
  <c r="J324" i="34"/>
  <c r="J329" i="34"/>
  <c r="J326" i="34"/>
  <c r="J331" i="34"/>
  <c r="J332" i="34"/>
  <c r="J333" i="34"/>
  <c r="J327" i="34"/>
  <c r="J328" i="34"/>
  <c r="J330" i="34"/>
  <c r="J338" i="34"/>
  <c r="J340" i="34"/>
  <c r="J335" i="34"/>
  <c r="J341" i="34"/>
  <c r="J339" i="34"/>
  <c r="J336" i="34"/>
  <c r="J337" i="34"/>
  <c r="J342" i="34"/>
  <c r="J345" i="34"/>
  <c r="J349" i="34"/>
  <c r="J351" i="34"/>
  <c r="J346" i="34"/>
  <c r="J347" i="34"/>
  <c r="J344" i="34"/>
  <c r="J350" i="34"/>
  <c r="J348" i="34"/>
  <c r="YL2" i="77"/>
  <c r="X424" i="34"/>
  <c r="YK2" i="77"/>
  <c r="XR2" i="77"/>
  <c r="J108" i="34"/>
  <c r="XQ2" i="77"/>
  <c r="K139" i="33"/>
  <c r="VJ2" i="77"/>
  <c r="V139" i="33"/>
  <c r="VI2" i="77"/>
  <c r="K136" i="33"/>
  <c r="UP2" i="77"/>
  <c r="V136" i="33"/>
  <c r="UO2" i="77"/>
  <c r="K134" i="33"/>
  <c r="TV2" i="77"/>
  <c r="V134" i="33"/>
  <c r="TU2" i="77"/>
  <c r="L62" i="33"/>
  <c r="TD2" i="77"/>
  <c r="W62" i="33"/>
  <c r="TC2" i="77"/>
  <c r="L27" i="33"/>
  <c r="SJ2" i="77"/>
  <c r="W27" i="33"/>
  <c r="SI2" i="77"/>
  <c r="L26" i="33"/>
  <c r="RP2" i="77"/>
  <c r="W26" i="33"/>
  <c r="RO2" i="77"/>
  <c r="MD2" i="77"/>
  <c r="V139" i="4"/>
  <c r="MC2" i="77"/>
  <c r="LJ2" i="77"/>
  <c r="V136" i="4"/>
  <c r="LI2" i="77"/>
  <c r="KP2" i="77"/>
  <c r="V134" i="4"/>
  <c r="KO2" i="77"/>
  <c r="JX2" i="77"/>
  <c r="W62" i="4"/>
  <c r="JW2" i="77"/>
  <c r="JD2" i="77"/>
  <c r="W27" i="4"/>
  <c r="JC2" i="77"/>
  <c r="IJ2" i="77"/>
  <c r="W26" i="4"/>
  <c r="II2" i="77"/>
  <c r="L134" i="4" a="1"/>
  <c r="L134" i="4"/>
  <c r="L135" i="4"/>
  <c r="L136" i="4"/>
  <c r="L137" i="4"/>
  <c r="L139" i="4"/>
  <c r="K77" i="6"/>
  <c r="K191" i="6"/>
  <c r="K200" i="6"/>
  <c r="K209" i="6"/>
  <c r="K218" i="6"/>
  <c r="K227" i="6"/>
  <c r="K236" i="6"/>
  <c r="K254" i="6"/>
  <c r="K263" i="6"/>
  <c r="K272" i="6"/>
  <c r="K281" i="6"/>
  <c r="K290" i="6"/>
  <c r="K308" i="6"/>
  <c r="K317" i="6"/>
  <c r="K326" i="6"/>
  <c r="K335" i="6"/>
  <c r="K104" i="6"/>
  <c r="K105" i="6"/>
  <c r="K108" i="6"/>
  <c r="K344" i="6"/>
  <c r="K362" i="6"/>
  <c r="K371" i="6"/>
  <c r="K380" i="6"/>
  <c r="K389" i="6"/>
  <c r="K398" i="6"/>
  <c r="K416" i="6"/>
  <c r="K426" i="6"/>
  <c r="K436" i="6"/>
  <c r="M24" i="4"/>
  <c r="M25" i="4"/>
  <c r="M26" i="4"/>
  <c r="X26" i="4"/>
  <c r="IK2" i="77"/>
  <c r="IL2" i="77"/>
  <c r="M27" i="4"/>
  <c r="X27" i="4"/>
  <c r="JE2" i="77"/>
  <c r="JF2" i="77"/>
  <c r="M29" i="4"/>
  <c r="M30" i="4"/>
  <c r="M31" i="4"/>
  <c r="M34" i="4"/>
  <c r="M35" i="4"/>
  <c r="M36" i="4"/>
  <c r="M37" i="4"/>
  <c r="M48" i="4"/>
  <c r="M50" i="4"/>
  <c r="M39" i="4"/>
  <c r="M40" i="4"/>
  <c r="M41" i="4"/>
  <c r="M44" i="4"/>
  <c r="M45" i="4"/>
  <c r="M46" i="4"/>
  <c r="M47" i="4"/>
  <c r="M49" i="4"/>
  <c r="M51" i="4"/>
  <c r="M53" i="4"/>
  <c r="M54" i="4"/>
  <c r="M55" i="4"/>
  <c r="M58" i="4"/>
  <c r="M59" i="4"/>
  <c r="M60" i="4"/>
  <c r="M61" i="4"/>
  <c r="M62" i="4"/>
  <c r="X62" i="4"/>
  <c r="JY2" i="77"/>
  <c r="JZ2" i="77"/>
  <c r="W134" i="4"/>
  <c r="KQ2" i="77"/>
  <c r="KR2" i="77"/>
  <c r="W136" i="4"/>
  <c r="LK2" i="77"/>
  <c r="LL2" i="77"/>
  <c r="W139" i="4"/>
  <c r="ME2" i="77"/>
  <c r="MF2" i="77"/>
  <c r="M26" i="33"/>
  <c r="X26" i="33"/>
  <c r="RQ2" i="77"/>
  <c r="RR2" i="77"/>
  <c r="M27" i="33"/>
  <c r="X27" i="33"/>
  <c r="SK2" i="77"/>
  <c r="SL2" i="77"/>
  <c r="M62" i="33"/>
  <c r="X62" i="33"/>
  <c r="TE2" i="77"/>
  <c r="TF2" i="77"/>
  <c r="L134" i="33"/>
  <c r="W134" i="33"/>
  <c r="TW2" i="77"/>
  <c r="TX2" i="77"/>
  <c r="L136" i="33"/>
  <c r="W136" i="33"/>
  <c r="UQ2" i="77"/>
  <c r="UR2" i="77"/>
  <c r="L139" i="33"/>
  <c r="W139" i="33"/>
  <c r="VK2" i="77"/>
  <c r="VL2" i="77"/>
  <c r="K108" i="34"/>
  <c r="XS2" i="77"/>
  <c r="XT2" i="77"/>
  <c r="K78" i="6"/>
  <c r="K192" i="6"/>
  <c r="K201" i="6"/>
  <c r="K210" i="6"/>
  <c r="K219" i="6"/>
  <c r="K228" i="6"/>
  <c r="K237" i="6"/>
  <c r="K255" i="6"/>
  <c r="K264" i="6"/>
  <c r="K273" i="6"/>
  <c r="K282" i="6"/>
  <c r="K291" i="6"/>
  <c r="K309" i="6"/>
  <c r="K318" i="6"/>
  <c r="K327" i="6"/>
  <c r="K336" i="6"/>
  <c r="K345" i="6"/>
  <c r="K363" i="6"/>
  <c r="K372" i="6"/>
  <c r="K381" i="6"/>
  <c r="K390" i="6"/>
  <c r="K399" i="6"/>
  <c r="K417" i="6"/>
  <c r="K79" i="6"/>
  <c r="K193" i="6"/>
  <c r="K202" i="6"/>
  <c r="K211" i="6"/>
  <c r="K220" i="6"/>
  <c r="K229" i="6"/>
  <c r="K238" i="6"/>
  <c r="K256" i="6"/>
  <c r="K265" i="6"/>
  <c r="K274" i="6"/>
  <c r="K283" i="6"/>
  <c r="K292" i="6"/>
  <c r="K310" i="6"/>
  <c r="K319" i="6"/>
  <c r="K328" i="6"/>
  <c r="K337" i="6"/>
  <c r="K346" i="6"/>
  <c r="K364" i="6"/>
  <c r="K373" i="6"/>
  <c r="K382" i="6"/>
  <c r="K391" i="6"/>
  <c r="K400" i="6"/>
  <c r="K418" i="6"/>
  <c r="K80" i="6"/>
  <c r="K194" i="6"/>
  <c r="K203" i="6"/>
  <c r="K212" i="6"/>
  <c r="K221" i="6"/>
  <c r="K230" i="6"/>
  <c r="K239" i="6"/>
  <c r="K257" i="6"/>
  <c r="K266" i="6"/>
  <c r="K275" i="6"/>
  <c r="K284" i="6"/>
  <c r="K293" i="6"/>
  <c r="K311" i="6"/>
  <c r="K320" i="6"/>
  <c r="K329" i="6"/>
  <c r="K338" i="6"/>
  <c r="K347" i="6"/>
  <c r="K365" i="6"/>
  <c r="K374" i="6"/>
  <c r="K383" i="6"/>
  <c r="K392" i="6"/>
  <c r="K401" i="6"/>
  <c r="K419" i="6"/>
  <c r="K81" i="6"/>
  <c r="K195" i="6"/>
  <c r="K204" i="6"/>
  <c r="K213" i="6"/>
  <c r="K222" i="6"/>
  <c r="K231" i="6"/>
  <c r="K240" i="6"/>
  <c r="K258" i="6"/>
  <c r="K267" i="6"/>
  <c r="K276" i="6"/>
  <c r="K285" i="6"/>
  <c r="K294" i="6"/>
  <c r="K312" i="6"/>
  <c r="K321" i="6"/>
  <c r="K330" i="6"/>
  <c r="K339" i="6"/>
  <c r="K348" i="6"/>
  <c r="K366" i="6"/>
  <c r="K375" i="6"/>
  <c r="K384" i="6"/>
  <c r="K393" i="6"/>
  <c r="K402" i="6"/>
  <c r="K420" i="6"/>
  <c r="K82" i="6"/>
  <c r="K196" i="6"/>
  <c r="K205" i="6"/>
  <c r="K214" i="6"/>
  <c r="K223" i="6"/>
  <c r="K232" i="6"/>
  <c r="K241" i="6"/>
  <c r="K259" i="6"/>
  <c r="K268" i="6"/>
  <c r="K277" i="6"/>
  <c r="K286" i="6"/>
  <c r="K295" i="6"/>
  <c r="K313" i="6"/>
  <c r="K322" i="6"/>
  <c r="K331" i="6"/>
  <c r="K340" i="6"/>
  <c r="K349" i="6"/>
  <c r="K367" i="6"/>
  <c r="K376" i="6"/>
  <c r="K385" i="6"/>
  <c r="K394" i="6"/>
  <c r="K403" i="6"/>
  <c r="K421" i="6"/>
  <c r="K83" i="6"/>
  <c r="K197" i="6"/>
  <c r="K206" i="6"/>
  <c r="K215" i="6"/>
  <c r="K224" i="6"/>
  <c r="K233" i="6"/>
  <c r="K242" i="6"/>
  <c r="K260" i="6"/>
  <c r="K269" i="6"/>
  <c r="K278" i="6"/>
  <c r="K287" i="6"/>
  <c r="K296" i="6"/>
  <c r="K314" i="6"/>
  <c r="K323" i="6"/>
  <c r="K332" i="6"/>
  <c r="K341" i="6"/>
  <c r="K350" i="6"/>
  <c r="K368" i="6"/>
  <c r="K377" i="6"/>
  <c r="K386" i="6"/>
  <c r="K395" i="6"/>
  <c r="K404" i="6"/>
  <c r="K422" i="6"/>
  <c r="K84" i="6"/>
  <c r="K198" i="6"/>
  <c r="K207" i="6"/>
  <c r="K216" i="6"/>
  <c r="K225" i="6"/>
  <c r="K234" i="6"/>
  <c r="K243" i="6"/>
  <c r="K261" i="6"/>
  <c r="K270" i="6"/>
  <c r="K279" i="6"/>
  <c r="K288" i="6"/>
  <c r="K297" i="6"/>
  <c r="K315" i="6"/>
  <c r="K324" i="6"/>
  <c r="K333" i="6"/>
  <c r="K342" i="6"/>
  <c r="K351" i="6"/>
  <c r="K369" i="6"/>
  <c r="K378" i="6"/>
  <c r="K387" i="6"/>
  <c r="K396" i="6"/>
  <c r="K405" i="6"/>
  <c r="K423" i="6"/>
  <c r="K424" i="6"/>
  <c r="K424" i="34"/>
  <c r="Y424" i="34"/>
  <c r="YM2" i="77"/>
  <c r="YN2" i="77"/>
  <c r="K427" i="6"/>
  <c r="K437" i="6"/>
  <c r="K428" i="6"/>
  <c r="K438" i="6"/>
  <c r="K429" i="6"/>
  <c r="K439" i="6"/>
  <c r="K430" i="6"/>
  <c r="K440" i="6"/>
  <c r="K431" i="6"/>
  <c r="K441" i="6"/>
  <c r="K432" i="6"/>
  <c r="K442" i="6"/>
  <c r="K433" i="6"/>
  <c r="K443" i="6"/>
  <c r="K444" i="6"/>
  <c r="J8" i="9"/>
  <c r="K436" i="34"/>
  <c r="K438" i="34"/>
  <c r="K441" i="34"/>
  <c r="K443" i="34"/>
  <c r="K442" i="34"/>
  <c r="K440" i="34"/>
  <c r="K439" i="34"/>
  <c r="K437" i="34"/>
  <c r="K426" i="34"/>
  <c r="K428" i="34"/>
  <c r="K431" i="34"/>
  <c r="K433" i="34"/>
  <c r="K432" i="34"/>
  <c r="K430" i="34"/>
  <c r="K429" i="34"/>
  <c r="K427" i="34"/>
  <c r="M107" i="4"/>
  <c r="M124" i="4"/>
  <c r="M132" i="4"/>
  <c r="L101" i="6"/>
  <c r="L305" i="6"/>
  <c r="L305" i="34"/>
  <c r="M101" i="4"/>
  <c r="M118" i="4"/>
  <c r="M126" i="4"/>
  <c r="L86" i="6"/>
  <c r="L245" i="6"/>
  <c r="L245" i="34"/>
  <c r="M104" i="4"/>
  <c r="M121" i="4"/>
  <c r="M129" i="4"/>
  <c r="L89" i="6"/>
  <c r="L248" i="6"/>
  <c r="L248" i="34"/>
  <c r="L98" i="6"/>
  <c r="L302" i="6"/>
  <c r="L302" i="34"/>
  <c r="M103" i="4"/>
  <c r="M120" i="4"/>
  <c r="M128" i="4"/>
  <c r="L97" i="6"/>
  <c r="L301" i="6"/>
  <c r="L301" i="34"/>
  <c r="L92" i="6"/>
  <c r="L251" i="6"/>
  <c r="L251" i="34"/>
  <c r="M105" i="4"/>
  <c r="M122" i="4"/>
  <c r="M130" i="4"/>
  <c r="L90" i="6"/>
  <c r="L249" i="6"/>
  <c r="L249" i="34"/>
  <c r="M108" i="4"/>
  <c r="M125" i="4"/>
  <c r="M133" i="4"/>
  <c r="L102" i="6"/>
  <c r="L306" i="6"/>
  <c r="L306" i="34"/>
  <c r="M106" i="4"/>
  <c r="M123" i="4"/>
  <c r="M131" i="4"/>
  <c r="L91" i="6"/>
  <c r="L250" i="6"/>
  <c r="L250" i="34"/>
  <c r="L93" i="6"/>
  <c r="L252" i="6"/>
  <c r="L252" i="34"/>
  <c r="L95" i="6"/>
  <c r="L299" i="6"/>
  <c r="L299" i="34"/>
  <c r="M102" i="4"/>
  <c r="M119" i="4"/>
  <c r="M127" i="4"/>
  <c r="L96" i="6"/>
  <c r="L300" i="6"/>
  <c r="L300" i="34"/>
  <c r="L99" i="6"/>
  <c r="L303" i="6"/>
  <c r="L303" i="34"/>
  <c r="L100" i="6"/>
  <c r="L304" i="6"/>
  <c r="L304" i="34"/>
  <c r="L88" i="6"/>
  <c r="L247" i="6"/>
  <c r="L247" i="34"/>
  <c r="L87" i="6"/>
  <c r="L246" i="6"/>
  <c r="L246" i="34"/>
  <c r="L93" i="34"/>
  <c r="L95" i="34"/>
  <c r="L102" i="34"/>
  <c r="L86" i="34"/>
  <c r="L98" i="34"/>
  <c r="L92" i="34"/>
  <c r="L89" i="34"/>
  <c r="L90" i="34"/>
  <c r="L101" i="34"/>
  <c r="L99" i="34"/>
  <c r="L87" i="34"/>
  <c r="L97" i="34"/>
  <c r="L96" i="34"/>
  <c r="L88" i="34"/>
  <c r="L91" i="34"/>
  <c r="L100" i="34"/>
  <c r="M130" i="33"/>
  <c r="M129" i="33"/>
  <c r="M131" i="33"/>
  <c r="M126" i="33"/>
  <c r="M132" i="33"/>
  <c r="M128" i="33"/>
  <c r="M133" i="33"/>
  <c r="M127" i="33"/>
  <c r="M123" i="33"/>
  <c r="M121" i="33"/>
  <c r="M118" i="33"/>
  <c r="M119" i="33"/>
  <c r="M122" i="33"/>
  <c r="M124" i="33"/>
  <c r="M125" i="33"/>
  <c r="M120" i="33"/>
  <c r="M103" i="33"/>
  <c r="M102" i="33"/>
  <c r="M107" i="33"/>
  <c r="M106" i="33"/>
  <c r="M101" i="33"/>
  <c r="M105" i="33"/>
  <c r="M104" i="33"/>
  <c r="M108" i="33"/>
  <c r="M50" i="33"/>
  <c r="M37" i="33"/>
  <c r="M47" i="33"/>
  <c r="M51" i="33"/>
  <c r="K211" i="34"/>
  <c r="K213" i="34"/>
  <c r="K216" i="34"/>
  <c r="K214" i="34"/>
  <c r="M49" i="33"/>
  <c r="M46" i="33"/>
  <c r="M36" i="33"/>
  <c r="M48" i="33"/>
  <c r="K209" i="34"/>
  <c r="K212" i="34"/>
  <c r="M61" i="33"/>
  <c r="M60" i="33"/>
  <c r="K210" i="34"/>
  <c r="K215" i="34"/>
  <c r="M59" i="33"/>
  <c r="K200" i="34"/>
  <c r="K201" i="34"/>
  <c r="K206" i="34"/>
  <c r="K204" i="34"/>
  <c r="M35" i="33"/>
  <c r="K203" i="34"/>
  <c r="K205" i="34"/>
  <c r="K202" i="34"/>
  <c r="K207" i="34"/>
  <c r="M45" i="33"/>
  <c r="K191" i="34"/>
  <c r="K197" i="34"/>
  <c r="M58" i="33"/>
  <c r="K194" i="34"/>
  <c r="K198" i="34"/>
  <c r="M34" i="33"/>
  <c r="K193" i="34"/>
  <c r="K192" i="34"/>
  <c r="K195" i="34"/>
  <c r="K196" i="34"/>
  <c r="M44" i="33"/>
  <c r="K83" i="34"/>
  <c r="K84" i="34"/>
  <c r="K80" i="34"/>
  <c r="K78" i="34"/>
  <c r="M55" i="33"/>
  <c r="M41" i="33"/>
  <c r="K77" i="34"/>
  <c r="M31" i="33"/>
  <c r="K82" i="34"/>
  <c r="K79" i="34"/>
  <c r="K81" i="34"/>
  <c r="M30" i="33"/>
  <c r="M54" i="33"/>
  <c r="K105" i="34"/>
  <c r="M25" i="33"/>
  <c r="M40" i="33"/>
  <c r="M53" i="33"/>
  <c r="M29" i="33"/>
  <c r="M24" i="33"/>
  <c r="L137" i="33"/>
  <c r="K104" i="34"/>
  <c r="M39" i="33"/>
  <c r="L135" i="33"/>
  <c r="K224" i="34"/>
  <c r="K223" i="34"/>
  <c r="K218" i="34"/>
  <c r="K219" i="34"/>
  <c r="K221" i="34"/>
  <c r="K225" i="34"/>
  <c r="K220" i="34"/>
  <c r="K222" i="34"/>
  <c r="K239" i="34"/>
  <c r="K240" i="34"/>
  <c r="K237" i="34"/>
  <c r="K236" i="34"/>
  <c r="K238" i="34"/>
  <c r="K243" i="34"/>
  <c r="K242" i="34"/>
  <c r="K241" i="34"/>
  <c r="K228" i="34"/>
  <c r="K234" i="34"/>
  <c r="K231" i="34"/>
  <c r="K227" i="34"/>
  <c r="K229" i="34"/>
  <c r="K233" i="34"/>
  <c r="K230" i="34"/>
  <c r="K232" i="34"/>
  <c r="K256" i="34"/>
  <c r="K254" i="34"/>
  <c r="K260" i="34"/>
  <c r="K261" i="34"/>
  <c r="K255" i="34"/>
  <c r="K257" i="34"/>
  <c r="K258" i="34"/>
  <c r="K259" i="34"/>
  <c r="K263" i="34"/>
  <c r="K266" i="34"/>
  <c r="K264" i="34"/>
  <c r="K265" i="34"/>
  <c r="K270" i="34"/>
  <c r="K267" i="34"/>
  <c r="K269" i="34"/>
  <c r="K268" i="34"/>
  <c r="K272" i="34"/>
  <c r="K277" i="34"/>
  <c r="K279" i="34"/>
  <c r="K278" i="34"/>
  <c r="K274" i="34"/>
  <c r="K273" i="34"/>
  <c r="K275" i="34"/>
  <c r="K276" i="34"/>
  <c r="K287" i="34"/>
  <c r="K282" i="34"/>
  <c r="K285" i="34"/>
  <c r="K286" i="34"/>
  <c r="K281" i="34"/>
  <c r="K284" i="34"/>
  <c r="K288" i="34"/>
  <c r="K283" i="34"/>
  <c r="K293" i="34"/>
  <c r="K291" i="34"/>
  <c r="K290" i="34"/>
  <c r="K296" i="34"/>
  <c r="K297" i="34"/>
  <c r="K295" i="34"/>
  <c r="K294" i="34"/>
  <c r="K292" i="34"/>
  <c r="K311" i="34"/>
  <c r="K314" i="34"/>
  <c r="K313" i="34"/>
  <c r="K312" i="34"/>
  <c r="K310" i="34"/>
  <c r="K308" i="34"/>
  <c r="K315" i="34"/>
  <c r="K309" i="34"/>
  <c r="K322" i="34"/>
  <c r="K323" i="34"/>
  <c r="K320" i="34"/>
  <c r="K321" i="34"/>
  <c r="K324" i="34"/>
  <c r="K319" i="34"/>
  <c r="K318" i="34"/>
  <c r="K317" i="34"/>
  <c r="K337" i="34"/>
  <c r="K340" i="34"/>
  <c r="K342" i="34"/>
  <c r="K338" i="34"/>
  <c r="K336" i="34"/>
  <c r="K341" i="34"/>
  <c r="K335" i="34"/>
  <c r="K339" i="34"/>
  <c r="K333" i="34"/>
  <c r="K329" i="34"/>
  <c r="K331" i="34"/>
  <c r="K332" i="34"/>
  <c r="K330" i="34"/>
  <c r="K328" i="34"/>
  <c r="K327" i="34"/>
  <c r="K326" i="34"/>
  <c r="K350" i="34"/>
  <c r="K347" i="34"/>
  <c r="K348" i="34"/>
  <c r="K349" i="34"/>
  <c r="K346" i="34"/>
  <c r="K345" i="34"/>
  <c r="K351" i="34"/>
  <c r="K344" i="34"/>
  <c r="K362" i="34"/>
  <c r="K364" i="34"/>
  <c r="K363" i="34"/>
  <c r="K367" i="34"/>
  <c r="K365" i="34"/>
  <c r="K366" i="34"/>
  <c r="K369" i="34"/>
  <c r="K368" i="34"/>
  <c r="K380" i="34"/>
  <c r="K383" i="34"/>
  <c r="K381" i="34"/>
  <c r="K382" i="34"/>
  <c r="K385" i="34"/>
  <c r="K384" i="34"/>
  <c r="K387" i="34"/>
  <c r="K386" i="34"/>
  <c r="K373" i="34"/>
  <c r="K377" i="34"/>
  <c r="K372" i="34"/>
  <c r="K376" i="34"/>
  <c r="K375" i="34"/>
  <c r="K374" i="34"/>
  <c r="K378" i="34"/>
  <c r="K371" i="34"/>
  <c r="K389" i="34"/>
  <c r="K391" i="34"/>
  <c r="K392" i="34"/>
  <c r="K394" i="34"/>
  <c r="K390" i="34"/>
  <c r="K396" i="34"/>
  <c r="K393" i="34"/>
  <c r="K395" i="34"/>
  <c r="K404" i="34"/>
  <c r="K400" i="34"/>
  <c r="K399" i="34"/>
  <c r="K402" i="34"/>
  <c r="K403" i="34"/>
  <c r="K401" i="34"/>
  <c r="K405" i="34"/>
  <c r="K398" i="34"/>
  <c r="K407" i="6"/>
  <c r="K407" i="34"/>
  <c r="K414" i="6"/>
  <c r="K414" i="34"/>
  <c r="K410" i="6"/>
  <c r="K410" i="34"/>
  <c r="K412" i="6"/>
  <c r="K412" i="34"/>
  <c r="K411" i="6"/>
  <c r="K411" i="34"/>
  <c r="K408" i="6"/>
  <c r="K408" i="34"/>
  <c r="K409" i="6"/>
  <c r="K409" i="34"/>
  <c r="K413" i="6"/>
  <c r="K413" i="34"/>
  <c r="K417" i="34"/>
  <c r="K421" i="34"/>
  <c r="K420" i="34"/>
  <c r="K418" i="34"/>
  <c r="K423" i="34"/>
  <c r="K419" i="34"/>
  <c r="K422" i="34"/>
  <c r="K416" i="34"/>
  <c r="K434" i="6"/>
  <c r="K434" i="34"/>
  <c r="J28" i="9"/>
  <c r="J6" i="9"/>
  <c r="J26" i="9"/>
  <c r="J4" i="9"/>
  <c r="K444" i="34"/>
  <c r="J30" i="9"/>
  <c r="M134" i="4" a="1"/>
  <c r="M134" i="4"/>
  <c r="M135" i="4"/>
  <c r="M136" i="4"/>
  <c r="M137" i="4"/>
  <c r="M139" i="4"/>
  <c r="L77" i="6"/>
  <c r="L191" i="6"/>
  <c r="L200" i="6"/>
  <c r="L209" i="6"/>
  <c r="L218" i="6"/>
  <c r="L227" i="6"/>
  <c r="L236" i="6"/>
  <c r="L254" i="6"/>
  <c r="L263" i="6"/>
  <c r="L272" i="6"/>
  <c r="L281" i="6"/>
  <c r="L290" i="6"/>
  <c r="L308" i="6"/>
  <c r="L317" i="6"/>
  <c r="L326" i="6"/>
  <c r="L335" i="6"/>
  <c r="L104" i="6"/>
  <c r="L105" i="6"/>
  <c r="L108" i="6"/>
  <c r="L344" i="6"/>
  <c r="L362" i="6"/>
  <c r="L371" i="6"/>
  <c r="L380" i="6"/>
  <c r="L389" i="6"/>
  <c r="L398" i="6"/>
  <c r="L416" i="6"/>
  <c r="L426" i="6"/>
  <c r="L436" i="6"/>
  <c r="L78" i="6"/>
  <c r="L192" i="6"/>
  <c r="L201" i="6"/>
  <c r="L210" i="6"/>
  <c r="L219" i="6"/>
  <c r="L228" i="6"/>
  <c r="L237" i="6"/>
  <c r="L255" i="6"/>
  <c r="L264" i="6"/>
  <c r="L273" i="6"/>
  <c r="L282" i="6"/>
  <c r="L291" i="6"/>
  <c r="L309" i="6"/>
  <c r="L318" i="6"/>
  <c r="L327" i="6"/>
  <c r="L336" i="6"/>
  <c r="L345" i="6"/>
  <c r="L363" i="6"/>
  <c r="L372" i="6"/>
  <c r="L381" i="6"/>
  <c r="L390" i="6"/>
  <c r="L399" i="6"/>
  <c r="L417" i="6"/>
  <c r="L427" i="6"/>
  <c r="L437" i="6"/>
  <c r="L79" i="6"/>
  <c r="L193" i="6"/>
  <c r="L202" i="6"/>
  <c r="L211" i="6"/>
  <c r="L220" i="6"/>
  <c r="L229" i="6"/>
  <c r="L238" i="6"/>
  <c r="L256" i="6"/>
  <c r="L265" i="6"/>
  <c r="L274" i="6"/>
  <c r="L283" i="6"/>
  <c r="L292" i="6"/>
  <c r="L310" i="6"/>
  <c r="L319" i="6"/>
  <c r="L328" i="6"/>
  <c r="L337" i="6"/>
  <c r="L346" i="6"/>
  <c r="L364" i="6"/>
  <c r="L373" i="6"/>
  <c r="L382" i="6"/>
  <c r="L391" i="6"/>
  <c r="L400" i="6"/>
  <c r="L418" i="6"/>
  <c r="L428" i="6"/>
  <c r="L438" i="6"/>
  <c r="L80" i="6"/>
  <c r="L194" i="6"/>
  <c r="L203" i="6"/>
  <c r="L212" i="6"/>
  <c r="L221" i="6"/>
  <c r="L230" i="6"/>
  <c r="L239" i="6"/>
  <c r="L257" i="6"/>
  <c r="L266" i="6"/>
  <c r="L275" i="6"/>
  <c r="L284" i="6"/>
  <c r="L293" i="6"/>
  <c r="L311" i="6"/>
  <c r="L320" i="6"/>
  <c r="L329" i="6"/>
  <c r="L338" i="6"/>
  <c r="L347" i="6"/>
  <c r="L365" i="6"/>
  <c r="L374" i="6"/>
  <c r="L383" i="6"/>
  <c r="L392" i="6"/>
  <c r="L401" i="6"/>
  <c r="L419" i="6"/>
  <c r="L429" i="6"/>
  <c r="L439" i="6"/>
  <c r="L81" i="6"/>
  <c r="L195" i="6"/>
  <c r="L204" i="6"/>
  <c r="L213" i="6"/>
  <c r="L222" i="6"/>
  <c r="L231" i="6"/>
  <c r="L240" i="6"/>
  <c r="L258" i="6"/>
  <c r="L267" i="6"/>
  <c r="L276" i="6"/>
  <c r="L285" i="6"/>
  <c r="L294" i="6"/>
  <c r="L312" i="6"/>
  <c r="L321" i="6"/>
  <c r="L330" i="6"/>
  <c r="L339" i="6"/>
  <c r="L348" i="6"/>
  <c r="L366" i="6"/>
  <c r="L375" i="6"/>
  <c r="L384" i="6"/>
  <c r="L393" i="6"/>
  <c r="L402" i="6"/>
  <c r="L420" i="6"/>
  <c r="L430" i="6"/>
  <c r="L440" i="6"/>
  <c r="L82" i="6"/>
  <c r="L196" i="6"/>
  <c r="L205" i="6"/>
  <c r="L214" i="6"/>
  <c r="L223" i="6"/>
  <c r="L232" i="6"/>
  <c r="L241" i="6"/>
  <c r="L259" i="6"/>
  <c r="L268" i="6"/>
  <c r="L277" i="6"/>
  <c r="L286" i="6"/>
  <c r="L295" i="6"/>
  <c r="L313" i="6"/>
  <c r="L322" i="6"/>
  <c r="L331" i="6"/>
  <c r="L340" i="6"/>
  <c r="L349" i="6"/>
  <c r="L367" i="6"/>
  <c r="L376" i="6"/>
  <c r="L385" i="6"/>
  <c r="L394" i="6"/>
  <c r="L403" i="6"/>
  <c r="L421" i="6"/>
  <c r="L431" i="6"/>
  <c r="L441" i="6"/>
  <c r="L83" i="6"/>
  <c r="L197" i="6"/>
  <c r="L206" i="6"/>
  <c r="L215" i="6"/>
  <c r="L224" i="6"/>
  <c r="L233" i="6"/>
  <c r="L242" i="6"/>
  <c r="L260" i="6"/>
  <c r="L269" i="6"/>
  <c r="L278" i="6"/>
  <c r="L287" i="6"/>
  <c r="L296" i="6"/>
  <c r="L314" i="6"/>
  <c r="L323" i="6"/>
  <c r="L332" i="6"/>
  <c r="L341" i="6"/>
  <c r="L350" i="6"/>
  <c r="L368" i="6"/>
  <c r="L377" i="6"/>
  <c r="L386" i="6"/>
  <c r="L395" i="6"/>
  <c r="L404" i="6"/>
  <c r="L422" i="6"/>
  <c r="L432" i="6"/>
  <c r="L442" i="6"/>
  <c r="L84" i="6"/>
  <c r="L198" i="6"/>
  <c r="L207" i="6"/>
  <c r="L216" i="6"/>
  <c r="L225" i="6"/>
  <c r="L234" i="6"/>
  <c r="L243" i="6"/>
  <c r="L261" i="6"/>
  <c r="L270" i="6"/>
  <c r="L279" i="6"/>
  <c r="L288" i="6"/>
  <c r="L297" i="6"/>
  <c r="L315" i="6"/>
  <c r="L324" i="6"/>
  <c r="L333" i="6"/>
  <c r="L342" i="6"/>
  <c r="L351" i="6"/>
  <c r="L369" i="6"/>
  <c r="L378" i="6"/>
  <c r="L387" i="6"/>
  <c r="L396" i="6"/>
  <c r="L405" i="6"/>
  <c r="L423" i="6"/>
  <c r="L433" i="6"/>
  <c r="L443" i="6"/>
  <c r="L444" i="6"/>
  <c r="L444" i="34"/>
  <c r="K30" i="9"/>
  <c r="L30" i="9"/>
  <c r="M436" i="6"/>
  <c r="M437" i="6"/>
  <c r="M438" i="6"/>
  <c r="M439" i="6"/>
  <c r="M440" i="6"/>
  <c r="M441" i="6"/>
  <c r="M442" i="6"/>
  <c r="M443" i="6"/>
  <c r="M444" i="6"/>
  <c r="M445" i="6"/>
  <c r="M449" i="6"/>
  <c r="M450" i="6"/>
  <c r="M450" i="34"/>
  <c r="N4" i="1"/>
  <c r="N7" i="1"/>
  <c r="L429" i="34"/>
  <c r="L427" i="34"/>
  <c r="L430" i="34"/>
  <c r="L428" i="34"/>
  <c r="L433" i="34"/>
  <c r="L431" i="34"/>
  <c r="L432" i="34"/>
  <c r="L426" i="34"/>
  <c r="L437" i="34"/>
  <c r="L440" i="34"/>
  <c r="L439" i="34"/>
  <c r="L442" i="34"/>
  <c r="L438" i="34"/>
  <c r="L443" i="34"/>
  <c r="L441" i="34"/>
  <c r="L436" i="34"/>
  <c r="M449" i="34"/>
  <c r="A3" i="25"/>
  <c r="AG3" i="25"/>
  <c r="L315" i="34"/>
  <c r="L313" i="34"/>
  <c r="L309" i="34"/>
  <c r="L308" i="34"/>
  <c r="L310" i="34"/>
  <c r="L312" i="34"/>
  <c r="L311" i="34"/>
  <c r="L314" i="34"/>
  <c r="L275" i="34"/>
  <c r="L276" i="34"/>
  <c r="L272" i="34"/>
  <c r="L279" i="34"/>
  <c r="L274" i="34"/>
  <c r="L277" i="34"/>
  <c r="L278" i="34"/>
  <c r="L273" i="34"/>
  <c r="L283" i="34"/>
  <c r="L285" i="34"/>
  <c r="L284" i="34"/>
  <c r="L282" i="34"/>
  <c r="L286" i="34"/>
  <c r="L281" i="34"/>
  <c r="L287" i="34"/>
  <c r="L288" i="34"/>
  <c r="L292" i="34"/>
  <c r="L297" i="34"/>
  <c r="L291" i="34"/>
  <c r="L296" i="34"/>
  <c r="L295" i="34"/>
  <c r="L294" i="34"/>
  <c r="L290" i="34"/>
  <c r="L293" i="34"/>
  <c r="L263" i="34"/>
  <c r="L268" i="34"/>
  <c r="L264" i="34"/>
  <c r="L267" i="34"/>
  <c r="L265" i="34"/>
  <c r="L266" i="34"/>
  <c r="L270" i="34"/>
  <c r="L269" i="34"/>
  <c r="L254" i="34"/>
  <c r="L261" i="34"/>
  <c r="L260" i="34"/>
  <c r="L255" i="34"/>
  <c r="L256" i="34"/>
  <c r="L259" i="34"/>
  <c r="L257" i="34"/>
  <c r="L258" i="34"/>
  <c r="L220" i="34"/>
  <c r="L223" i="34"/>
  <c r="L221" i="34"/>
  <c r="L219" i="34"/>
  <c r="L224" i="34"/>
  <c r="L218" i="34"/>
  <c r="L225" i="34"/>
  <c r="L222" i="34"/>
  <c r="L229" i="34"/>
  <c r="L230" i="34"/>
  <c r="L231" i="34"/>
  <c r="L228" i="34"/>
  <c r="L227" i="34"/>
  <c r="L234" i="34"/>
  <c r="L233" i="34"/>
  <c r="L232" i="34"/>
  <c r="L239" i="34"/>
  <c r="L237" i="34"/>
  <c r="L240" i="34"/>
  <c r="L243" i="34"/>
  <c r="L242" i="34"/>
  <c r="L238" i="34"/>
  <c r="L241" i="34"/>
  <c r="L236" i="34"/>
  <c r="L210" i="34"/>
  <c r="L209" i="34"/>
  <c r="L215" i="34"/>
  <c r="L214" i="34"/>
  <c r="L213" i="34"/>
  <c r="L216" i="34"/>
  <c r="L211" i="34"/>
  <c r="L212" i="34"/>
  <c r="L203" i="34"/>
  <c r="L201" i="34"/>
  <c r="L200" i="34"/>
  <c r="L205" i="34"/>
  <c r="L204" i="34"/>
  <c r="L207" i="34"/>
  <c r="L206" i="34"/>
  <c r="L202" i="34"/>
  <c r="L195" i="34"/>
  <c r="L191" i="34"/>
  <c r="L196" i="34"/>
  <c r="L192" i="34"/>
  <c r="L197" i="34"/>
  <c r="L193" i="34"/>
  <c r="L194" i="34"/>
  <c r="L198" i="34"/>
  <c r="L83" i="34"/>
  <c r="L77" i="34"/>
  <c r="L81" i="34"/>
  <c r="L78" i="34"/>
  <c r="L82" i="34"/>
  <c r="L80" i="34"/>
  <c r="L79" i="34"/>
  <c r="L84" i="34"/>
  <c r="L105" i="34"/>
  <c r="M137" i="33"/>
  <c r="L104" i="34"/>
  <c r="M135" i="33"/>
  <c r="L323" i="34"/>
  <c r="L324" i="34"/>
  <c r="L319" i="34"/>
  <c r="L321" i="34"/>
  <c r="L322" i="34"/>
  <c r="L318" i="34"/>
  <c r="L320" i="34"/>
  <c r="L317" i="34"/>
  <c r="L332" i="34"/>
  <c r="L333" i="34"/>
  <c r="L327" i="34"/>
  <c r="L331" i="34"/>
  <c r="L328" i="34"/>
  <c r="L330" i="34"/>
  <c r="L329" i="34"/>
  <c r="L326" i="34"/>
  <c r="L339" i="34"/>
  <c r="L341" i="34"/>
  <c r="L336" i="34"/>
  <c r="L337" i="34"/>
  <c r="L342" i="34"/>
  <c r="L338" i="34"/>
  <c r="L335" i="34"/>
  <c r="L340" i="34"/>
  <c r="L345" i="34"/>
  <c r="L347" i="34"/>
  <c r="L349" i="34"/>
  <c r="L351" i="34"/>
  <c r="L344" i="34"/>
  <c r="L350" i="34"/>
  <c r="L346" i="34"/>
  <c r="L348" i="34"/>
  <c r="L369" i="34"/>
  <c r="L367" i="34"/>
  <c r="L364" i="34"/>
  <c r="L368" i="34"/>
  <c r="L365" i="34"/>
  <c r="L366" i="34"/>
  <c r="L363" i="34"/>
  <c r="L362" i="34"/>
  <c r="L380" i="34"/>
  <c r="L386" i="34"/>
  <c r="L384" i="34"/>
  <c r="L385" i="34"/>
  <c r="L382" i="34"/>
  <c r="L381" i="34"/>
  <c r="L387" i="34"/>
  <c r="L383" i="34"/>
  <c r="L377" i="34"/>
  <c r="L372" i="34"/>
  <c r="L376" i="34"/>
  <c r="L374" i="34"/>
  <c r="L378" i="34"/>
  <c r="L373" i="34"/>
  <c r="L375" i="34"/>
  <c r="L371" i="34"/>
  <c r="L389" i="34"/>
  <c r="L393" i="34"/>
  <c r="L390" i="34"/>
  <c r="L394" i="34"/>
  <c r="L395" i="34"/>
  <c r="L391" i="34"/>
  <c r="L396" i="34"/>
  <c r="L392" i="34"/>
  <c r="L403" i="34"/>
  <c r="L401" i="34"/>
  <c r="L405" i="34"/>
  <c r="L399" i="34"/>
  <c r="L402" i="34"/>
  <c r="L404" i="34"/>
  <c r="L400" i="34"/>
  <c r="L398" i="34"/>
  <c r="L407" i="6"/>
  <c r="L407" i="34"/>
  <c r="L409" i="6"/>
  <c r="L409" i="34"/>
  <c r="L413" i="6"/>
  <c r="L413" i="34"/>
  <c r="L411" i="6"/>
  <c r="L411" i="34"/>
  <c r="L408" i="6"/>
  <c r="L408" i="34"/>
  <c r="L414" i="6"/>
  <c r="L414" i="34"/>
  <c r="L410" i="6"/>
  <c r="L410" i="34"/>
  <c r="L412" i="6"/>
  <c r="L412" i="34"/>
  <c r="L421" i="34"/>
  <c r="L417" i="34"/>
  <c r="L422" i="34"/>
  <c r="L419" i="34"/>
  <c r="L423" i="34"/>
  <c r="L420" i="34"/>
  <c r="L418" i="34"/>
  <c r="L416" i="34"/>
  <c r="L434" i="6"/>
  <c r="L434" i="34"/>
  <c r="K28" i="9"/>
  <c r="L424" i="6"/>
  <c r="L424" i="34"/>
  <c r="K26" i="9"/>
  <c r="K4" i="9"/>
  <c r="K6" i="9"/>
  <c r="K8" i="9"/>
  <c r="L8" i="9"/>
  <c r="L9" i="9"/>
  <c r="L12" i="9"/>
  <c r="AAH2" i="77"/>
  <c r="L34" i="9"/>
  <c r="AAG2" i="77"/>
  <c r="M445" i="34"/>
  <c r="AAB2" i="77"/>
  <c r="L31" i="9"/>
  <c r="AAA2" i="77"/>
  <c r="ZR2" i="77"/>
  <c r="ZQ2" i="77"/>
  <c r="ZL2" i="77"/>
  <c r="ZK2" i="77"/>
  <c r="ZJ2" i="77"/>
  <c r="ZI2" i="77"/>
  <c r="ZH2" i="77"/>
  <c r="M444" i="34"/>
  <c r="ZG2" i="77"/>
  <c r="ZF2" i="77"/>
  <c r="M443" i="34"/>
  <c r="ZE2" i="77"/>
  <c r="ZD2" i="77"/>
  <c r="M442" i="34"/>
  <c r="ZC2" i="77"/>
  <c r="ZB2" i="77"/>
  <c r="M441" i="34"/>
  <c r="ZA2" i="77"/>
  <c r="YZ2" i="77"/>
  <c r="M440" i="34"/>
  <c r="YY2" i="77"/>
  <c r="YX2" i="77"/>
  <c r="M439" i="34"/>
  <c r="YW2" i="77"/>
  <c r="YV2" i="77"/>
  <c r="M438" i="34"/>
  <c r="YU2" i="77"/>
  <c r="YT2" i="77"/>
  <c r="M437" i="34"/>
  <c r="YS2" i="77"/>
  <c r="YR2" i="77"/>
  <c r="M436" i="34"/>
  <c r="YQ2" i="77"/>
  <c r="YP2" i="77"/>
  <c r="Z424" i="34"/>
  <c r="YO2" i="77"/>
  <c r="XV2" i="77"/>
  <c r="L108" i="34"/>
  <c r="XU2" i="77"/>
  <c r="M139" i="33"/>
  <c r="VN2" i="77"/>
  <c r="X139" i="33"/>
  <c r="VM2" i="77"/>
  <c r="M136" i="33"/>
  <c r="UT2" i="77"/>
  <c r="X136" i="33"/>
  <c r="US2" i="77"/>
  <c r="M134" i="33"/>
  <c r="TZ2" i="77"/>
  <c r="X134" i="33"/>
  <c r="TY2" i="77"/>
  <c r="MH2" i="77"/>
  <c r="X139" i="4"/>
  <c r="MG2" i="77"/>
  <c r="LN2" i="77"/>
  <c r="X136" i="4"/>
  <c r="LM2" i="77"/>
  <c r="KT2" i="77"/>
  <c r="X134" i="4"/>
  <c r="KS2" i="77"/>
  <c r="B2" i="77"/>
  <c r="A2" i="7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 authorId="0" shapeId="0" xr:uid="{00000000-0006-0000-0000-000001000000}">
      <text>
        <r>
          <rPr>
            <b/>
            <sz val="9"/>
            <color indexed="81"/>
            <rFont val="Tahoma"/>
            <family val="2"/>
          </rPr>
          <t>Author:</t>
        </r>
        <r>
          <rPr>
            <sz val="9"/>
            <color indexed="81"/>
            <rFont val="Tahoma"/>
            <family val="2"/>
          </rPr>
          <t xml:space="preserve">
V1.7 is the same as V1.6 with the correct equation for SENS, new appropriate input values for TCR and FRT,and RLO now a ratio not a difference.</t>
        </r>
      </text>
    </comment>
    <comment ref="A4" authorId="0" shapeId="0" xr:uid="{00000000-0006-0000-0000-000002000000}">
      <text>
        <r>
          <rPr>
            <b/>
            <sz val="8"/>
            <color indexed="81"/>
            <rFont val="Tahoma"/>
            <family val="2"/>
          </rPr>
          <t>Author:</t>
        </r>
        <r>
          <rPr>
            <sz val="8"/>
            <color indexed="81"/>
            <rFont val="Tahoma"/>
            <family val="2"/>
          </rPr>
          <t xml:space="preserve">
Only analysis years before the last will work.</t>
        </r>
      </text>
    </comment>
    <comment ref="N4" authorId="0" shapeId="0" xr:uid="{E43807F1-64E5-4F6E-8102-1B7CA1848B6D}">
      <text/>
    </comment>
    <comment ref="A8" authorId="0" shapeId="0" xr:uid="{00000000-0006-0000-0000-000003000000}">
      <text>
        <r>
          <rPr>
            <b/>
            <sz val="8"/>
            <color indexed="81"/>
            <rFont val="Tahoma"/>
            <family val="2"/>
          </rPr>
          <t>Author:</t>
        </r>
        <r>
          <rPr>
            <sz val="8"/>
            <color indexed="81"/>
            <rFont val="Tahoma"/>
            <family val="2"/>
          </rPr>
          <t xml:space="preserve">
Set to the fixed certainty equivalent discount rate.</t>
        </r>
      </text>
    </comment>
    <comment ref="A9" authorId="0" shapeId="0" xr:uid="{00000000-0006-0000-0000-000004000000}">
      <text>
        <r>
          <rPr>
            <b/>
            <sz val="8"/>
            <color indexed="81"/>
            <rFont val="Tahoma"/>
            <family val="2"/>
          </rPr>
          <t>Author:</t>
        </r>
        <r>
          <rPr>
            <sz val="8"/>
            <color indexed="81"/>
            <rFont val="Tahoma"/>
            <family val="2"/>
          </rPr>
          <t xml:space="preserve">
Do not apply equity weights to costs if set to 0</t>
        </r>
      </text>
    </comment>
    <comment ref="A10" authorId="0" shapeId="0" xr:uid="{00000000-0006-0000-0000-000005000000}">
      <text>
        <r>
          <rPr>
            <b/>
            <sz val="8"/>
            <color indexed="81"/>
            <rFont val="Tahoma"/>
            <family val="2"/>
          </rPr>
          <t>Author:</t>
        </r>
        <r>
          <rPr>
            <sz val="8"/>
            <color indexed="81"/>
            <rFont val="Tahoma"/>
            <family val="2"/>
          </rPr>
          <t xml:space="preserve">
Set to zero to allow for the use of a fixed certainty equivalent discount rate</t>
        </r>
      </text>
    </comment>
    <comment ref="E11" authorId="0" shapeId="0" xr:uid="{00000000-0006-0000-0000-000006000000}">
      <text>
        <r>
          <rPr>
            <b/>
            <sz val="8"/>
            <color indexed="81"/>
            <rFont val="Tahoma"/>
            <family val="2"/>
          </rPr>
          <t>Author:</t>
        </r>
        <r>
          <rPr>
            <sz val="8"/>
            <color indexed="81"/>
            <rFont val="Tahoma"/>
            <family val="2"/>
          </rPr>
          <t xml:space="preserve">
PFCs, HFC and SF6. Sometimes known as High GWP gases.</t>
        </r>
      </text>
    </comment>
    <comment ref="B12" authorId="0" shapeId="0" xr:uid="{00000000-0006-0000-0000-000007000000}">
      <text>
        <r>
          <rPr>
            <b/>
            <sz val="8"/>
            <color indexed="81"/>
            <rFont val="Tahoma"/>
            <family val="2"/>
          </rPr>
          <t>Author:</t>
        </r>
        <r>
          <rPr>
            <sz val="8"/>
            <color indexed="81"/>
            <rFont val="Tahoma"/>
            <family val="2"/>
          </rPr>
          <t xml:space="preserve">
As in PAGE2002.
IPCC TAR WGI, p358.
</t>
        </r>
      </text>
    </comment>
    <comment ref="C12" authorId="0" shapeId="0" xr:uid="{00000000-0006-0000-0000-000008000000}">
      <text>
        <r>
          <rPr>
            <b/>
            <sz val="8"/>
            <color indexed="81"/>
            <rFont val="Tahoma"/>
            <family val="2"/>
          </rPr>
          <t>Author:</t>
        </r>
        <r>
          <rPr>
            <sz val="8"/>
            <color indexed="81"/>
            <rFont val="Tahoma"/>
            <family val="2"/>
          </rPr>
          <t xml:space="preserve">
As in PAGE2002.
IPCC TAR WGI, p358.
</t>
        </r>
      </text>
    </comment>
    <comment ref="D12" authorId="0" shapeId="0" xr:uid="{00000000-0006-0000-0000-000009000000}">
      <text>
        <r>
          <rPr>
            <b/>
            <sz val="8"/>
            <color indexed="81"/>
            <rFont val="Tahoma"/>
            <family val="2"/>
          </rPr>
          <t>Author:</t>
        </r>
        <r>
          <rPr>
            <sz val="8"/>
            <color indexed="81"/>
            <rFont val="Tahoma"/>
            <family val="2"/>
          </rPr>
          <t xml:space="preserve">
IPCC TAR WGI, p358.</t>
        </r>
      </text>
    </comment>
    <comment ref="E12" authorId="0" shapeId="0" xr:uid="{00000000-0006-0000-0000-00000A000000}">
      <text>
        <r>
          <rPr>
            <b/>
            <sz val="8"/>
            <color indexed="81"/>
            <rFont val="Tahoma"/>
            <family val="2"/>
          </rPr>
          <t>Author:</t>
        </r>
        <r>
          <rPr>
            <sz val="8"/>
            <color indexed="81"/>
            <rFont val="Tahoma"/>
            <family val="2"/>
          </rPr>
          <t xml:space="preserve">
Not naturally occuring. IPCC TAR WGI, p358.</t>
        </r>
      </text>
    </comment>
    <comment ref="B13" authorId="0" shapeId="0" xr:uid="{00000000-0006-0000-0000-00000B000000}">
      <text>
        <r>
          <rPr>
            <b/>
            <sz val="8"/>
            <color indexed="81"/>
            <rFont val="Tahoma"/>
            <family val="2"/>
          </rPr>
          <t>Author:</t>
        </r>
        <r>
          <rPr>
            <sz val="8"/>
            <color indexed="81"/>
            <rFont val="Tahoma"/>
            <family val="2"/>
          </rPr>
          <t xml:space="preserve">
As in PAGE2002.</t>
        </r>
      </text>
    </comment>
    <comment ref="C13" authorId="0" shapeId="0" xr:uid="{00000000-0006-0000-0000-00000C000000}">
      <text>
        <r>
          <rPr>
            <b/>
            <sz val="8"/>
            <color indexed="81"/>
            <rFont val="Tahoma"/>
            <family val="2"/>
          </rPr>
          <t>Author:</t>
        </r>
        <r>
          <rPr>
            <sz val="8"/>
            <color indexed="81"/>
            <rFont val="Tahoma"/>
            <family val="2"/>
          </rPr>
          <t xml:space="preserve">
As in PAGE2002,
IPCC TAR WGI, p250.
</t>
        </r>
      </text>
    </comment>
    <comment ref="D13" authorId="0" shapeId="0" xr:uid="{00000000-0006-0000-0000-00000D000000}">
      <text>
        <r>
          <rPr>
            <b/>
            <sz val="8"/>
            <color indexed="81"/>
            <rFont val="Tahoma"/>
            <family val="2"/>
          </rPr>
          <t>Author:</t>
        </r>
        <r>
          <rPr>
            <sz val="8"/>
            <color indexed="81"/>
            <rFont val="Tahoma"/>
            <family val="2"/>
          </rPr>
          <t xml:space="preserve">
Emissions are for N2O, so same molecular weight as CO2.</t>
        </r>
      </text>
    </comment>
    <comment ref="E13" authorId="0" shapeId="0" xr:uid="{00000000-0006-0000-0000-00000E000000}">
      <text>
        <r>
          <rPr>
            <b/>
            <sz val="8"/>
            <color indexed="81"/>
            <rFont val="Tahoma"/>
            <family val="2"/>
          </rPr>
          <t>Author:</t>
        </r>
        <r>
          <rPr>
            <sz val="8"/>
            <color indexed="81"/>
            <rFont val="Tahoma"/>
            <family val="2"/>
          </rPr>
          <t xml:space="preserve">
Assume 5 times the density, 20000 GWP approx. 
IPCC TAR WGI p388-389.
Gives the right ball-park results for 2100 in A2 scenario.</t>
        </r>
      </text>
    </comment>
    <comment ref="A14" authorId="0" shapeId="0" xr:uid="{00000000-0006-0000-0000-00000F000000}">
      <text>
        <r>
          <rPr>
            <b/>
            <sz val="8"/>
            <color indexed="81"/>
            <rFont val="Tahoma"/>
            <family val="2"/>
          </rPr>
          <t>Charles Griffiths:</t>
        </r>
        <r>
          <rPr>
            <sz val="8"/>
            <color indexed="81"/>
            <rFont val="Tahoma"/>
            <family val="2"/>
          </rPr>
          <t xml:space="preserve">
The forcing slope for CH4, N2O and Lin are set to zero so that the radiative forcing for everything except CO2 can be included in the excess forcing vector.</t>
        </r>
      </text>
    </comment>
    <comment ref="B14" authorId="0" shapeId="0" xr:uid="{00000000-0006-0000-0000-000010000000}">
      <text>
        <r>
          <rPr>
            <b/>
            <sz val="8"/>
            <color indexed="81"/>
            <rFont val="Tahoma"/>
            <family val="2"/>
          </rPr>
          <t>Author:</t>
        </r>
        <r>
          <rPr>
            <sz val="8"/>
            <color indexed="81"/>
            <rFont val="Tahoma"/>
            <family val="2"/>
          </rPr>
          <t xml:space="preserve">
To match MAGICC TCR results from Andrews and Allen, 2008
</t>
        </r>
      </text>
    </comment>
    <comment ref="C15" authorId="0" shapeId="0" xr:uid="{00000000-0006-0000-0000-000011000000}">
      <text>
        <r>
          <rPr>
            <b/>
            <sz val="8"/>
            <color indexed="81"/>
            <rFont val="Tahoma"/>
            <family val="2"/>
          </rPr>
          <t>Author:</t>
        </r>
        <r>
          <rPr>
            <sz val="8"/>
            <color indexed="81"/>
            <rFont val="Tahoma"/>
            <family val="2"/>
          </rPr>
          <t xml:space="preserve">
Not temperature dependent</t>
        </r>
      </text>
    </comment>
    <comment ref="D15" authorId="0" shapeId="0" xr:uid="{00000000-0006-0000-0000-000012000000}">
      <text>
        <r>
          <rPr>
            <b/>
            <sz val="8"/>
            <color indexed="81"/>
            <rFont val="Tahoma"/>
            <family val="2"/>
          </rPr>
          <t>Author:</t>
        </r>
        <r>
          <rPr>
            <sz val="8"/>
            <color indexed="81"/>
            <rFont val="Tahoma"/>
            <family val="2"/>
          </rPr>
          <t xml:space="preserve">
Not temperature dependent</t>
        </r>
      </text>
    </comment>
    <comment ref="E15" authorId="0" shapeId="0" xr:uid="{00000000-0006-0000-0000-000013000000}">
      <text>
        <r>
          <rPr>
            <b/>
            <sz val="8"/>
            <color indexed="81"/>
            <rFont val="Tahoma"/>
            <family val="2"/>
          </rPr>
          <t>Author:</t>
        </r>
        <r>
          <rPr>
            <sz val="8"/>
            <color indexed="81"/>
            <rFont val="Tahoma"/>
            <family val="2"/>
          </rPr>
          <t xml:space="preserve">
Not temperature dependent</t>
        </r>
      </text>
    </comment>
    <comment ref="B16" authorId="0" shapeId="0" xr:uid="{00000000-0006-0000-0000-000014000000}">
      <text>
        <r>
          <rPr>
            <b/>
            <sz val="8"/>
            <color indexed="81"/>
            <rFont val="Tahoma"/>
            <family val="2"/>
          </rPr>
          <t>Author:</t>
        </r>
        <r>
          <rPr>
            <sz val="8"/>
            <color indexed="81"/>
            <rFont val="Tahoma"/>
            <family val="2"/>
          </rPr>
          <t xml:space="preserve">
IPCC TAR WGI, p187 gives 25% of emissions. This parameter is % of emissions to air.
</t>
        </r>
      </text>
    </comment>
    <comment ref="C17" authorId="0" shapeId="0" xr:uid="{00000000-0006-0000-0000-000015000000}">
      <text>
        <r>
          <rPr>
            <b/>
            <sz val="8"/>
            <color indexed="81"/>
            <rFont val="Tahoma"/>
            <family val="2"/>
          </rPr>
          <t>Author:</t>
        </r>
        <r>
          <rPr>
            <sz val="8"/>
            <color indexed="81"/>
            <rFont val="Tahoma"/>
            <family val="2"/>
          </rPr>
          <t xml:space="preserve">
All emissions get into atmosphere</t>
        </r>
      </text>
    </comment>
    <comment ref="D17" authorId="0" shapeId="0" xr:uid="{00000000-0006-0000-0000-000016000000}">
      <text>
        <r>
          <rPr>
            <b/>
            <sz val="8"/>
            <color indexed="81"/>
            <rFont val="Tahoma"/>
            <family val="2"/>
          </rPr>
          <t>Author:</t>
        </r>
        <r>
          <rPr>
            <sz val="8"/>
            <color indexed="81"/>
            <rFont val="Tahoma"/>
            <family val="2"/>
          </rPr>
          <t xml:space="preserve">
All emissions get into atmosphere</t>
        </r>
      </text>
    </comment>
    <comment ref="E17" authorId="0" shapeId="0" xr:uid="{00000000-0006-0000-0000-000017000000}">
      <text>
        <r>
          <rPr>
            <b/>
            <sz val="8"/>
            <color indexed="81"/>
            <rFont val="Tahoma"/>
            <family val="2"/>
          </rPr>
          <t>Author:</t>
        </r>
        <r>
          <rPr>
            <sz val="8"/>
            <color indexed="81"/>
            <rFont val="Tahoma"/>
            <family val="2"/>
          </rPr>
          <t xml:space="preserve">
All emissions get into atmosphere</t>
        </r>
      </text>
    </comment>
    <comment ref="A18" authorId="0" shapeId="0" xr:uid="{00000000-0006-0000-0000-000018000000}">
      <text>
        <r>
          <rPr>
            <b/>
            <sz val="8"/>
            <color indexed="81"/>
            <rFont val="Tahoma"/>
            <family val="2"/>
          </rPr>
          <t>Charles Griffiths:</t>
        </r>
        <r>
          <rPr>
            <sz val="8"/>
            <color indexed="81"/>
            <rFont val="Tahoma"/>
            <family val="2"/>
          </rPr>
          <t xml:space="preserve">
of atmospheric residence. CH4 and SF6 half life set to a very small value so that the radiative forcing can be included in the Excess forcing vector.</t>
        </r>
      </text>
    </comment>
    <comment ref="A19" authorId="0" shapeId="0" xr:uid="{00000000-0006-0000-0000-000019000000}">
      <text>
        <r>
          <rPr>
            <b/>
            <sz val="8"/>
            <color indexed="81"/>
            <rFont val="Tahoma"/>
            <family val="2"/>
          </rPr>
          <t>Charles Griffiths:</t>
        </r>
        <r>
          <rPr>
            <sz val="8"/>
            <color indexed="81"/>
            <rFont val="Tahoma"/>
            <family val="2"/>
          </rPr>
          <t xml:space="preserve">
CH4 and SF6 concentrations set to pre-industrial level (plus a small epsilon to avoid dividing by zero) so that they can be included in the Excess forcing vector.</t>
        </r>
      </text>
    </comment>
    <comment ref="B19" authorId="0" shapeId="0" xr:uid="{00000000-0006-0000-0000-00001A000000}">
      <text>
        <r>
          <rPr>
            <b/>
            <sz val="8"/>
            <color indexed="81"/>
            <rFont val="Tahoma"/>
            <family val="2"/>
          </rPr>
          <t>Author:</t>
        </r>
        <r>
          <rPr>
            <sz val="8"/>
            <color indexed="81"/>
            <rFont val="Tahoma"/>
            <family val="2"/>
          </rPr>
          <t xml:space="preserve">
Base year (2000) CO2 concentrations (in ppb) based on NOAA ESRL data ftp://ftp.cmdl.noaa.gov/ccg/co2/trends/co2_annmean_mlo.txt.
PAGE2002 used 367000 based on TAR.
PAGE09 uses a base year (2008) concentration of 395000, which is higher than NOAA's estimate of 385570.</t>
        </r>
      </text>
    </comment>
    <comment ref="A20" authorId="0" shapeId="0" xr:uid="{00000000-0006-0000-0000-00001B000000}">
      <text>
        <r>
          <rPr>
            <b/>
            <sz val="8"/>
            <color indexed="81"/>
            <rFont val="Tahoma"/>
            <family val="2"/>
          </rPr>
          <t>Author:</t>
        </r>
        <r>
          <rPr>
            <sz val="8"/>
            <color indexed="81"/>
            <rFont val="Tahoma"/>
            <family val="2"/>
          </rPr>
          <t xml:space="preserve">
to base year </t>
        </r>
      </text>
    </comment>
    <comment ref="B20" authorId="0" shapeId="0" xr:uid="{00000000-0006-0000-0000-00001C000000}">
      <text>
        <r>
          <rPr>
            <b/>
            <sz val="8"/>
            <color indexed="81"/>
            <rFont val="Tahoma"/>
            <family val="2"/>
          </rPr>
          <t>Author:</t>
        </r>
        <r>
          <rPr>
            <sz val="8"/>
            <color indexed="81"/>
            <rFont val="Tahoma"/>
            <family val="2"/>
          </rPr>
          <t xml:space="preserve">
Used PAGE2002 value based on WGI, p192. Central value of 490 PgC multiplied by 44/12 to convert to CO2.
</t>
        </r>
      </text>
    </comment>
    <comment ref="A21" authorId="0" shapeId="0" xr:uid="{00000000-0006-0000-0000-00001D000000}">
      <text>
        <r>
          <rPr>
            <b/>
            <sz val="8"/>
            <color indexed="81"/>
            <rFont val="Tahoma"/>
            <family val="2"/>
          </rPr>
          <t>Charles Griffiths:</t>
        </r>
        <r>
          <rPr>
            <sz val="8"/>
            <color indexed="81"/>
            <rFont val="Tahoma"/>
            <family val="2"/>
          </rPr>
          <t xml:space="preserve">
CH4, N20, and Lin base year forcing set to zero so that the radiative forcing can be included in the excess forcing vector.</t>
        </r>
      </text>
    </comment>
    <comment ref="B21" authorId="0" shapeId="0" xr:uid="{00000000-0006-0000-0000-00001E000000}">
      <text>
        <r>
          <rPr>
            <b/>
            <sz val="8"/>
            <color indexed="81"/>
            <rFont val="Tahoma"/>
            <family val="2"/>
          </rPr>
          <t>Author:</t>
        </r>
        <r>
          <rPr>
            <sz val="8"/>
            <color indexed="81"/>
            <rFont val="Tahoma"/>
            <family val="2"/>
          </rPr>
          <t xml:space="preserve">
Based on EMF-22 (MiniCAM).</t>
        </r>
      </text>
    </comment>
    <comment ref="C23" authorId="0" shapeId="0" xr:uid="{00000000-0006-0000-0000-00001F000000}">
      <text>
        <r>
          <rPr>
            <b/>
            <sz val="8"/>
            <color indexed="81"/>
            <rFont val="Tahoma"/>
            <family val="2"/>
          </rPr>
          <t>Author:</t>
        </r>
        <r>
          <rPr>
            <sz val="8"/>
            <color indexed="81"/>
            <rFont val="Tahoma"/>
            <family val="2"/>
          </rPr>
          <t xml:space="preserve">
EU now EU27. EE reduced by same amount. LA now includes Antarctica. All others unchanged from from PAGE2002.
</t>
        </r>
      </text>
    </comment>
    <comment ref="D23" authorId="0" shapeId="0" xr:uid="{00000000-0006-0000-0000-000020000000}">
      <text>
        <r>
          <rPr>
            <b/>
            <sz val="8"/>
            <color indexed="81"/>
            <rFont val="Tahoma"/>
            <family val="2"/>
          </rPr>
          <t>Author:</t>
        </r>
        <r>
          <rPr>
            <sz val="8"/>
            <color indexed="81"/>
            <rFont val="Tahoma"/>
            <family val="2"/>
          </rPr>
          <t xml:space="preserve">
- Total is $32.5 trillion in 2000 (2000$) based on EMF-22 (550 Average) and using market exchange rates not PPP.
- PAGE09 had a total of $63.2 trillion in 2008 (2005$) based on PPP from World Economic Outlook 2008, adjusted to $2005.
- EU and US match EMF-22 values. Other regions scaled by PAGE2002 proportions because they reflect 2000 base year. PAGE09 uses a base year of 2008 which would produce incorrrect scaling factors.</t>
        </r>
      </text>
    </comment>
    <comment ref="E23" authorId="0" shapeId="0" xr:uid="{00000000-0006-0000-0000-000021000000}">
      <text>
        <r>
          <rPr>
            <b/>
            <sz val="8"/>
            <color indexed="81"/>
            <rFont val="Tahoma"/>
            <family val="2"/>
          </rPr>
          <t>Author:</t>
        </r>
        <r>
          <rPr>
            <sz val="8"/>
            <color indexed="81"/>
            <rFont val="Tahoma"/>
            <family val="2"/>
          </rPr>
          <t xml:space="preserve">
- Total is 6.05 billion in 2000 based on EMF-22 (550 Average).
- PAGE09 had a total of 6,847 million based on UN figures (http://www.un.org/esa/population).
- EU and US match EMF-22 values. Other regions scaled by PAGE2002 proportions because they reflect 2000 base year. PAGE09 uses a base year of 2008 which would produce incorrrect scaling factors.</t>
        </r>
      </text>
    </comment>
    <comment ref="F23" authorId="0" shapeId="0" xr:uid="{00000000-0006-0000-0000-000022000000}">
      <text>
        <r>
          <rPr>
            <b/>
            <sz val="8"/>
            <color indexed="81"/>
            <rFont val="Tahoma"/>
            <family val="2"/>
          </rPr>
          <t>Author:</t>
        </r>
        <r>
          <rPr>
            <sz val="8"/>
            <color indexed="81"/>
            <rFont val="Tahoma"/>
            <family val="2"/>
          </rPr>
          <t xml:space="preserve">
- Total is 29,142 Mtonnes in 2000 based on EMF-22 (550 Average).
- PAGE09 had a total of 38,191 Mtonnes in 2008 based on SRES A1B scenario for 2000 plus 80% of rise to 2010.
- EU and US match EMF-22 values. Other regions scaled by PAGE2002 proportions because they reflect 2000 base year. PAGE09 uses a base year of 2008 which would produce incorrrect scaling factors.</t>
        </r>
      </text>
    </comment>
    <comment ref="G23" authorId="0" shapeId="0" xr:uid="{00000000-0006-0000-0000-000023000000}">
      <text>
        <r>
          <rPr>
            <b/>
            <sz val="8"/>
            <color indexed="81"/>
            <rFont val="Tahoma"/>
            <family val="2"/>
          </rPr>
          <t xml:space="preserve">Charles Griffiths:
</t>
        </r>
        <r>
          <rPr>
            <sz val="8"/>
            <color indexed="81"/>
            <rFont val="Tahoma"/>
            <family val="2"/>
          </rPr>
          <t>Zeroed out and included in non-CO2 forcings</t>
        </r>
      </text>
    </comment>
    <comment ref="H23" authorId="0" shapeId="0" xr:uid="{00000000-0006-0000-0000-000024000000}">
      <text>
        <r>
          <rPr>
            <b/>
            <sz val="8"/>
            <color indexed="81"/>
            <rFont val="Tahoma"/>
            <family val="2"/>
          </rPr>
          <t>Author:</t>
        </r>
        <r>
          <rPr>
            <sz val="8"/>
            <color indexed="81"/>
            <rFont val="Tahoma"/>
            <family val="2"/>
          </rPr>
          <t xml:space="preserve">
Zeroed out and included in non-CO2 forcings</t>
        </r>
      </text>
    </comment>
    <comment ref="I23" authorId="0" shapeId="0" xr:uid="{00000000-0006-0000-0000-000025000000}">
      <text>
        <r>
          <rPr>
            <b/>
            <sz val="8"/>
            <color indexed="81"/>
            <rFont val="Tahoma"/>
            <family val="2"/>
          </rPr>
          <t>Author:</t>
        </r>
        <r>
          <rPr>
            <sz val="8"/>
            <color indexed="81"/>
            <rFont val="Tahoma"/>
            <family val="2"/>
          </rPr>
          <t xml:space="preserve">
Zeroed out and included in non-CO2 forcings</t>
        </r>
      </text>
    </comment>
    <comment ref="J23" authorId="0" shapeId="0" xr:uid="{00000000-0006-0000-0000-000026000000}">
      <text>
        <r>
          <rPr>
            <b/>
            <sz val="8"/>
            <color indexed="81"/>
            <rFont val="Tahoma"/>
            <family val="2"/>
          </rPr>
          <t>Author:</t>
        </r>
        <r>
          <rPr>
            <sz val="8"/>
            <color indexed="81"/>
            <rFont val="Tahoma"/>
            <family val="2"/>
          </rPr>
          <t xml:space="preserve">
- Total and regional split from PAGE2002 for 2000 
- PAGE09 added 80% of A1B scenario rise to 2008.</t>
        </r>
      </text>
    </comment>
    <comment ref="K23" authorId="0" shapeId="0" xr:uid="{00000000-0006-0000-0000-000027000000}">
      <text>
        <r>
          <rPr>
            <b/>
            <sz val="8"/>
            <color indexed="81"/>
            <rFont val="Tahoma"/>
            <family val="2"/>
          </rPr>
          <t>Author:</t>
        </r>
        <r>
          <rPr>
            <sz val="8"/>
            <color indexed="81"/>
            <rFont val="Tahoma"/>
            <family val="2"/>
          </rPr>
          <t xml:space="preserve">
As in PAGE2002.
Middle of range from IPCC TAR WGI, volcanoes and oceans, p296,averaged across the globe. Confirmed by implied range of 25 - 36 TgS for natural emissions in AR4 WG1, ch2, p160</t>
        </r>
      </text>
    </comment>
    <comment ref="L23" authorId="0" shapeId="0" xr:uid="{00000000-0006-0000-0000-000028000000}">
      <text>
        <r>
          <rPr>
            <b/>
            <sz val="8"/>
            <color indexed="81"/>
            <rFont val="Tahoma"/>
            <family val="2"/>
          </rPr>
          <t>Author:</t>
        </r>
        <r>
          <rPr>
            <sz val="8"/>
            <color indexed="81"/>
            <rFont val="Tahoma"/>
            <family val="2"/>
          </rPr>
          <t xml:space="preserve">
From figure 3.9 of IPCC AR4 WG1 p 250. Consistent with global mean temperature rise of 0.75 degC.</t>
        </r>
      </text>
    </comment>
    <comment ref="M23" authorId="0" shapeId="0" xr:uid="{00000000-0006-0000-0000-000029000000}">
      <text>
        <r>
          <rPr>
            <b/>
            <sz val="8"/>
            <color indexed="81"/>
            <rFont val="Tahoma"/>
            <family val="2"/>
          </rPr>
          <t>Author:</t>
        </r>
        <r>
          <rPr>
            <sz val="8"/>
            <color indexed="81"/>
            <rFont val="Tahoma"/>
            <family val="2"/>
          </rPr>
          <t xml:space="preserve">
Effective absolute latitude of region. From examination of world maps.</t>
        </r>
      </text>
    </comment>
    <comment ref="A31" authorId="0" shapeId="0" xr:uid="{00000000-0006-0000-0000-00002A000000}">
      <text>
        <r>
          <rPr>
            <b/>
            <sz val="8"/>
            <color indexed="81"/>
            <rFont val="Tahoma"/>
            <family val="2"/>
          </rPr>
          <t>Author:</t>
        </r>
        <r>
          <rPr>
            <sz val="8"/>
            <color indexed="81"/>
            <rFont val="Tahoma"/>
            <family val="2"/>
          </rPr>
          <t xml:space="preserve">
includes Antarctica</t>
        </r>
      </text>
    </comment>
    <comment ref="A34" authorId="0" shapeId="0" xr:uid="{00000000-0006-0000-0000-00002B000000}">
      <text>
        <r>
          <rPr>
            <b/>
            <sz val="8"/>
            <color indexed="81"/>
            <rFont val="Tahoma"/>
            <family val="2"/>
          </rPr>
          <t>Author:</t>
        </r>
        <r>
          <rPr>
            <sz val="8"/>
            <color indexed="81"/>
            <rFont val="Tahoma"/>
            <family val="2"/>
          </rPr>
          <t xml:space="preserve">
- Based on EMF-22 (MiniCAM). 
- EU and US match EMF-22 growth rates. Other regions base on regional GDP scaled by PAGE2002 proportions (to reflect 2000 base year). This produces the same growth rate for each region (except EU and US), but this is what was done in first SCC exercise.
- PAGE09 used the A1 (AIM)  marker scenario to 2100, SRES Appendix VII, adapted to ppp rates as shown in 'market and ppp rates_A1B.xls'. Then all regions at world average for 2080-2100.
</t>
        </r>
      </text>
    </comment>
    <comment ref="A45" authorId="0" shapeId="0" xr:uid="{00000000-0006-0000-0000-00002C000000}">
      <text>
        <r>
          <rPr>
            <b/>
            <sz val="8"/>
            <color indexed="81"/>
            <rFont val="Tahoma"/>
            <family val="2"/>
          </rPr>
          <t>Author:</t>
        </r>
        <r>
          <rPr>
            <sz val="8"/>
            <color indexed="81"/>
            <rFont val="Tahoma"/>
            <family val="2"/>
          </rPr>
          <t xml:space="preserve">
- Based on EMF-22 (MiniCAM). 
- EU and US match EMF-22 growth rates. Other regions base on regional GDP scaled by PAGE2002 proportions (to reflect 2000 base year). This produces the same growth rate for each region (except EU and US), but this is what was done in first SCC exercise.
- PAGE09 used the A1B scenario up to 2100. Then all regions at zero. http://www.iiasa.ac.at/Research/POP/IPCC/ipcc_sres.html
See scena2populationtotals.xls</t>
        </r>
      </text>
    </comment>
    <comment ref="A56" authorId="0" shapeId="0" xr:uid="{00000000-0006-0000-0000-00002D000000}">
      <text>
        <r>
          <rPr>
            <b/>
            <sz val="8"/>
            <color indexed="81"/>
            <rFont val="Tahoma"/>
            <family val="2"/>
          </rPr>
          <t>Author:</t>
        </r>
        <r>
          <rPr>
            <sz val="8"/>
            <color indexed="81"/>
            <rFont val="Tahoma"/>
            <family val="2"/>
          </rPr>
          <t xml:space="preserve">
Consumption discount rates for costs.  Only used if equity switch for costs is set to zero.
Discount rates are ptp + elasticity of utility*per capita growth rates.</t>
        </r>
      </text>
    </comment>
    <comment ref="A67" authorId="0" shapeId="0" xr:uid="{00000000-0006-0000-0000-00002E000000}">
      <text>
        <r>
          <rPr>
            <b/>
            <sz val="8"/>
            <color indexed="81"/>
            <rFont val="Tahoma"/>
            <family val="2"/>
          </rPr>
          <t>Author:</t>
        </r>
        <r>
          <rPr>
            <sz val="8"/>
            <color indexed="81"/>
            <rFont val="Tahoma"/>
            <family val="2"/>
          </rPr>
          <t xml:space="preserve">
A1B marker scenario values re-based to 2008, from PAGE2002_A1B calibration corrected.xls.
</t>
        </r>
      </text>
    </comment>
    <comment ref="B104" authorId="0" shapeId="0" xr:uid="{00000000-0006-0000-0000-00002F000000}">
      <text>
        <r>
          <rPr>
            <b/>
            <sz val="8"/>
            <color indexed="81"/>
            <rFont val="Tahoma"/>
            <family val="2"/>
          </rPr>
          <t>Author:</t>
        </r>
        <r>
          <rPr>
            <sz val="8"/>
            <color indexed="81"/>
            <rFont val="Tahoma"/>
            <family val="2"/>
          </rPr>
          <t xml:space="preserve">
- Non-CO2 radiative forcings in 2000, excluding sulfates.
- PAGE09 used SRES A1B scenario Trop O3, BC Aerosols, OC aerosols, CFCs and HCFCs for 2008.</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4" authorId="0" shapeId="0" xr:uid="{108AAA4B-F1E8-4B79-B5EF-210581CEABA8}">
      <text/>
    </comment>
    <comment ref="G4" authorId="0" shapeId="0" xr:uid="{00000000-0006-0000-0100-000001000000}">
      <text>
        <r>
          <rPr>
            <b/>
            <sz val="8"/>
            <color indexed="81"/>
            <rFont val="Tahoma"/>
            <family val="2"/>
          </rPr>
          <t>Author:</t>
        </r>
        <r>
          <rPr>
            <sz val="8"/>
            <color indexed="81"/>
            <rFont val="Tahoma"/>
            <family val="2"/>
          </rPr>
          <t xml:space="preserve">
Gives good simulation of concentrations in A2 and 450 scenarios from FUND, RICE and MERGE.</t>
        </r>
      </text>
    </comment>
    <comment ref="C5" authorId="0" shapeId="0" xr:uid="{48EDD105-CE54-4CD7-BD5D-4F7D6A7C4323}">
      <text/>
    </comment>
    <comment ref="G5" authorId="0" shapeId="0" xr:uid="{00000000-0006-0000-0100-000002000000}">
      <text>
        <r>
          <rPr>
            <b/>
            <sz val="8"/>
            <color indexed="81"/>
            <rFont val="Tahoma"/>
            <family val="2"/>
          </rPr>
          <t>Author:</t>
        </r>
        <r>
          <rPr>
            <sz val="8"/>
            <color indexed="81"/>
            <rFont val="Tahoma"/>
            <family val="2"/>
          </rPr>
          <t xml:space="preserve">
Gives good simulation of concentrations in A2 and 450 scenarios from FUND, RICE and MERGE.</t>
        </r>
      </text>
    </comment>
    <comment ref="C6" authorId="0" shapeId="0" xr:uid="{79B31D53-EF81-442A-9B46-1FEE72F2567C}">
      <text/>
    </comment>
    <comment ref="G6" authorId="0" shapeId="0" xr:uid="{00000000-0006-0000-0100-000003000000}">
      <text>
        <r>
          <rPr>
            <b/>
            <sz val="8"/>
            <color indexed="81"/>
            <rFont val="Tahoma"/>
            <family val="2"/>
          </rPr>
          <t>Author:</t>
        </r>
        <r>
          <rPr>
            <sz val="8"/>
            <color indexed="81"/>
            <rFont val="Tahoma"/>
            <family val="2"/>
          </rPr>
          <t xml:space="preserve">
Adapted slightly from IPCC 4AR WGI p749, to make SENS compatible with current thinking.</t>
        </r>
      </text>
    </comment>
    <comment ref="C7" authorId="0" shapeId="0" xr:uid="{A4339229-8A04-4289-9C80-D082921BFDF8}">
      <text/>
    </comment>
    <comment ref="G7" authorId="0" shapeId="0" xr:uid="{00000000-0006-0000-0100-000004000000}">
      <text>
        <r>
          <rPr>
            <b/>
            <sz val="8"/>
            <color indexed="81"/>
            <rFont val="Tahoma"/>
            <family val="2"/>
          </rPr>
          <t>Author:</t>
        </r>
        <r>
          <rPr>
            <sz val="8"/>
            <color indexed="81"/>
            <rFont val="Tahoma"/>
            <family val="2"/>
          </rPr>
          <t xml:space="preserve">
Matches size and range of feedback from Friedlingstein et al.</t>
        </r>
      </text>
    </comment>
    <comment ref="C8" authorId="0" shapeId="0" xr:uid="{D57D9857-415A-43CF-9727-2A6CC566194C}">
      <text/>
    </comment>
    <comment ref="G8" authorId="0" shapeId="0" xr:uid="{00000000-0006-0000-0100-000005000000}">
      <text>
        <r>
          <rPr>
            <b/>
            <sz val="8"/>
            <color indexed="81"/>
            <rFont val="Tahoma"/>
            <family val="2"/>
          </rPr>
          <t>Author:</t>
        </r>
        <r>
          <rPr>
            <sz val="8"/>
            <color indexed="81"/>
            <rFont val="Tahoma"/>
            <family val="2"/>
          </rPr>
          <t xml:space="preserve">
Matches size and range of feedback from vanVuuren et al.</t>
        </r>
      </text>
    </comment>
    <comment ref="C9" authorId="0" shapeId="0" xr:uid="{C5B05223-CD99-4725-A405-C9473123CE22}">
      <text/>
    </comment>
    <comment ref="G9" authorId="0" shapeId="0" xr:uid="{00000000-0006-0000-0100-000006000000}">
      <text>
        <r>
          <rPr>
            <b/>
            <sz val="8"/>
            <color indexed="81"/>
            <rFont val="Tahoma"/>
            <family val="2"/>
          </rPr>
          <t>Author:</t>
        </r>
        <r>
          <rPr>
            <sz val="8"/>
            <color indexed="81"/>
            <rFont val="Tahoma"/>
            <family val="2"/>
          </rPr>
          <t xml:space="preserve">
IPCC AR4 WG1 table S8.1</t>
        </r>
      </text>
    </comment>
    <comment ref="C10" authorId="0" shapeId="0" xr:uid="{06FB7B06-F270-4DDA-A6F1-656F25908087}">
      <text/>
    </comment>
    <comment ref="G10" authorId="0" shapeId="0" xr:uid="{00000000-0006-0000-0100-000007000000}">
      <text>
        <r>
          <rPr>
            <b/>
            <sz val="8"/>
            <color indexed="81"/>
            <rFont val="Tahoma"/>
            <family val="2"/>
          </rPr>
          <t>Author:</t>
        </r>
        <r>
          <rPr>
            <sz val="8"/>
            <color indexed="81"/>
            <rFont val="Tahoma"/>
            <family val="2"/>
          </rPr>
          <t xml:space="preserve">
IPCC AR4, WGI, ch10, figure 10.8 </t>
        </r>
      </text>
    </comment>
    <comment ref="C11" authorId="0" shapeId="0" xr:uid="{7CE5954C-84A0-4D55-BEC1-BB4EDF165F23}">
      <text/>
    </comment>
    <comment ref="G11" authorId="0" shapeId="0" xr:uid="{00000000-0006-0000-0100-000008000000}">
      <text>
        <r>
          <rPr>
            <b/>
            <sz val="8"/>
            <color indexed="81"/>
            <rFont val="Tahoma"/>
            <family val="2"/>
          </rPr>
          <t>Author:</t>
        </r>
        <r>
          <rPr>
            <sz val="8"/>
            <color indexed="81"/>
            <rFont val="Tahoma"/>
            <family val="2"/>
          </rPr>
          <t xml:space="preserve">
IPCC TAR WGI, p8-9.
Changed units from PAGE2002, but the same effect.</t>
        </r>
      </text>
    </comment>
    <comment ref="C12" authorId="0" shapeId="0" xr:uid="{6D69A536-C4DF-4860-ADA7-717A1580D40B}">
      <text/>
    </comment>
    <comment ref="G12" authorId="0" shapeId="0" xr:uid="{00000000-0006-0000-0100-000009000000}">
      <text>
        <r>
          <rPr>
            <b/>
            <sz val="8"/>
            <color indexed="81"/>
            <rFont val="Tahoma"/>
            <family val="2"/>
          </rPr>
          <t>Author:</t>
        </r>
        <r>
          <rPr>
            <sz val="8"/>
            <color indexed="81"/>
            <rFont val="Tahoma"/>
            <family val="2"/>
          </rPr>
          <t xml:space="preserve">
To match base year global mean forcing of 0 to -2 W/m2, with a most likely value of -1 W/m2 from IPCC TAR WGI, p8-9.
Changed units from PAGE2002, but the same effect.</t>
        </r>
      </text>
    </comment>
    <comment ref="C13" authorId="0" shapeId="0" xr:uid="{814E85C8-AE3C-410B-B31C-F10E6BB2D78B}">
      <text/>
    </comment>
    <comment ref="G13" authorId="0" shapeId="0" xr:uid="{00000000-0006-0000-0100-00000A000000}">
      <text>
        <r>
          <rPr>
            <b/>
            <sz val="8"/>
            <color indexed="81"/>
            <rFont val="Tahoma"/>
            <family val="2"/>
          </rPr>
          <t>Author:</t>
        </r>
        <r>
          <rPr>
            <sz val="8"/>
            <color indexed="81"/>
            <rFont val="Tahoma"/>
            <family val="2"/>
          </rPr>
          <t xml:space="preserve">
From IPCC AR4 WGI fig 6.10</t>
        </r>
      </text>
    </comment>
    <comment ref="C14" authorId="0" shapeId="0" xr:uid="{506AFBEE-703D-40D4-B002-48EFF81C4BAC}">
      <text/>
    </comment>
    <comment ref="G14" authorId="0" shapeId="0" xr:uid="{00000000-0006-0000-0100-00000B000000}">
      <text>
        <r>
          <rPr>
            <b/>
            <sz val="8"/>
            <color indexed="81"/>
            <rFont val="Tahoma"/>
            <family val="2"/>
          </rPr>
          <t>Author:</t>
        </r>
        <r>
          <rPr>
            <sz val="8"/>
            <color indexed="81"/>
            <rFont val="Tahoma"/>
            <family val="2"/>
          </rPr>
          <t xml:space="preserve">
Consistent with Grinsted et al, 2009.</t>
        </r>
      </text>
    </comment>
    <comment ref="C15" authorId="0" shapeId="0" xr:uid="{27DFF208-1438-4306-BB61-67B26C7A5CBC}">
      <text/>
    </comment>
    <comment ref="G15" authorId="0" shapeId="0" xr:uid="{00000000-0006-0000-0100-00000C000000}">
      <text>
        <r>
          <rPr>
            <b/>
            <sz val="8"/>
            <color indexed="81"/>
            <rFont val="Tahoma"/>
            <family val="2"/>
          </rPr>
          <t>Author:</t>
        </r>
        <r>
          <rPr>
            <sz val="8"/>
            <color indexed="81"/>
            <rFont val="Tahoma"/>
            <family val="2"/>
          </rPr>
          <t xml:space="preserve">
Consistent with Grinsted et al, 2009.</t>
        </r>
      </text>
    </comment>
    <comment ref="C16" authorId="0" shapeId="0" xr:uid="{61C69FF0-B4BA-46B7-81F6-C37C2A4A478E}">
      <text/>
    </comment>
    <comment ref="G16" authorId="0" shapeId="0" xr:uid="{00000000-0006-0000-0100-00000D000000}">
      <text>
        <r>
          <rPr>
            <b/>
            <sz val="8"/>
            <color indexed="81"/>
            <rFont val="Tahoma"/>
            <family val="2"/>
          </rPr>
          <t>Author:</t>
        </r>
        <r>
          <rPr>
            <sz val="8"/>
            <color indexed="81"/>
            <rFont val="Tahoma"/>
            <family val="2"/>
          </rPr>
          <t xml:space="preserve">
Consistent with Grinsted et al, 2009.</t>
        </r>
      </text>
    </comment>
    <comment ref="C17" authorId="0" shapeId="0" xr:uid="{EC444326-1AF5-4C02-9741-B8A8685D37E9}">
      <text/>
    </comment>
    <comment ref="G17" authorId="0" shapeId="0" xr:uid="{00000000-0006-0000-0100-00000E000000}">
      <text>
        <r>
          <rPr>
            <b/>
            <sz val="8"/>
            <color indexed="81"/>
            <rFont val="Tahoma"/>
            <family val="2"/>
          </rPr>
          <t>Author:</t>
        </r>
        <r>
          <rPr>
            <sz val="8"/>
            <color indexed="81"/>
            <rFont val="Tahoma"/>
            <family val="2"/>
          </rPr>
          <t xml:space="preserve">
Reduced from PAGE2002, to make SENS distribution compatible with current thinking.</t>
        </r>
      </text>
    </comment>
    <comment ref="C18" authorId="0" shapeId="0" xr:uid="{00000000-0006-0000-0100-00000F000000}">
      <text>
        <r>
          <rPr>
            <b/>
            <sz val="8"/>
            <color indexed="81"/>
            <rFont val="Tahoma"/>
            <family val="2"/>
          </rPr>
          <t>Author:</t>
        </r>
        <r>
          <rPr>
            <sz val="8"/>
            <color indexed="81"/>
            <rFont val="Tahoma"/>
            <family val="2"/>
          </rPr>
          <t xml:space="preserve">
Based on Roe and Baker (Science 2007)
pdf = 1/(1-x) with x normally distributed
Constrained to match IPCC values
  mode = 3
  density between 1.5 and 4 = 66%
Truncated at 10 degrees.</t>
        </r>
      </text>
    </comment>
    <comment ref="C21" authorId="0" shapeId="0" xr:uid="{65EA72D3-365E-4DA2-A486-363D51788992}">
      <text/>
    </comment>
    <comment ref="G21" authorId="0" shapeId="0" xr:uid="{00000000-0006-0000-0100-000010000000}">
      <text>
        <r>
          <rPr>
            <b/>
            <sz val="8"/>
            <color indexed="81"/>
            <rFont val="Tahoma"/>
            <family val="2"/>
          </rPr>
          <t>Author:</t>
        </r>
        <r>
          <rPr>
            <sz val="8"/>
            <color indexed="81"/>
            <rFont val="Tahoma"/>
            <family val="2"/>
          </rPr>
          <t xml:space="preserve">
From Ackerman et al</t>
        </r>
      </text>
    </comment>
    <comment ref="C22" authorId="0" shapeId="0" xr:uid="{FD1FAC21-C344-4024-9BE4-68DE4E461EA3}">
      <text/>
    </comment>
    <comment ref="G22" authorId="0" shapeId="0" xr:uid="{00000000-0006-0000-0100-000011000000}">
      <text>
        <r>
          <rPr>
            <b/>
            <sz val="8"/>
            <color indexed="81"/>
            <rFont val="Tahoma"/>
            <family val="2"/>
          </rPr>
          <t>Author:</t>
        </r>
        <r>
          <rPr>
            <sz val="8"/>
            <color indexed="81"/>
            <rFont val="Tahoma"/>
            <family val="2"/>
          </rPr>
          <t xml:space="preserve">
From Ackerman et al</t>
        </r>
      </text>
    </comment>
    <comment ref="C25" authorId="0" shapeId="0" xr:uid="{06934619-1D97-4B18-9920-2DB6837536B3}">
      <text/>
    </comment>
    <comment ref="C26" authorId="0" shapeId="0" xr:uid="{A8256308-3DFB-448E-9102-F544A87DE484}">
      <text/>
    </comment>
    <comment ref="G26" authorId="0" shapeId="0" xr:uid="{00000000-0006-0000-0100-000012000000}">
      <text>
        <r>
          <rPr>
            <b/>
            <sz val="8"/>
            <color indexed="81"/>
            <rFont val="Tahoma"/>
            <family val="2"/>
          </rPr>
          <t>Author:</t>
        </r>
        <r>
          <rPr>
            <sz val="8"/>
            <color indexed="81"/>
            <rFont val="Tahoma"/>
            <family val="2"/>
          </rPr>
          <t xml:space="preserve">
From Nicholls et al simulated in SL rise impacts.xls</t>
        </r>
      </text>
    </comment>
    <comment ref="C27" authorId="0" shapeId="0" xr:uid="{08223A9B-D65E-483E-87FF-2244D900EFE5}">
      <text/>
    </comment>
    <comment ref="G27" authorId="0" shapeId="0" xr:uid="{00000000-0006-0000-0100-000013000000}">
      <text>
        <r>
          <rPr>
            <b/>
            <sz val="8"/>
            <color indexed="81"/>
            <rFont val="Tahoma"/>
            <family val="2"/>
          </rPr>
          <t>Author:</t>
        </r>
        <r>
          <rPr>
            <sz val="8"/>
            <color indexed="81"/>
            <rFont val="Tahoma"/>
            <family val="2"/>
          </rPr>
          <t xml:space="preserve">
Approximate best guess for a doubling of CO2 concentration.</t>
        </r>
      </text>
    </comment>
    <comment ref="C28" authorId="0" shapeId="0" xr:uid="{91E2327B-A39E-45AE-A646-E8EE11CC4885}">
      <text/>
    </comment>
    <comment ref="G28" authorId="0" shapeId="0" xr:uid="{00000000-0006-0000-0100-000014000000}">
      <text>
        <r>
          <rPr>
            <b/>
            <sz val="8"/>
            <color indexed="81"/>
            <rFont val="Tahoma"/>
            <family val="2"/>
          </rPr>
          <t>Author:</t>
        </r>
        <r>
          <rPr>
            <sz val="8"/>
            <color indexed="81"/>
            <rFont val="Tahoma"/>
            <family val="2"/>
          </rPr>
          <t xml:space="preserve">
From Nicholls et al simulated in SL rise impacts.xls</t>
        </r>
      </text>
    </comment>
    <comment ref="C29" authorId="0" shapeId="0" xr:uid="{2EFDA4C7-7B87-4BD2-96CD-D84105DE89FB}">
      <text/>
    </comment>
    <comment ref="G29" authorId="0" shapeId="0" xr:uid="{00000000-0006-0000-0100-000015000000}">
      <text>
        <r>
          <rPr>
            <b/>
            <sz val="8"/>
            <color indexed="81"/>
            <rFont val="Tahoma"/>
            <family val="2"/>
          </rPr>
          <t>Author:</t>
        </r>
        <r>
          <rPr>
            <sz val="8"/>
            <color indexed="81"/>
            <rFont val="Tahoma"/>
            <family val="2"/>
          </rPr>
          <t xml:space="preserve">
From Nicholls et al simulated in SL rise impacts.xls</t>
        </r>
      </text>
    </comment>
    <comment ref="C30" authorId="0" shapeId="0" xr:uid="{4F190DFC-CA6D-4281-BF94-269C97AE6521}">
      <text/>
    </comment>
    <comment ref="G30" authorId="0" shapeId="0" xr:uid="{00000000-0006-0000-0100-000016000000}">
      <text>
        <r>
          <rPr>
            <b/>
            <sz val="8"/>
            <color indexed="81"/>
            <rFont val="Tahoma"/>
            <family val="2"/>
          </rPr>
          <t>Author:</t>
        </r>
        <r>
          <rPr>
            <sz val="8"/>
            <color indexed="81"/>
            <rFont val="Tahoma"/>
            <family val="2"/>
          </rPr>
          <t xml:space="preserve">
From Nicholls et al simulated in SL rise impacts.xls</t>
        </r>
      </text>
    </comment>
    <comment ref="C31" authorId="0" shapeId="0" xr:uid="{C563C364-0736-4CFC-8AE7-85E2C9F484EE}">
      <text/>
    </comment>
    <comment ref="G31" authorId="0" shapeId="0" xr:uid="{00000000-0006-0000-0100-000017000000}">
      <text>
        <r>
          <rPr>
            <b/>
            <sz val="8"/>
            <color indexed="81"/>
            <rFont val="Tahoma"/>
            <family val="2"/>
          </rPr>
          <t>Author:</t>
        </r>
        <r>
          <rPr>
            <sz val="8"/>
            <color indexed="81"/>
            <rFont val="Tahoma"/>
            <family val="2"/>
          </rPr>
          <t xml:space="preserve">
From Nicholls et al simulated in SL rise impacts.xls</t>
        </r>
      </text>
    </comment>
    <comment ref="C32" authorId="0" shapeId="0" xr:uid="{9704A5E2-2615-467F-A47D-6926AC2458D8}">
      <text/>
    </comment>
    <comment ref="G32" authorId="0" shapeId="0" xr:uid="{00000000-0006-0000-0100-000018000000}">
      <text>
        <r>
          <rPr>
            <b/>
            <sz val="8"/>
            <color indexed="81"/>
            <rFont val="Tahoma"/>
            <family val="2"/>
          </rPr>
          <t>Author:</t>
        </r>
        <r>
          <rPr>
            <sz val="8"/>
            <color indexed="81"/>
            <rFont val="Tahoma"/>
            <family val="2"/>
          </rPr>
          <t xml:space="preserve">
Assumed small. Upper end of range from FUND in Warren et al, 2007.</t>
        </r>
      </text>
    </comment>
    <comment ref="C33" authorId="0" shapeId="0" xr:uid="{94CEFC88-B632-4A79-A81A-098537DF9E07}">
      <text/>
    </comment>
    <comment ref="G33" authorId="0" shapeId="0" xr:uid="{00000000-0006-0000-0100-000019000000}">
      <text>
        <r>
          <rPr>
            <b/>
            <sz val="8"/>
            <color indexed="81"/>
            <rFont val="Tahoma"/>
            <family val="2"/>
          </rPr>
          <t>Author:</t>
        </r>
        <r>
          <rPr>
            <sz val="8"/>
            <color indexed="81"/>
            <rFont val="Tahoma"/>
            <family val="2"/>
          </rPr>
          <t xml:space="preserve">
Range from Mastrandrea and FUND in Warren et al, 2007, assuming half of impacts are sea level, one-quarter economic, and one quarter non-economic. Mean total is about 2% of GDP.</t>
        </r>
      </text>
    </comment>
    <comment ref="C34" authorId="0" shapeId="0" xr:uid="{73CFEA20-49EF-481B-B7E1-F1A3656385AB}">
      <text/>
    </comment>
    <comment ref="G34" authorId="0" shapeId="0" xr:uid="{00000000-0006-0000-0100-00001A000000}">
      <text>
        <r>
          <rPr>
            <b/>
            <sz val="8"/>
            <color indexed="81"/>
            <rFont val="Tahoma"/>
            <family val="2"/>
          </rPr>
          <t>Author:</t>
        </r>
        <r>
          <rPr>
            <sz val="8"/>
            <color indexed="81"/>
            <rFont val="Tahoma"/>
            <family val="2"/>
          </rPr>
          <t xml:space="preserve">
From CCC and Ackerman et al.</t>
        </r>
      </text>
    </comment>
    <comment ref="C35" authorId="0" shapeId="0" xr:uid="{5FB9F2DC-342C-49ED-B9DA-CC676CAAD5AF}">
      <text/>
    </comment>
    <comment ref="G35" authorId="0" shapeId="0" xr:uid="{00000000-0006-0000-0100-00001B000000}">
      <text>
        <r>
          <rPr>
            <b/>
            <sz val="8"/>
            <color indexed="81"/>
            <rFont val="Tahoma"/>
            <family val="2"/>
          </rPr>
          <t>Author:</t>
        </r>
        <r>
          <rPr>
            <sz val="8"/>
            <color indexed="81"/>
            <rFont val="Tahoma"/>
            <family val="2"/>
          </rPr>
          <t xml:space="preserve">
Assume a bit less sensitive than sea level</t>
        </r>
      </text>
    </comment>
    <comment ref="C36" authorId="0" shapeId="0" xr:uid="{3FF4B539-BFA1-4FD5-8FE6-E5403DDE7512}">
      <text/>
    </comment>
    <comment ref="G36" authorId="0" shapeId="0" xr:uid="{00000000-0006-0000-0100-00001C000000}">
      <text>
        <r>
          <rPr>
            <b/>
            <sz val="8"/>
            <color indexed="81"/>
            <rFont val="Tahoma"/>
            <family val="2"/>
          </rPr>
          <t>Author:</t>
        </r>
        <r>
          <rPr>
            <sz val="8"/>
            <color indexed="81"/>
            <rFont val="Tahoma"/>
            <family val="2"/>
          </rPr>
          <t xml:space="preserve">
Possibility of small benefit from health.</t>
        </r>
      </text>
    </comment>
    <comment ref="C37" authorId="0" shapeId="0" xr:uid="{C039A38F-FE5A-4E26-BD31-C3EBE217D330}">
      <text/>
    </comment>
    <comment ref="G37" authorId="0" shapeId="0" xr:uid="{00000000-0006-0000-0100-00001D000000}">
      <text>
        <r>
          <rPr>
            <b/>
            <sz val="8"/>
            <color indexed="81"/>
            <rFont val="Tahoma"/>
            <family val="2"/>
          </rPr>
          <t>Author:</t>
        </r>
        <r>
          <rPr>
            <sz val="8"/>
            <color indexed="81"/>
            <rFont val="Tahoma"/>
            <family val="2"/>
          </rPr>
          <t xml:space="preserve">
Range from Mastrandrea and FUND in Warren et al, 2007, assuming half of impacts are sea level, one-quarter economic, and one quarter non-economic. Mean total is about 2% of GDP.</t>
        </r>
      </text>
    </comment>
    <comment ref="C38" authorId="0" shapeId="0" xr:uid="{A2E0F1FC-50F2-4BB1-9920-7FED0BD8513F}">
      <text/>
    </comment>
    <comment ref="G38" authorId="0" shapeId="0" xr:uid="{00000000-0006-0000-0100-00001E000000}">
      <text>
        <r>
          <rPr>
            <b/>
            <sz val="8"/>
            <color indexed="81"/>
            <rFont val="Tahoma"/>
            <family val="2"/>
          </rPr>
          <t>Author:</t>
        </r>
        <r>
          <rPr>
            <sz val="8"/>
            <color indexed="81"/>
            <rFont val="Tahoma"/>
            <family val="2"/>
          </rPr>
          <t xml:space="preserve">
From CCC and Ackerman et al.</t>
        </r>
      </text>
    </comment>
    <comment ref="C39" authorId="0" shapeId="0" xr:uid="{66A7F81D-D0F7-456F-A16F-A9BA7ED36D29}">
      <text/>
    </comment>
    <comment ref="G39" authorId="0" shapeId="0" xr:uid="{00000000-0006-0000-0100-00001F000000}">
      <text>
        <r>
          <rPr>
            <b/>
            <sz val="8"/>
            <color indexed="81"/>
            <rFont val="Tahoma"/>
            <family val="2"/>
          </rPr>
          <t>Author:</t>
        </r>
        <r>
          <rPr>
            <sz val="8"/>
            <color indexed="81"/>
            <rFont val="Tahoma"/>
            <family val="2"/>
          </rPr>
          <t xml:space="preserve">
WTP for ecosystems higher at higher GDP/cap. Assume mirror image of economic.</t>
        </r>
      </text>
    </comment>
    <comment ref="C40" authorId="0" shapeId="0" xr:uid="{25D42037-21D0-4107-9DC8-77517F5AE7EE}">
      <text/>
    </comment>
    <comment ref="G40" authorId="0" shapeId="0" xr:uid="{00000000-0006-0000-0100-000020000000}">
      <text>
        <r>
          <rPr>
            <b/>
            <sz val="8"/>
            <color indexed="81"/>
            <rFont val="Tahoma"/>
            <family val="2"/>
          </rPr>
          <t>Author:</t>
        </r>
        <r>
          <rPr>
            <sz val="8"/>
            <color indexed="81"/>
            <rFont val="Tahoma"/>
            <family val="2"/>
          </rPr>
          <t xml:space="preserve">
Slightly increased from PAGE2002. Upper end from Nordhaus assumption.</t>
        </r>
      </text>
    </comment>
    <comment ref="C41" authorId="0" shapeId="0" xr:uid="{8597B4A7-8FE1-4027-83BC-08FA326F77AE}">
      <text/>
    </comment>
    <comment ref="G41" authorId="0" shapeId="0" xr:uid="{00000000-0006-0000-0100-000021000000}">
      <text>
        <r>
          <rPr>
            <b/>
            <sz val="8"/>
            <color indexed="81"/>
            <rFont val="Tahoma"/>
            <family val="2"/>
          </rPr>
          <t>Author:</t>
        </r>
        <r>
          <rPr>
            <sz val="8"/>
            <color indexed="81"/>
            <rFont val="Tahoma"/>
            <family val="2"/>
          </rPr>
          <t xml:space="preserve">
Assumed same as economic impacts.</t>
        </r>
      </text>
    </comment>
    <comment ref="C42" authorId="0" shapeId="0" xr:uid="{469D58CE-0A6B-43FE-94D1-89BD589576F8}">
      <text/>
    </comment>
    <comment ref="G42" authorId="0" shapeId="0" xr:uid="{00000000-0006-0000-0100-000022000000}">
      <text>
        <r>
          <rPr>
            <b/>
            <sz val="8"/>
            <color indexed="81"/>
            <rFont val="Tahoma"/>
            <family val="2"/>
          </rPr>
          <t>Author:</t>
        </r>
        <r>
          <rPr>
            <sz val="8"/>
            <color indexed="81"/>
            <rFont val="Tahoma"/>
            <family val="2"/>
          </rPr>
          <t xml:space="preserve">
Broad range to cover different types of discontinuity.</t>
        </r>
      </text>
    </comment>
    <comment ref="C43" authorId="0" shapeId="0" xr:uid="{4C9B7326-2854-410F-B6B9-F4E80344EF20}">
      <text/>
    </comment>
    <comment ref="G43" authorId="0" shapeId="0" xr:uid="{00000000-0006-0000-0100-000023000000}">
      <text>
        <r>
          <rPr>
            <b/>
            <sz val="8"/>
            <color indexed="81"/>
            <rFont val="Tahoma"/>
            <family val="2"/>
          </rPr>
          <t>Author:</t>
        </r>
        <r>
          <rPr>
            <sz val="8"/>
            <color indexed="81"/>
            <rFont val="Tahoma"/>
            <family val="2"/>
          </rPr>
          <t xml:space="preserve">
Broad range to cover variety of possibilities for sensitivity to climate.</t>
        </r>
      </text>
    </comment>
    <comment ref="C44" authorId="0" shapeId="0" xr:uid="{80811D80-2DB8-4AFF-9D28-FAF3A0CB06B2}">
      <text/>
    </comment>
    <comment ref="G44" authorId="0" shapeId="0" xr:uid="{00000000-0006-0000-0100-000024000000}">
      <text>
        <r>
          <rPr>
            <b/>
            <sz val="8"/>
            <color indexed="81"/>
            <rFont val="Tahoma"/>
            <family val="2"/>
          </rPr>
          <t>Author:</t>
        </r>
        <r>
          <rPr>
            <sz val="8"/>
            <color indexed="81"/>
            <rFont val="Tahoma"/>
            <family val="2"/>
          </rPr>
          <t xml:space="preserve">
From Weitzman, which has 100 to 1000 times per capita annual consumption. </t>
        </r>
      </text>
    </comment>
    <comment ref="C45" authorId="0" shapeId="0" xr:uid="{EB17CFA1-40B4-4272-AF26-10A3B0B63C14}">
      <text/>
    </comment>
    <comment ref="G45" authorId="0" shapeId="0" xr:uid="{00000000-0006-0000-0100-000025000000}">
      <text>
        <r>
          <rPr>
            <b/>
            <sz val="8"/>
            <color indexed="81"/>
            <rFont val="Tahoma"/>
            <family val="2"/>
          </rPr>
          <t>Author:</t>
        </r>
        <r>
          <rPr>
            <sz val="8"/>
            <color indexed="81"/>
            <rFont val="Tahoma"/>
            <family val="2"/>
          </rPr>
          <t xml:space="preserve">
From Nicholls et al simulated in SL rise impacts.xls decreased slightly for other impacts than sea level.</t>
        </r>
      </text>
    </comment>
    <comment ref="C46" authorId="0" shapeId="0" xr:uid="{9669BE58-B253-4AB9-B26F-9EA096409CEE}">
      <text/>
    </comment>
    <comment ref="G46" authorId="0" shapeId="0" xr:uid="{00000000-0006-0000-0100-000026000000}">
      <text>
        <r>
          <rPr>
            <b/>
            <sz val="8"/>
            <color indexed="81"/>
            <rFont val="Tahoma"/>
            <family val="2"/>
          </rPr>
          <t>Author:</t>
        </r>
        <r>
          <rPr>
            <sz val="8"/>
            <color indexed="81"/>
            <rFont val="Tahoma"/>
            <family val="2"/>
          </rPr>
          <t xml:space="preserve">
From Nicholls et al simulated in SL rise impacts.xls</t>
        </r>
      </text>
    </comment>
    <comment ref="C47" authorId="0" shapeId="0" xr:uid="{C933AFAC-20B2-4F12-8E46-504CC4C91341}">
      <text/>
    </comment>
    <comment ref="G47" authorId="0" shapeId="0" xr:uid="{00000000-0006-0000-0100-000027000000}">
      <text>
        <r>
          <rPr>
            <b/>
            <sz val="8"/>
            <color indexed="81"/>
            <rFont val="Tahoma"/>
            <family val="2"/>
          </rPr>
          <t>Author:</t>
        </r>
        <r>
          <rPr>
            <sz val="8"/>
            <color indexed="81"/>
            <rFont val="Tahoma"/>
            <family val="2"/>
          </rPr>
          <t xml:space="preserve">
From Nicholls et al simulated in SL rise impacts.xls</t>
        </r>
      </text>
    </comment>
    <comment ref="C48" authorId="0" shapeId="0" xr:uid="{606F0D5F-D1E5-4E87-BB67-59CC2B14B49E}">
      <text/>
    </comment>
    <comment ref="G48" authorId="0" shapeId="0" xr:uid="{00000000-0006-0000-0100-000028000000}">
      <text>
        <r>
          <rPr>
            <b/>
            <sz val="8"/>
            <color indexed="81"/>
            <rFont val="Tahoma"/>
            <family val="2"/>
          </rPr>
          <t>Author:</t>
        </r>
        <r>
          <rPr>
            <sz val="8"/>
            <color indexed="81"/>
            <rFont val="Tahoma"/>
            <family val="2"/>
          </rPr>
          <t xml:space="preserve">
From Nicholls et al simulated in SL rise impacts.xls</t>
        </r>
      </text>
    </comment>
    <comment ref="C49" authorId="0" shapeId="0" xr:uid="{A42C2FA7-AFD3-427C-98C3-5880199C0A4A}">
      <text/>
    </comment>
    <comment ref="G49" authorId="0" shapeId="0" xr:uid="{00000000-0006-0000-0100-000029000000}">
      <text>
        <r>
          <rPr>
            <b/>
            <sz val="8"/>
            <color indexed="81"/>
            <rFont val="Tahoma"/>
            <family val="2"/>
          </rPr>
          <t>Author:</t>
        </r>
        <r>
          <rPr>
            <sz val="8"/>
            <color indexed="81"/>
            <rFont val="Tahoma"/>
            <family val="2"/>
          </rPr>
          <t xml:space="preserve">
From Nicholls et al simulated in SL rise impacts.xls increased to allow for high existing temp.</t>
        </r>
      </text>
    </comment>
    <comment ref="C50" authorId="0" shapeId="0" xr:uid="{374135B0-2035-4495-8838-628DF7F007F8}">
      <text/>
    </comment>
    <comment ref="G50" authorId="0" shapeId="0" xr:uid="{00000000-0006-0000-0100-00002A000000}">
      <text>
        <r>
          <rPr>
            <b/>
            <sz val="8"/>
            <color indexed="81"/>
            <rFont val="Tahoma"/>
            <family val="2"/>
          </rPr>
          <t>Author:</t>
        </r>
        <r>
          <rPr>
            <sz val="8"/>
            <color indexed="81"/>
            <rFont val="Tahoma"/>
            <family val="2"/>
          </rPr>
          <t xml:space="preserve">
From Nicholls et al simulated in SL rise impacts.xls increased for other impacts than sea level.</t>
        </r>
      </text>
    </comment>
    <comment ref="C51" authorId="0" shapeId="0" xr:uid="{7F29E703-F853-4F88-B8A7-F3315F80921C}">
      <text/>
    </comment>
    <comment ref="G51" authorId="0" shapeId="0" xr:uid="{00000000-0006-0000-0100-00002B000000}">
      <text>
        <r>
          <rPr>
            <b/>
            <sz val="8"/>
            <color indexed="81"/>
            <rFont val="Tahoma"/>
            <family val="2"/>
          </rPr>
          <t>Author:</t>
        </r>
        <r>
          <rPr>
            <sz val="8"/>
            <color indexed="81"/>
            <rFont val="Tahoma"/>
            <family val="2"/>
          </rPr>
          <t xml:space="preserve">
From Nicholls et al simulated in SL rise impacts.xls</t>
        </r>
      </text>
    </comment>
    <comment ref="C54" authorId="0" shapeId="0" xr:uid="{DCA1EB1B-9E70-402E-8E81-65E4AB625C99}">
      <text/>
    </comment>
    <comment ref="G54" authorId="0" shapeId="0" xr:uid="{00000000-0006-0000-0100-00002C000000}">
      <text>
        <r>
          <rPr>
            <b/>
            <sz val="8"/>
            <color indexed="81"/>
            <rFont val="Tahoma"/>
            <family val="2"/>
          </rPr>
          <t>Author:</t>
        </r>
        <r>
          <rPr>
            <sz val="8"/>
            <color indexed="81"/>
            <rFont val="Tahoma"/>
            <family val="2"/>
          </rPr>
          <t xml:space="preserve">
Calibrated to coastal costs in IIED report.</t>
        </r>
      </text>
    </comment>
    <comment ref="C55" authorId="0" shapeId="0" xr:uid="{21DF6FC7-E1F9-4BC3-8312-F89B911B2371}">
      <text/>
    </comment>
    <comment ref="G55" authorId="0" shapeId="0" xr:uid="{00000000-0006-0000-0100-00002D000000}">
      <text>
        <r>
          <rPr>
            <b/>
            <sz val="8"/>
            <color indexed="81"/>
            <rFont val="Tahoma"/>
            <family val="2"/>
          </rPr>
          <t>Author:</t>
        </r>
        <r>
          <rPr>
            <sz val="8"/>
            <color indexed="81"/>
            <rFont val="Tahoma"/>
            <family val="2"/>
          </rPr>
          <t xml:space="preserve">
Calibrated to coastal costs in IIED report.</t>
        </r>
      </text>
    </comment>
    <comment ref="C56" authorId="0" shapeId="0" xr:uid="{6D05CE6C-6FBE-40CB-9903-B7C6B593DA0E}">
      <text/>
    </comment>
    <comment ref="G56" authorId="0" shapeId="0" xr:uid="{00000000-0006-0000-0100-00002E000000}">
      <text>
        <r>
          <rPr>
            <b/>
            <sz val="8"/>
            <color indexed="81"/>
            <rFont val="Tahoma"/>
            <family val="2"/>
          </rPr>
          <t>Author:</t>
        </r>
        <r>
          <rPr>
            <sz val="8"/>
            <color indexed="81"/>
            <rFont val="Tahoma"/>
            <family val="2"/>
          </rPr>
          <t xml:space="preserve">
Calibrated to give total costs of about $100 - $300 bn per year by 2030 as in IIED report.</t>
        </r>
      </text>
    </comment>
    <comment ref="C57" authorId="0" shapeId="0" xr:uid="{E18AD636-1623-412D-9900-EFDE3E0E5453}">
      <text/>
    </comment>
    <comment ref="G57" authorId="0" shapeId="0" xr:uid="{00000000-0006-0000-0100-00002F000000}">
      <text>
        <r>
          <rPr>
            <b/>
            <sz val="8"/>
            <color indexed="81"/>
            <rFont val="Tahoma"/>
            <family val="2"/>
          </rPr>
          <t>Author:</t>
        </r>
        <r>
          <rPr>
            <sz val="8"/>
            <color indexed="81"/>
            <rFont val="Tahoma"/>
            <family val="2"/>
          </rPr>
          <t xml:space="preserve">
Calibrated to give total costs of about $100 - $300 bn per year by 2030 as in IIED report.</t>
        </r>
      </text>
    </comment>
    <comment ref="C58" authorId="0" shapeId="0" xr:uid="{49B5C31D-4E19-4BE0-A9F7-A05B8AA5FE5B}">
      <text/>
    </comment>
    <comment ref="G58" authorId="0" shapeId="0" xr:uid="{00000000-0006-0000-0100-000030000000}">
      <text>
        <r>
          <rPr>
            <b/>
            <sz val="8"/>
            <color indexed="81"/>
            <rFont val="Tahoma"/>
            <family val="2"/>
          </rPr>
          <t>Author:</t>
        </r>
        <r>
          <rPr>
            <sz val="8"/>
            <color indexed="81"/>
            <rFont val="Tahoma"/>
            <family val="2"/>
          </rPr>
          <t xml:space="preserve">
Calibrated to ecosystem costs in IIED report.</t>
        </r>
      </text>
    </comment>
    <comment ref="C59" authorId="0" shapeId="0" xr:uid="{49DBA3A6-90BB-4BEF-9430-4AB0E61AAB47}">
      <text/>
    </comment>
    <comment ref="G59" authorId="0" shapeId="0" xr:uid="{00000000-0006-0000-0100-000031000000}">
      <text>
        <r>
          <rPr>
            <b/>
            <sz val="8"/>
            <color indexed="81"/>
            <rFont val="Tahoma"/>
            <family val="2"/>
          </rPr>
          <t>Author:</t>
        </r>
        <r>
          <rPr>
            <sz val="8"/>
            <color indexed="81"/>
            <rFont val="Tahoma"/>
            <family val="2"/>
          </rPr>
          <t xml:space="preserve">
Calibrated to ecosystem costs in IIED report.</t>
        </r>
      </text>
    </comment>
    <comment ref="C60" authorId="0" shapeId="0" xr:uid="{788B6698-F1FC-45B0-81F2-46AC52877ED0}">
      <text/>
    </comment>
    <comment ref="G60" authorId="0" shapeId="0" xr:uid="{00000000-0006-0000-0100-000032000000}">
      <text>
        <r>
          <rPr>
            <b/>
            <sz val="8"/>
            <color indexed="81"/>
            <rFont val="Tahoma"/>
            <family val="2"/>
          </rPr>
          <t>Author:</t>
        </r>
        <r>
          <rPr>
            <sz val="8"/>
            <color indexed="81"/>
            <rFont val="Tahoma"/>
            <family val="2"/>
          </rPr>
          <t xml:space="preserve">
All regional weights assumed the same as impact weights.</t>
        </r>
      </text>
    </comment>
    <comment ref="C61" authorId="0" shapeId="0" xr:uid="{125D4850-BF4B-4F86-8811-6DECD385802B}">
      <text/>
    </comment>
    <comment ref="C62" authorId="0" shapeId="0" xr:uid="{760C13C6-6F05-4CD4-BDA0-B7F940F056B6}">
      <text/>
    </comment>
    <comment ref="C63" authorId="0" shapeId="0" xr:uid="{00D785B1-490E-4F0A-96A3-2986B2045507}">
      <text/>
    </comment>
    <comment ref="C64" authorId="0" shapeId="0" xr:uid="{AD0C870F-A041-4598-92A2-9D5CBA4AE954}">
      <text/>
    </comment>
    <comment ref="C65" authorId="0" shapeId="0" xr:uid="{808E988C-0180-4EEA-88F2-7A0495ECBA42}">
      <text/>
    </comment>
    <comment ref="C66" authorId="0" shapeId="0" xr:uid="{3D1A224C-3DFF-4A78-85BE-FDE86F8A527E}">
      <text/>
    </comment>
    <comment ref="C70" authorId="0" shapeId="0" xr:uid="{5B7BDA25-F230-48CC-9D2D-3B8FA5136248}">
      <text/>
    </comment>
    <comment ref="G70" authorId="0" shapeId="0" xr:uid="{00000000-0006-0000-0100-000033000000}">
      <text>
        <r>
          <rPr>
            <b/>
            <sz val="8"/>
            <color indexed="81"/>
            <rFont val="Tahoma"/>
            <family val="2"/>
          </rPr>
          <t>Author:</t>
        </r>
        <r>
          <rPr>
            <sz val="8"/>
            <color indexed="81"/>
            <rFont val="Tahoma"/>
            <family val="2"/>
          </rPr>
          <t xml:space="preserve">
Approximate range of emissions from A1 scenarios.
IPCC TAR WGI p 801.</t>
        </r>
      </text>
    </comment>
    <comment ref="C71" authorId="0" shapeId="0" xr:uid="{05BDE74D-CC39-4F73-BD89-0989F4D5E296}">
      <text/>
    </comment>
    <comment ref="G71" authorId="0" shapeId="0" xr:uid="{00000000-0006-0000-0100-000034000000}">
      <text>
        <r>
          <rPr>
            <b/>
            <sz val="8"/>
            <color indexed="81"/>
            <rFont val="Tahoma"/>
            <family val="2"/>
          </rPr>
          <t>Author:</t>
        </r>
        <r>
          <rPr>
            <sz val="8"/>
            <color indexed="81"/>
            <rFont val="Tahoma"/>
            <family val="2"/>
          </rPr>
          <t xml:space="preserve">
All abatment costs from McKinsey, GAINS, GLOCAF, MIT and EU DG Environment.</t>
        </r>
      </text>
    </comment>
    <comment ref="C72" authorId="0" shapeId="0" xr:uid="{2F131E54-C1D8-4C0C-AD0A-116335991D4A}">
      <text/>
    </comment>
    <comment ref="C73" authorId="0" shapeId="0" xr:uid="{3DCEF0AE-9C65-4D6F-936A-D35BF34925EF}">
      <text/>
    </comment>
    <comment ref="C74" authorId="0" shapeId="0" xr:uid="{E060FADA-427A-4896-87BA-70BC1FCE96DD}">
      <text/>
    </comment>
    <comment ref="C75" authorId="0" shapeId="0" xr:uid="{1B450DA0-AA4C-4BF6-9C17-98DEE52A4C30}">
      <text/>
    </comment>
    <comment ref="C77" authorId="0" shapeId="0" xr:uid="{942755ED-5750-4F00-89DA-CCCBFC515104}">
      <text/>
    </comment>
    <comment ref="C78" authorId="0" shapeId="0" xr:uid="{C3207338-360A-4611-9476-EABE4CD9E524}">
      <text/>
    </comment>
    <comment ref="C79" authorId="0" shapeId="0" xr:uid="{FEDB539C-D191-424D-A17D-760034A5E79A}">
      <text/>
    </comment>
    <comment ref="C80" authorId="0" shapeId="0" xr:uid="{136A3520-75EF-4A04-B416-C9E59C16409A}">
      <text/>
    </comment>
    <comment ref="C81" authorId="0" shapeId="0" xr:uid="{B1ACB1BE-9CE7-47D7-A176-9EE4BC8C84D4}">
      <text/>
    </comment>
    <comment ref="C82" authorId="0" shapeId="0" xr:uid="{55128B6B-D09E-4616-93AC-8342FF6221C5}">
      <text/>
    </comment>
    <comment ref="C84" authorId="0" shapeId="0" xr:uid="{FEC46438-6F18-4762-8046-54C4C9C1BE72}">
      <text/>
    </comment>
    <comment ref="C85" authorId="0" shapeId="0" xr:uid="{6F8D573D-EA18-41C4-8A87-61471749BE89}">
      <text/>
    </comment>
    <comment ref="C86" authorId="0" shapeId="0" xr:uid="{0CDF2987-88C6-41F6-8FAA-68A44EAFB00B}">
      <text/>
    </comment>
    <comment ref="C87" authorId="0" shapeId="0" xr:uid="{C30BDE2F-C5A7-458C-81E1-8DAA23E251B0}">
      <text/>
    </comment>
    <comment ref="C88" authorId="0" shapeId="0" xr:uid="{87E6E937-EC53-4B4F-9FF1-DAFDB6374655}">
      <text/>
    </comment>
    <comment ref="C89" authorId="0" shapeId="0" xr:uid="{C71DA7BB-3BE3-4D3A-87E6-90364FE75D72}">
      <text/>
    </comment>
    <comment ref="C91" authorId="0" shapeId="0" xr:uid="{56E738F2-B387-4E81-BB36-BBCE820D0CA6}">
      <text/>
    </comment>
    <comment ref="C92" authorId="0" shapeId="0" xr:uid="{C9266550-970F-426F-988B-B36C7AB5199C}">
      <text/>
    </comment>
    <comment ref="C93" authorId="0" shapeId="0" xr:uid="{1C90ADBE-C752-4F6C-95B2-382B75B96C42}">
      <text/>
    </comment>
    <comment ref="C94" authorId="0" shapeId="0" xr:uid="{EA0FBE98-7868-4F96-B8CE-80C814400D93}">
      <text/>
    </comment>
    <comment ref="C95" authorId="0" shapeId="0" xr:uid="{960575DC-D03B-4B7C-81A1-7C3280C05BB6}">
      <text/>
    </comment>
    <comment ref="C96" authorId="0" shapeId="0" xr:uid="{8E6CB7B3-F5CF-4160-B239-A53B4B79B261}">
      <text/>
    </comment>
    <comment ref="C98" authorId="0" shapeId="0" xr:uid="{BE8009D8-701D-42A3-AA2F-3D02B7C148A8}">
      <text/>
    </comment>
    <comment ref="C99" authorId="0" shapeId="0" xr:uid="{3499CBA1-AEF6-45C6-AB05-800A50295EFC}">
      <text/>
    </comment>
    <comment ref="C100" authorId="0" shapeId="0" xr:uid="{D7E1066A-53C4-47C8-B9A5-71E368C365CE}">
      <text/>
    </comment>
    <comment ref="C101" authorId="0" shapeId="0" xr:uid="{F1A0B06F-22B8-4EBC-89A2-8623F73BE5EC}">
      <text/>
    </comment>
    <comment ref="C102" authorId="0" shapeId="0" xr:uid="{299AE84A-A62F-47EB-A8B9-35AEDAFAE8D3}">
      <text/>
    </comment>
    <comment ref="C103" authorId="0" shapeId="0" xr:uid="{DEA1B615-2D4B-442E-946F-205724E869A8}">
      <text/>
    </comment>
    <comment ref="C104" authorId="0" shapeId="0" xr:uid="{FC70501C-54C9-4393-A1F6-A6F78D4F23F7}">
      <text/>
    </comment>
    <comment ref="C106" authorId="0" shapeId="0" xr:uid="{78412AC8-C748-4487-BC97-15A238E8431E}">
      <text/>
    </comment>
    <comment ref="C107" authorId="0" shapeId="0" xr:uid="{09530333-497E-4C74-9FA9-BBD2F55523BE}">
      <text/>
    </comment>
    <comment ref="C108" authorId="0" shapeId="0" xr:uid="{846A2653-83FF-4277-8CB2-3618E5FE9647}">
      <text/>
    </comment>
    <comment ref="C109" authorId="0" shapeId="0" xr:uid="{94367AB5-C6B4-4DD0-8660-AD6B257ABA04}">
      <text/>
    </comment>
    <comment ref="C110" authorId="0" shapeId="0" xr:uid="{39EAD446-4C08-4BDD-B36A-0029CC507BF2}">
      <text/>
    </comment>
    <comment ref="C111" authorId="0" shapeId="0" xr:uid="{98391132-A78C-4E98-95EA-0EF4E6F9E0FC}">
      <text/>
    </comment>
    <comment ref="C112" authorId="0" shapeId="0" xr:uid="{36C5C839-2372-45A1-82D6-AED6176FF573}">
      <text/>
    </comment>
    <comment ref="C114" authorId="0" shapeId="0" xr:uid="{8A03606F-6F6C-4531-9497-EEC6D46E23C3}">
      <text/>
    </comment>
    <comment ref="C115" authorId="0" shapeId="0" xr:uid="{86DFAE10-6569-4F8B-8E52-26C457C7C963}">
      <text/>
    </comment>
    <comment ref="C116" authorId="0" shapeId="0" xr:uid="{C8A67E14-6B07-4428-AA43-F571BA2E34CB}">
      <text/>
    </comment>
    <comment ref="C117" authorId="0" shapeId="0" xr:uid="{EDB3AA50-F6F6-4040-9237-0A3C57CC075B}">
      <text/>
    </comment>
    <comment ref="C118" authorId="0" shapeId="0" xr:uid="{393E4F68-A3C0-4CC2-AEBD-A5EB7EC2672E}">
      <text/>
    </comment>
    <comment ref="C119" authorId="0" shapeId="0" xr:uid="{DB66674A-897C-4D69-AAB7-F01B69EAC1BA}">
      <text/>
    </comment>
    <comment ref="C120" authorId="0" shapeId="0" xr:uid="{C13AF2DE-6008-420F-8084-980AB85641C4}">
      <text/>
    </comment>
    <comment ref="C122" authorId="0" shapeId="0" xr:uid="{7A5567E2-8C60-421D-A8ED-2C143D2FA3C6}">
      <text/>
    </comment>
    <comment ref="G122" authorId="0" shapeId="0" xr:uid="{00000000-0006-0000-0100-000035000000}">
      <text>
        <r>
          <rPr>
            <b/>
            <sz val="8"/>
            <color indexed="81"/>
            <rFont val="Tahoma"/>
            <family val="2"/>
          </rPr>
          <t>Author:</t>
        </r>
        <r>
          <rPr>
            <sz val="8"/>
            <color indexed="81"/>
            <rFont val="Tahoma"/>
            <family val="2"/>
          </rPr>
          <t xml:space="preserve">
Assumed to reduce as free cutbacks are taken up.</t>
        </r>
      </text>
    </comment>
    <comment ref="C124" authorId="0" shapeId="0" xr:uid="{1AAFC1A8-19AC-4277-BDF2-B2B4E94F3A32}">
      <text/>
    </comment>
    <comment ref="G124" authorId="0" shapeId="0" xr:uid="{00000000-0006-0000-0100-000036000000}">
      <text>
        <r>
          <rPr>
            <b/>
            <sz val="8"/>
            <color indexed="81"/>
            <rFont val="Tahoma"/>
            <family val="2"/>
          </rPr>
          <t>Author:</t>
        </r>
        <r>
          <rPr>
            <sz val="8"/>
            <color indexed="81"/>
            <rFont val="Tahoma"/>
            <family val="2"/>
          </rPr>
          <t xml:space="preserve">
Eventually becomes possible to cutback more than 100% of emissions with reforestation etc.</t>
        </r>
      </text>
    </comment>
    <comment ref="C126" authorId="0" shapeId="0" xr:uid="{94216138-8DA1-4E8E-AD72-80EF4267C50F}">
      <text/>
    </comment>
    <comment ref="G126" authorId="0" shapeId="0" xr:uid="{00000000-0006-0000-0100-000037000000}">
      <text>
        <r>
          <rPr>
            <b/>
            <sz val="8"/>
            <color indexed="81"/>
            <rFont val="Tahoma"/>
            <family val="2"/>
          </rPr>
          <t>Author:</t>
        </r>
        <r>
          <rPr>
            <sz val="8"/>
            <color indexed="81"/>
            <rFont val="Tahoma"/>
            <family val="2"/>
          </rPr>
          <t xml:space="preserve">
Assumed to reduce as free cutbacks are taken up.</t>
        </r>
      </text>
    </comment>
    <comment ref="B128" authorId="0" shapeId="0" xr:uid="{00000000-0006-0000-0100-000038000000}">
      <text>
        <r>
          <rPr>
            <b/>
            <sz val="8"/>
            <color indexed="81"/>
            <rFont val="Tahoma"/>
            <family val="2"/>
          </rPr>
          <t>Author:</t>
        </r>
        <r>
          <rPr>
            <sz val="8"/>
            <color indexed="81"/>
            <rFont val="Tahoma"/>
            <family val="2"/>
          </rPr>
          <t xml:space="preserve">
Must be strictly greater than zero and less than 1. OK to have zero as the lower bound and 1 as the upper bound.</t>
        </r>
      </text>
    </comment>
    <comment ref="C128" authorId="0" shapeId="0" xr:uid="{A265A919-5B21-490F-B2A8-0C139CB758C7}">
      <text/>
    </comment>
    <comment ref="B129" authorId="0" shapeId="0" xr:uid="{00000000-0006-0000-0100-000039000000}">
      <text>
        <r>
          <rPr>
            <b/>
            <sz val="8"/>
            <color indexed="81"/>
            <rFont val="Tahoma"/>
            <family val="2"/>
          </rPr>
          <t>Author:</t>
        </r>
        <r>
          <rPr>
            <sz val="8"/>
            <color indexed="81"/>
            <rFont val="Tahoma"/>
            <family val="2"/>
          </rPr>
          <t xml:space="preserve">
Must be strictly greater than zero and less than 1. OK to have zero as the lower bound and 1 as the upper bound.</t>
        </r>
      </text>
    </comment>
    <comment ref="C129" authorId="0" shapeId="0" xr:uid="{401EE594-7AEF-4AE6-AF5A-A8FCC4A9C5FD}">
      <text/>
    </comment>
    <comment ref="G129" authorId="0" shapeId="0" xr:uid="{00000000-0006-0000-0100-00003A000000}">
      <text>
        <r>
          <rPr>
            <b/>
            <sz val="8"/>
            <color indexed="81"/>
            <rFont val="Tahoma"/>
            <family val="2"/>
          </rPr>
          <t>Author:</t>
        </r>
        <r>
          <rPr>
            <sz val="8"/>
            <color indexed="81"/>
            <rFont val="Tahoma"/>
            <family val="2"/>
          </rPr>
          <t xml:space="preserve">
Upper end of range from GLOCAF.</t>
        </r>
      </text>
    </comment>
    <comment ref="C130" authorId="0" shapeId="0" xr:uid="{185398E2-16AF-4C62-9DDE-58A6D0F25BF9}">
      <text/>
    </comment>
    <comment ref="B131" authorId="0" shapeId="0" xr:uid="{00000000-0006-0000-0100-00003B000000}">
      <text>
        <r>
          <rPr>
            <sz val="8"/>
            <color indexed="81"/>
            <rFont val="Tahoma"/>
            <family val="2"/>
          </rPr>
          <t>Proportional drop in costs for a doubling of experience</t>
        </r>
      </text>
    </comment>
    <comment ref="C131" authorId="0" shapeId="0" xr:uid="{085D855B-99AD-4B1C-A210-E10855620C69}">
      <text/>
    </comment>
    <comment ref="G131" authorId="0" shapeId="0" xr:uid="{00000000-0006-0000-0100-00003C000000}">
      <text>
        <r>
          <rPr>
            <b/>
            <sz val="8"/>
            <color indexed="81"/>
            <rFont val="Tahoma"/>
            <family val="2"/>
          </rPr>
          <t>Author:</t>
        </r>
        <r>
          <rPr>
            <sz val="8"/>
            <color indexed="81"/>
            <rFont val="Tahoma"/>
            <family val="2"/>
          </rPr>
          <t xml:space="preserve">
Consistent with other energy sector learning rates.</t>
        </r>
      </text>
    </comment>
    <comment ref="C133" authorId="0" shapeId="0" xr:uid="{5153E9C5-15B9-424C-97EB-23594D21796A}">
      <text/>
    </comment>
    <comment ref="G133" authorId="0" shapeId="0" xr:uid="{00000000-0006-0000-0100-00003D000000}">
      <text>
        <r>
          <rPr>
            <b/>
            <sz val="8"/>
            <color indexed="81"/>
            <rFont val="Tahoma"/>
            <family val="2"/>
          </rPr>
          <t>Author:</t>
        </r>
        <r>
          <rPr>
            <sz val="8"/>
            <color indexed="81"/>
            <rFont val="Tahoma"/>
            <family val="2"/>
          </rPr>
          <t xml:space="preserve">
Mode reduces costs by 1/3 in 200 years regardless of experience. Fairly conservative.</t>
        </r>
      </text>
    </comment>
    <comment ref="C135" authorId="0" shapeId="0" xr:uid="{98660CF8-3A3C-4B8A-983C-0DFFF1F8DE1A}">
      <text/>
    </comment>
    <comment ref="G135" authorId="0" shapeId="0" xr:uid="{00000000-0006-0000-0100-00003E000000}">
      <text>
        <r>
          <rPr>
            <b/>
            <sz val="8"/>
            <color indexed="81"/>
            <rFont val="Tahoma"/>
            <family val="2"/>
          </rPr>
          <t>Author:</t>
        </r>
        <r>
          <rPr>
            <sz val="8"/>
            <color indexed="81"/>
            <rFont val="Tahoma"/>
            <family val="2"/>
          </rPr>
          <t xml:space="preserve">
All costs are fully equity weighted.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3" authorId="0" shapeId="0" xr:uid="{00000000-0006-0000-0200-000001000000}">
      <text>
        <r>
          <rPr>
            <b/>
            <sz val="8"/>
            <color indexed="81"/>
            <rFont val="Tahoma"/>
            <family val="2"/>
          </rPr>
          <t xml:space="preserve">Charles Griffiths:
</t>
        </r>
        <r>
          <rPr>
            <sz val="8"/>
            <color indexed="81"/>
            <rFont val="Tahoma"/>
            <family val="2"/>
          </rPr>
          <t>Based on EMF-22 (MiniCAM).
Values for 2001 and 2002 based on a linear interpolation between 2000 and 2010.
CO2/GDP growth constant after 2100 (last year of EMF-22 exercise)
CH4, N2O, and Lin emissions zeroed out and included in the Excess forcing vector.
Sulfates rescaled to match PAGE2002 base year data, required for the 2000 base year</t>
        </r>
      </text>
    </comment>
    <comment ref="A41" authorId="0" shapeId="0" xr:uid="{00000000-0006-0000-0200-000002000000}">
      <text>
        <r>
          <rPr>
            <b/>
            <sz val="8"/>
            <color indexed="81"/>
            <rFont val="Tahoma"/>
            <family val="2"/>
          </rPr>
          <t>Author:</t>
        </r>
        <r>
          <rPr>
            <sz val="8"/>
            <color indexed="81"/>
            <rFont val="Tahoma"/>
            <family val="2"/>
          </rPr>
          <t xml:space="preserve">
- Rescaled values to match PAGE09 sulfates to PAGE2002 base year data, which was required because the base year is not 2000.
- PAGE09 used A1B scenario, rebased to 2008 as 100. Values for 2009, 2030, 2050, 2075 by linear interpolation</t>
        </r>
      </text>
    </comment>
    <comment ref="A50" authorId="0" shapeId="0" xr:uid="{00000000-0006-0000-0200-000003000000}">
      <text>
        <r>
          <rPr>
            <b/>
            <sz val="8"/>
            <color indexed="81"/>
            <rFont val="Tahoma"/>
            <family val="2"/>
          </rPr>
          <t>Author:</t>
        </r>
        <r>
          <rPr>
            <sz val="8"/>
            <color indexed="81"/>
            <rFont val="Tahoma"/>
            <family val="2"/>
          </rPr>
          <t xml:space="preserve">
- Excess forcing reflects all radiative forcing except for CO2 and sulfates
  Assumption on "Kyoto gases" come from the EMF-22 scenario
  Assumptions on other non-CO2 gases from PAGE2002
- PAGE09 used SRES A1B scenario Trop O3, BC Aerosols, OC aerosols, CFCs and HCFCs</t>
        </r>
      </text>
    </comment>
    <comment ref="B54" authorId="0" shapeId="0" xr:uid="{00000000-0006-0000-0200-000004000000}">
      <text>
        <r>
          <rPr>
            <b/>
            <sz val="8"/>
            <color indexed="81"/>
            <rFont val="Tahoma"/>
            <family val="2"/>
          </rPr>
          <t>Author:</t>
        </r>
        <r>
          <rPr>
            <sz val="8"/>
            <color indexed="81"/>
            <rFont val="Tahoma"/>
            <family val="2"/>
          </rPr>
          <t xml:space="preserve">
Covers most likely rise in AR4 A1B to 2040.</t>
        </r>
      </text>
    </comment>
    <comment ref="F54" authorId="0" shapeId="0" xr:uid="{00000000-0006-0000-0200-000005000000}">
      <text>
        <r>
          <rPr>
            <b/>
            <sz val="8"/>
            <color indexed="81"/>
            <rFont val="Tahoma"/>
            <family val="2"/>
          </rPr>
          <t>Author:</t>
        </r>
        <r>
          <rPr>
            <sz val="8"/>
            <color indexed="81"/>
            <rFont val="Tahoma"/>
            <family val="2"/>
          </rPr>
          <t xml:space="preserve">
Aggressive adaptation reduces impacts to low levels, as in Nicholls.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2" authorId="0" shapeId="0" xr:uid="{00000000-0006-0000-0300-000001000000}">
      <text>
        <r>
          <rPr>
            <b/>
            <sz val="8"/>
            <color indexed="81"/>
            <rFont val="Tahoma"/>
            <family val="2"/>
          </rPr>
          <t>Author:</t>
        </r>
        <r>
          <rPr>
            <sz val="8"/>
            <color indexed="81"/>
            <rFont val="Tahoma"/>
            <family val="2"/>
          </rPr>
          <t xml:space="preserve">
Gives a drop of 10 Gt of CO2 in total</t>
        </r>
      </text>
    </comment>
    <comment ref="K2" authorId="0" shapeId="0" xr:uid="{00000000-0006-0000-0300-000002000000}">
      <text>
        <r>
          <rPr>
            <b/>
            <sz val="8"/>
            <color indexed="81"/>
            <rFont val="Tahoma"/>
            <family val="2"/>
          </rPr>
          <t>Author:</t>
        </r>
        <r>
          <rPr>
            <sz val="8"/>
            <color indexed="81"/>
            <rFont val="Tahoma"/>
            <family val="2"/>
          </rPr>
          <t xml:space="preserve">
Cannot calculate for final analysis year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4" authorId="0" shapeId="0" xr:uid="{00000000-0006-0000-0800-000001000000}">
      <text>
        <r>
          <rPr>
            <b/>
            <sz val="8"/>
            <color indexed="81"/>
            <rFont val="Tahoma"/>
            <family val="2"/>
          </rPr>
          <t>Author:</t>
        </r>
        <r>
          <rPr>
            <sz val="8"/>
            <color indexed="81"/>
            <rFont val="Tahoma"/>
            <family val="2"/>
          </rPr>
          <t xml:space="preserve">
surface area of earth is 510 Mkm2</t>
        </r>
      </text>
    </comment>
    <comment ref="A5" authorId="0" shapeId="0" xr:uid="{00000000-0006-0000-0800-000002000000}">
      <text>
        <r>
          <rPr>
            <b/>
            <sz val="8"/>
            <color indexed="81"/>
            <rFont val="Tahoma"/>
            <family val="2"/>
          </rPr>
          <t>Author:</t>
        </r>
        <r>
          <rPr>
            <sz val="8"/>
            <color indexed="81"/>
            <rFont val="Tahoma"/>
            <family val="2"/>
          </rPr>
          <t xml:space="preserve">
of land regions</t>
        </r>
      </text>
    </comment>
    <comment ref="E16" authorId="0" shapeId="0" xr:uid="{00000000-0006-0000-0800-000003000000}">
      <text>
        <r>
          <rPr>
            <b/>
            <sz val="9"/>
            <color indexed="81"/>
            <rFont val="Tahoma"/>
            <family val="2"/>
          </rPr>
          <t>Author:</t>
        </r>
        <r>
          <rPr>
            <sz val="9"/>
            <color indexed="81"/>
            <rFont val="Tahoma"/>
            <family val="2"/>
          </rPr>
          <t xml:space="preserve">
Needs new formula as does not depend on Y_0</t>
        </r>
      </text>
    </comment>
    <comment ref="A20" authorId="0" shapeId="0" xr:uid="{00000000-0006-0000-0800-000004000000}">
      <text>
        <r>
          <rPr>
            <sz val="9"/>
            <color indexed="81"/>
            <rFont val="Tahoma"/>
            <family val="2"/>
          </rPr>
          <t>Does not include the extra remaining emissions from the CCFF</t>
        </r>
      </text>
    </comment>
    <comment ref="O26" authorId="0" shapeId="0" xr:uid="{37FA2EBC-ECCF-4230-B2E1-64B8512BFEDD}">
      <text/>
    </comment>
    <comment ref="P26" authorId="0" shapeId="0" xr:uid="{36F32432-76E6-4DB6-9BA3-BC0C3BE28820}">
      <text/>
    </comment>
    <comment ref="Q26" authorId="0" shapeId="0" xr:uid="{CB1FC29C-608A-4513-A59D-AAC2C26C6753}">
      <text/>
    </comment>
    <comment ref="R26" authorId="0" shapeId="0" xr:uid="{667D7F96-98F3-4762-9CD1-052A225EF67E}">
      <text/>
    </comment>
    <comment ref="S26" authorId="0" shapeId="0" xr:uid="{49051520-04A6-4AC9-A6BE-1BDDF1091175}">
      <text/>
    </comment>
    <comment ref="T26" authorId="0" shapeId="0" xr:uid="{5AB038FB-46DD-45F8-AD0F-74D0207C48C1}">
      <text/>
    </comment>
    <comment ref="U26" authorId="0" shapeId="0" xr:uid="{D110CE10-76F8-4A09-BB81-F1D75069D9E3}">
      <text/>
    </comment>
    <comment ref="V26" authorId="0" shapeId="0" xr:uid="{21212D1D-A298-4247-8869-828A5A7731CF}">
      <text/>
    </comment>
    <comment ref="W26" authorId="0" shapeId="0" xr:uid="{61B9531B-AC0A-4586-8363-DCF0B1B1E3E8}">
      <text/>
    </comment>
    <comment ref="X26" authorId="0" shapeId="0" xr:uid="{D0E42217-EFE8-42DE-8788-468829774530}">
      <text/>
    </comment>
    <comment ref="O27" authorId="0" shapeId="0" xr:uid="{6D1778AE-237D-4A5B-AD69-F659EC33CE16}">
      <text/>
    </comment>
    <comment ref="P27" authorId="0" shapeId="0" xr:uid="{9B3B93A9-5C70-4DDB-A446-B0C277E0A886}">
      <text/>
    </comment>
    <comment ref="Q27" authorId="0" shapeId="0" xr:uid="{731E4DE6-2A28-4F49-B8DB-460F5F857C57}">
      <text/>
    </comment>
    <comment ref="R27" authorId="0" shapeId="0" xr:uid="{7DEF1B75-274F-4F68-A07E-5B455301A186}">
      <text/>
    </comment>
    <comment ref="S27" authorId="0" shapeId="0" xr:uid="{EBB2D065-940F-4B48-9A5D-A89325D1F6A4}">
      <text/>
    </comment>
    <comment ref="T27" authorId="0" shapeId="0" xr:uid="{D5170D7B-7056-459A-BD36-F88ED612D269}">
      <text/>
    </comment>
    <comment ref="U27" authorId="0" shapeId="0" xr:uid="{21F2E4F6-3F74-420D-BB53-241DA4A68766}">
      <text/>
    </comment>
    <comment ref="V27" authorId="0" shapeId="0" xr:uid="{823B342A-58DD-4875-A9E9-9D190D05BAB2}">
      <text/>
    </comment>
    <comment ref="W27" authorId="0" shapeId="0" xr:uid="{A87F1906-FE6B-4920-9B46-D11F872873F6}">
      <text/>
    </comment>
    <comment ref="X27" authorId="0" shapeId="0" xr:uid="{E0EB848A-2010-4B66-AEAA-3C66AFB42E8B}">
      <text/>
    </comment>
    <comment ref="C29" authorId="0" shapeId="0" xr:uid="{00000000-0006-0000-0800-000005000000}">
      <text>
        <r>
          <rPr>
            <b/>
            <sz val="8"/>
            <color indexed="81"/>
            <rFont val="Tahoma"/>
            <family val="2"/>
          </rPr>
          <t>Author:</t>
        </r>
        <r>
          <rPr>
            <sz val="8"/>
            <color indexed="81"/>
            <rFont val="Tahoma"/>
            <family val="2"/>
          </rPr>
          <t xml:space="preserve">
Assume related to base year temp</t>
        </r>
      </text>
    </comment>
    <comment ref="E29" authorId="0" shapeId="0" xr:uid="{00000000-0006-0000-0800-000006000000}">
      <text>
        <r>
          <rPr>
            <b/>
            <sz val="9"/>
            <color indexed="81"/>
            <rFont val="Tahoma"/>
            <family val="2"/>
          </rPr>
          <t>Author:</t>
        </r>
        <r>
          <rPr>
            <sz val="9"/>
            <color indexed="81"/>
            <rFont val="Tahoma"/>
            <family val="2"/>
          </rPr>
          <t xml:space="preserve">
Needs new formula as does not depend on Y_0</t>
        </r>
      </text>
    </comment>
    <comment ref="C39" authorId="0" shapeId="0" xr:uid="{00000000-0006-0000-0800-000007000000}">
      <text>
        <r>
          <rPr>
            <b/>
            <sz val="8"/>
            <color indexed="81"/>
            <rFont val="Tahoma"/>
            <family val="2"/>
          </rPr>
          <t>Author:</t>
        </r>
        <r>
          <rPr>
            <sz val="8"/>
            <color indexed="81"/>
            <rFont val="Tahoma"/>
            <family val="2"/>
          </rPr>
          <t xml:space="preserve">
Assume related to base year temp</t>
        </r>
      </text>
    </comment>
    <comment ref="E39" authorId="0" shapeId="0" xr:uid="{00000000-0006-0000-0800-000008000000}">
      <text>
        <r>
          <rPr>
            <b/>
            <sz val="9"/>
            <color indexed="81"/>
            <rFont val="Tahoma"/>
            <family val="2"/>
          </rPr>
          <t>Author:</t>
        </r>
        <r>
          <rPr>
            <sz val="9"/>
            <color indexed="81"/>
            <rFont val="Tahoma"/>
            <family val="2"/>
          </rPr>
          <t xml:space="preserve">
Needs new formula as does not depend on Y_0</t>
        </r>
      </text>
    </comment>
    <comment ref="A48" authorId="0" shapeId="0" xr:uid="{00000000-0006-0000-0800-000009000000}">
      <text>
        <r>
          <rPr>
            <b/>
            <sz val="9"/>
            <color indexed="81"/>
            <rFont val="Tahoma"/>
            <family val="2"/>
          </rPr>
          <t>Author:</t>
        </r>
        <r>
          <rPr>
            <sz val="9"/>
            <color indexed="81"/>
            <rFont val="Tahoma"/>
            <family val="2"/>
          </rPr>
          <t xml:space="preserve">
Can't be calculated until we know the concentration of N2O</t>
        </r>
      </text>
    </comment>
    <comment ref="A49" authorId="0" shapeId="0" xr:uid="{00000000-0006-0000-0800-00000A000000}">
      <text>
        <r>
          <rPr>
            <b/>
            <sz val="9"/>
            <color indexed="81"/>
            <rFont val="Tahoma"/>
            <family val="2"/>
          </rPr>
          <t>Author:</t>
        </r>
        <r>
          <rPr>
            <sz val="9"/>
            <color indexed="81"/>
            <rFont val="Tahoma"/>
            <family val="2"/>
          </rPr>
          <t xml:space="preserve">
Both overlap terms from IPCC TAR WGI, table 6.2</t>
        </r>
      </text>
    </comment>
    <comment ref="C53" authorId="0" shapeId="0" xr:uid="{00000000-0006-0000-0800-00000B000000}">
      <text>
        <r>
          <rPr>
            <b/>
            <sz val="8"/>
            <color indexed="81"/>
            <rFont val="Tahoma"/>
            <family val="2"/>
          </rPr>
          <t>Author:</t>
        </r>
        <r>
          <rPr>
            <sz val="8"/>
            <color indexed="81"/>
            <rFont val="Tahoma"/>
            <family val="2"/>
          </rPr>
          <t xml:space="preserve">
Assume related to base year temp</t>
        </r>
      </text>
    </comment>
    <comment ref="E53" authorId="0" shapeId="0" xr:uid="{00000000-0006-0000-0800-00000C000000}">
      <text>
        <r>
          <rPr>
            <b/>
            <sz val="9"/>
            <color indexed="81"/>
            <rFont val="Tahoma"/>
            <family val="2"/>
          </rPr>
          <t>Author:</t>
        </r>
        <r>
          <rPr>
            <sz val="9"/>
            <color indexed="81"/>
            <rFont val="Tahoma"/>
            <family val="2"/>
          </rPr>
          <t xml:space="preserve">
Needs new formula as does not depend on Y_0</t>
        </r>
      </text>
    </comment>
    <comment ref="A61" authorId="0" shapeId="0" xr:uid="{00000000-0006-0000-0800-00000D000000}">
      <text>
        <r>
          <rPr>
            <b/>
            <sz val="8"/>
            <color indexed="81"/>
            <rFont val="Tahoma"/>
            <family val="2"/>
          </rPr>
          <t>Author:</t>
        </r>
        <r>
          <rPr>
            <sz val="8"/>
            <color indexed="81"/>
            <rFont val="Tahoma"/>
            <family val="2"/>
          </rPr>
          <t xml:space="preserve">
Assumed linear in concentration</t>
        </r>
      </text>
    </comment>
    <comment ref="O62" authorId="0" shapeId="0" xr:uid="{92ACC51F-6D36-4DF8-954B-83970EFBB84C}">
      <text/>
    </comment>
    <comment ref="P62" authorId="0" shapeId="0" xr:uid="{F2E725EE-05A5-451C-A56B-C3A1D366AE7A}">
      <text/>
    </comment>
    <comment ref="Q62" authorId="0" shapeId="0" xr:uid="{14973C90-E143-4C82-8696-4F8668B4BE43}">
      <text/>
    </comment>
    <comment ref="R62" authorId="0" shapeId="0" xr:uid="{196394A0-BE3B-4173-8BA1-695D87E2C3BC}">
      <text/>
    </comment>
    <comment ref="S62" authorId="0" shapeId="0" xr:uid="{A721F26F-E2B6-4297-ADD6-63F66FB113A8}">
      <text/>
    </comment>
    <comment ref="T62" authorId="0" shapeId="0" xr:uid="{6A6B525C-EEAB-4751-A7BB-2C77B9DBDA37}">
      <text/>
    </comment>
    <comment ref="U62" authorId="0" shapeId="0" xr:uid="{D966B62A-7D68-45AE-A287-3ED081D329C8}">
      <text/>
    </comment>
    <comment ref="V62" authorId="0" shapeId="0" xr:uid="{5FBF2C97-C8CB-44FB-93C3-6B6628C87F21}">
      <text/>
    </comment>
    <comment ref="W62" authorId="0" shapeId="0" xr:uid="{DB72570C-725E-414B-BAE7-8B379CBB603C}">
      <text/>
    </comment>
    <comment ref="X62" authorId="0" shapeId="0" xr:uid="{E00FF072-C2D9-4856-9B01-59CF7198B29B}">
      <text/>
    </comment>
    <comment ref="E118" authorId="0" shapeId="0" xr:uid="{00000000-0006-0000-0800-00000E000000}">
      <text>
        <r>
          <rPr>
            <b/>
            <sz val="8"/>
            <color indexed="81"/>
            <rFont val="Tahoma"/>
            <family val="2"/>
          </rPr>
          <t>Author:</t>
        </r>
        <r>
          <rPr>
            <sz val="8"/>
            <color indexed="81"/>
            <rFont val="Tahoma"/>
            <family val="2"/>
          </rPr>
          <t xml:space="preserve">
Can't just copy column D as this depends on RTL_0.
Array formula checked in v0.5 impacts test</t>
        </r>
      </text>
    </comment>
    <comment ref="A126" authorId="0" shapeId="0" xr:uid="{00000000-0006-0000-0800-00000F000000}">
      <text>
        <r>
          <rPr>
            <b/>
            <sz val="8"/>
            <color indexed="81"/>
            <rFont val="Tahoma"/>
            <family val="2"/>
          </rPr>
          <t>Author:</t>
        </r>
        <r>
          <rPr>
            <sz val="8"/>
            <color indexed="81"/>
            <rFont val="Tahoma"/>
            <family val="2"/>
          </rPr>
          <t xml:space="preserve">
adjusted for latitude and land</t>
        </r>
      </text>
    </comment>
    <comment ref="O134" authorId="0" shapeId="0" xr:uid="{EA691C52-B06D-45C3-8A9B-DE35DFDE47BE}">
      <text/>
    </comment>
    <comment ref="P134" authorId="0" shapeId="0" xr:uid="{87A4CBA4-85ED-429D-8809-3D92B93D0C5D}">
      <text/>
    </comment>
    <comment ref="Q134" authorId="0" shapeId="0" xr:uid="{78AC2DC8-9990-4119-9124-3CD40B6308A6}">
      <text/>
    </comment>
    <comment ref="R134" authorId="0" shapeId="0" xr:uid="{0CA1C0E2-3EFB-4BEA-A78A-8ADD69FD511F}">
      <text/>
    </comment>
    <comment ref="S134" authorId="0" shapeId="0" xr:uid="{832FB362-69E9-4772-9AA1-42708BF9E3CF}">
      <text/>
    </comment>
    <comment ref="T134" authorId="0" shapeId="0" xr:uid="{47814A08-B7CD-4498-A2EC-B2C7DD5C4844}">
      <text/>
    </comment>
    <comment ref="U134" authorId="0" shapeId="0" xr:uid="{A136D73D-4761-47FC-9C96-2A2C3E815AA3}">
      <text/>
    </comment>
    <comment ref="V134" authorId="0" shapeId="0" xr:uid="{775E144C-AAA6-407F-B96E-FFFD15AE3329}">
      <text/>
    </comment>
    <comment ref="W134" authorId="0" shapeId="0" xr:uid="{4577B309-0A30-4934-9BF6-59F1229D898B}">
      <text/>
    </comment>
    <comment ref="X134" authorId="0" shapeId="0" xr:uid="{6A74D805-6A03-4E77-9170-2F55E2F9CC42}">
      <text/>
    </comment>
    <comment ref="O136" authorId="0" shapeId="0" xr:uid="{8F3F1E1A-4AD2-4F60-9F09-9F18766EF0F1}">
      <text/>
    </comment>
    <comment ref="P136" authorId="0" shapeId="0" xr:uid="{CCCC30BB-7D53-43C9-93B1-66B97C926F34}">
      <text/>
    </comment>
    <comment ref="Q136" authorId="0" shapeId="0" xr:uid="{4A5D15DE-4EDF-406B-83C9-2693A1A901E7}">
      <text/>
    </comment>
    <comment ref="R136" authorId="0" shapeId="0" xr:uid="{AF0BCDF0-4B05-4DAA-81B8-07FCF706B1B0}">
      <text/>
    </comment>
    <comment ref="S136" authorId="0" shapeId="0" xr:uid="{9B70DDA7-9FE6-479E-8B38-18EFA05918CF}">
      <text/>
    </comment>
    <comment ref="T136" authorId="0" shapeId="0" xr:uid="{E886BD46-9A5A-4A6A-9E7D-93DC457A0F40}">
      <text/>
    </comment>
    <comment ref="U136" authorId="0" shapeId="0" xr:uid="{5CF7C9DE-F386-42A1-90FF-680288790CD8}">
      <text/>
    </comment>
    <comment ref="V136" authorId="0" shapeId="0" xr:uid="{17DCEA3C-0ECF-4AA6-9669-51068F0EE7E7}">
      <text/>
    </comment>
    <comment ref="W136" authorId="0" shapeId="0" xr:uid="{C6A52F09-2502-4CB8-B895-5ACE05AC8D58}">
      <text/>
    </comment>
    <comment ref="X136" authorId="0" shapeId="0" xr:uid="{BA4FC2F7-2B68-4A1F-BC1B-630DAE50457F}">
      <text/>
    </comment>
    <comment ref="E139" authorId="0" shapeId="0" xr:uid="{00000000-0006-0000-0800-000010000000}">
      <text>
        <r>
          <rPr>
            <b/>
            <sz val="9"/>
            <color indexed="81"/>
            <rFont val="Tahoma"/>
            <family val="2"/>
          </rPr>
          <t>Author:</t>
        </r>
        <r>
          <rPr>
            <sz val="9"/>
            <color indexed="81"/>
            <rFont val="Tahoma"/>
            <family val="2"/>
          </rPr>
          <t xml:space="preserve">
Needs new formula as does not depend on Y_0</t>
        </r>
      </text>
    </comment>
    <comment ref="O139" authorId="0" shapeId="0" xr:uid="{599545A8-9690-46D0-8432-C2B569A4B659}">
      <text/>
    </comment>
    <comment ref="P139" authorId="0" shapeId="0" xr:uid="{E842C82D-CA38-49F4-8900-E4F2598589B5}">
      <text/>
    </comment>
    <comment ref="Q139" authorId="0" shapeId="0" xr:uid="{073A67E2-42A9-4640-A768-F3608CFD41B2}">
      <text/>
    </comment>
    <comment ref="R139" authorId="0" shapeId="0" xr:uid="{4E4F6FE0-5B1B-4DE8-B688-9C6A3C270CC5}">
      <text/>
    </comment>
    <comment ref="S139" authorId="0" shapeId="0" xr:uid="{16DDBBBD-CE14-4D71-8947-1CDDDAD44283}">
      <text/>
    </comment>
    <comment ref="T139" authorId="0" shapeId="0" xr:uid="{43F8C259-79A1-4CCC-B9E5-17F78E182591}">
      <text/>
    </comment>
    <comment ref="U139" authorId="0" shapeId="0" xr:uid="{D9D5B1F1-D521-41B7-B6D6-607AADD0B7FF}">
      <text/>
    </comment>
    <comment ref="V139" authorId="0" shapeId="0" xr:uid="{B24D835A-A248-4F3E-B2BF-B0CFBCA2C5E9}">
      <text/>
    </comment>
    <comment ref="W139" authorId="0" shapeId="0" xr:uid="{837E45E5-06E1-420E-ADAC-8F19F12C5E2E}">
      <text/>
    </comment>
    <comment ref="X139" authorId="0" shapeId="0" xr:uid="{B1C06F04-FB27-4D08-B6FE-639120C350EF}">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4" authorId="0" shapeId="0" xr:uid="{00000000-0006-0000-0A00-000001000000}">
      <text>
        <r>
          <rPr>
            <b/>
            <sz val="8"/>
            <color indexed="81"/>
            <rFont val="Tahoma"/>
            <family val="2"/>
          </rPr>
          <t>Author:</t>
        </r>
        <r>
          <rPr>
            <sz val="8"/>
            <color indexed="81"/>
            <rFont val="Tahoma"/>
            <family val="2"/>
          </rPr>
          <t xml:space="preserve">
surface area of earth is 510 Mkm2</t>
        </r>
      </text>
    </comment>
    <comment ref="A5" authorId="0" shapeId="0" xr:uid="{00000000-0006-0000-0A00-000002000000}">
      <text>
        <r>
          <rPr>
            <b/>
            <sz val="8"/>
            <color indexed="81"/>
            <rFont val="Tahoma"/>
            <family val="2"/>
          </rPr>
          <t>Author:</t>
        </r>
        <r>
          <rPr>
            <sz val="8"/>
            <color indexed="81"/>
            <rFont val="Tahoma"/>
            <family val="2"/>
          </rPr>
          <t xml:space="preserve">
of land regions</t>
        </r>
      </text>
    </comment>
    <comment ref="E16" authorId="0" shapeId="0" xr:uid="{00000000-0006-0000-0A00-000003000000}">
      <text>
        <r>
          <rPr>
            <b/>
            <sz val="9"/>
            <color indexed="81"/>
            <rFont val="Tahoma"/>
            <family val="2"/>
          </rPr>
          <t>Author:</t>
        </r>
        <r>
          <rPr>
            <sz val="9"/>
            <color indexed="81"/>
            <rFont val="Tahoma"/>
            <family val="2"/>
          </rPr>
          <t xml:space="preserve">
Needs new formula as does not depend on Y_0</t>
        </r>
      </text>
    </comment>
    <comment ref="A20" authorId="0" shapeId="0" xr:uid="{00000000-0006-0000-0A00-000004000000}">
      <text>
        <r>
          <rPr>
            <sz val="9"/>
            <color indexed="81"/>
            <rFont val="Tahoma"/>
            <family val="2"/>
          </rPr>
          <t>Does not include the extra remaining emissions from the CCFF</t>
        </r>
      </text>
    </comment>
    <comment ref="O26" authorId="0" shapeId="0" xr:uid="{274B486D-371F-46FE-89D2-E8B044DC131E}">
      <text/>
    </comment>
    <comment ref="P26" authorId="0" shapeId="0" xr:uid="{457327B0-DF33-49E6-884E-FCD3AAECC982}">
      <text/>
    </comment>
    <comment ref="Q26" authorId="0" shapeId="0" xr:uid="{ED6213BA-DFDA-4F78-A484-8C12D2CDAB4A}">
      <text/>
    </comment>
    <comment ref="R26" authorId="0" shapeId="0" xr:uid="{D5DBB700-51A5-4A95-B131-640E11C19F82}">
      <text/>
    </comment>
    <comment ref="S26" authorId="0" shapeId="0" xr:uid="{60C37C21-C0AA-4F34-B26D-7B3339A2A6F5}">
      <text/>
    </comment>
    <comment ref="T26" authorId="0" shapeId="0" xr:uid="{57959D9E-A980-455C-BCE2-41DFDC6E975E}">
      <text/>
    </comment>
    <comment ref="U26" authorId="0" shapeId="0" xr:uid="{BF3908C1-6C3F-4430-8CE7-04F3752B9BB0}">
      <text/>
    </comment>
    <comment ref="V26" authorId="0" shapeId="0" xr:uid="{7F4E3A80-545F-4D30-BA6B-6A0314FFEF36}">
      <text/>
    </comment>
    <comment ref="W26" authorId="0" shapeId="0" xr:uid="{1D02FF3D-645A-4AB8-99D5-BCA13DA95415}">
      <text/>
    </comment>
    <comment ref="X26" authorId="0" shapeId="0" xr:uid="{1770DA73-77B2-412F-931F-33D8B50B1D44}">
      <text/>
    </comment>
    <comment ref="O27" authorId="0" shapeId="0" xr:uid="{32B0FFC5-EF84-402F-B7F5-C29146E48B75}">
      <text/>
    </comment>
    <comment ref="P27" authorId="0" shapeId="0" xr:uid="{E05E36BD-9C8F-4600-8A6B-D0F4EC76A16A}">
      <text/>
    </comment>
    <comment ref="Q27" authorId="0" shapeId="0" xr:uid="{4DDC2D41-91A2-4E17-BA20-4BBDE505E37C}">
      <text/>
    </comment>
    <comment ref="R27" authorId="0" shapeId="0" xr:uid="{230D271A-0820-4215-8100-7F3CCDAE2DF4}">
      <text/>
    </comment>
    <comment ref="S27" authorId="0" shapeId="0" xr:uid="{973760BA-F39B-4F75-9AAA-A6AB898D619A}">
      <text/>
    </comment>
    <comment ref="T27" authorId="0" shapeId="0" xr:uid="{79C44B1E-34A1-4BFF-A388-62B565994401}">
      <text/>
    </comment>
    <comment ref="U27" authorId="0" shapeId="0" xr:uid="{20AE8B88-59ED-4113-8C91-F4FE99B4FEDF}">
      <text/>
    </comment>
    <comment ref="V27" authorId="0" shapeId="0" xr:uid="{0FB4B9D2-8B86-4C0B-A7B0-85F682A3734B}">
      <text/>
    </comment>
    <comment ref="W27" authorId="0" shapeId="0" xr:uid="{137F6483-82C9-42C5-B63D-B8E0D63EC805}">
      <text/>
    </comment>
    <comment ref="X27" authorId="0" shapeId="0" xr:uid="{C0D94340-44F7-4DA9-A737-0E1E498DD9C6}">
      <text/>
    </comment>
    <comment ref="C29" authorId="0" shapeId="0" xr:uid="{00000000-0006-0000-0A00-000005000000}">
      <text>
        <r>
          <rPr>
            <b/>
            <sz val="8"/>
            <color indexed="81"/>
            <rFont val="Tahoma"/>
            <family val="2"/>
          </rPr>
          <t>Author:</t>
        </r>
        <r>
          <rPr>
            <sz val="8"/>
            <color indexed="81"/>
            <rFont val="Tahoma"/>
            <family val="2"/>
          </rPr>
          <t xml:space="preserve">
Assume related to base year temp</t>
        </r>
      </text>
    </comment>
    <comment ref="E29" authorId="0" shapeId="0" xr:uid="{00000000-0006-0000-0A00-000006000000}">
      <text>
        <r>
          <rPr>
            <b/>
            <sz val="9"/>
            <color indexed="81"/>
            <rFont val="Tahoma"/>
            <family val="2"/>
          </rPr>
          <t>Author:</t>
        </r>
        <r>
          <rPr>
            <sz val="9"/>
            <color indexed="81"/>
            <rFont val="Tahoma"/>
            <family val="2"/>
          </rPr>
          <t xml:space="preserve">
Needs new formula as does not depend on Y_0</t>
        </r>
      </text>
    </comment>
    <comment ref="C39" authorId="0" shapeId="0" xr:uid="{00000000-0006-0000-0A00-000007000000}">
      <text>
        <r>
          <rPr>
            <b/>
            <sz val="8"/>
            <color indexed="81"/>
            <rFont val="Tahoma"/>
            <family val="2"/>
          </rPr>
          <t>Author:</t>
        </r>
        <r>
          <rPr>
            <sz val="8"/>
            <color indexed="81"/>
            <rFont val="Tahoma"/>
            <family val="2"/>
          </rPr>
          <t xml:space="preserve">
Assume related to base year temp</t>
        </r>
      </text>
    </comment>
    <comment ref="E39" authorId="0" shapeId="0" xr:uid="{00000000-0006-0000-0A00-000008000000}">
      <text>
        <r>
          <rPr>
            <b/>
            <sz val="9"/>
            <color indexed="81"/>
            <rFont val="Tahoma"/>
            <family val="2"/>
          </rPr>
          <t>Author:</t>
        </r>
        <r>
          <rPr>
            <sz val="9"/>
            <color indexed="81"/>
            <rFont val="Tahoma"/>
            <family val="2"/>
          </rPr>
          <t xml:space="preserve">
Needs new formula as does not depend on Y_0</t>
        </r>
      </text>
    </comment>
    <comment ref="A48" authorId="0" shapeId="0" xr:uid="{00000000-0006-0000-0A00-000009000000}">
      <text>
        <r>
          <rPr>
            <b/>
            <sz val="9"/>
            <color indexed="81"/>
            <rFont val="Tahoma"/>
            <family val="2"/>
          </rPr>
          <t>Author:</t>
        </r>
        <r>
          <rPr>
            <sz val="9"/>
            <color indexed="81"/>
            <rFont val="Tahoma"/>
            <family val="2"/>
          </rPr>
          <t xml:space="preserve">
Can't be calculated until we know the concentration of N2O</t>
        </r>
      </text>
    </comment>
    <comment ref="A49" authorId="0" shapeId="0" xr:uid="{00000000-0006-0000-0A00-00000A000000}">
      <text>
        <r>
          <rPr>
            <b/>
            <sz val="9"/>
            <color indexed="81"/>
            <rFont val="Tahoma"/>
            <family val="2"/>
          </rPr>
          <t>Author:</t>
        </r>
        <r>
          <rPr>
            <sz val="9"/>
            <color indexed="81"/>
            <rFont val="Tahoma"/>
            <family val="2"/>
          </rPr>
          <t xml:space="preserve">
Both overlap terms from IPCC TAR WGI, table 6.2</t>
        </r>
      </text>
    </comment>
    <comment ref="C53" authorId="0" shapeId="0" xr:uid="{00000000-0006-0000-0A00-00000B000000}">
      <text>
        <r>
          <rPr>
            <b/>
            <sz val="8"/>
            <color indexed="81"/>
            <rFont val="Tahoma"/>
            <family val="2"/>
          </rPr>
          <t>Author:</t>
        </r>
        <r>
          <rPr>
            <sz val="8"/>
            <color indexed="81"/>
            <rFont val="Tahoma"/>
            <family val="2"/>
          </rPr>
          <t xml:space="preserve">
Assume related to base year temp</t>
        </r>
      </text>
    </comment>
    <comment ref="E53" authorId="0" shapeId="0" xr:uid="{00000000-0006-0000-0A00-00000C000000}">
      <text>
        <r>
          <rPr>
            <b/>
            <sz val="9"/>
            <color indexed="81"/>
            <rFont val="Tahoma"/>
            <family val="2"/>
          </rPr>
          <t>Author:</t>
        </r>
        <r>
          <rPr>
            <sz val="9"/>
            <color indexed="81"/>
            <rFont val="Tahoma"/>
            <family val="2"/>
          </rPr>
          <t xml:space="preserve">
Needs new formula as does not depend on Y_0</t>
        </r>
      </text>
    </comment>
    <comment ref="A61" authorId="0" shapeId="0" xr:uid="{00000000-0006-0000-0A00-00000D000000}">
      <text>
        <r>
          <rPr>
            <b/>
            <sz val="8"/>
            <color indexed="81"/>
            <rFont val="Tahoma"/>
            <family val="2"/>
          </rPr>
          <t>Author:</t>
        </r>
        <r>
          <rPr>
            <sz val="8"/>
            <color indexed="81"/>
            <rFont val="Tahoma"/>
            <family val="2"/>
          </rPr>
          <t xml:space="preserve">
Assumed linear in concentration</t>
        </r>
      </text>
    </comment>
    <comment ref="O62" authorId="0" shapeId="0" xr:uid="{796E843C-B19D-4BA2-BAAE-D9B0376F35B7}">
      <text/>
    </comment>
    <comment ref="P62" authorId="0" shapeId="0" xr:uid="{92781763-9A82-4A65-B721-8984F9C3F6CD}">
      <text/>
    </comment>
    <comment ref="Q62" authorId="0" shapeId="0" xr:uid="{8B1EA721-3841-4890-82CE-3F6C7F7903D7}">
      <text/>
    </comment>
    <comment ref="R62" authorId="0" shapeId="0" xr:uid="{CE89CA49-0D86-4CBF-AB7B-0F415A6EBBC6}">
      <text/>
    </comment>
    <comment ref="S62" authorId="0" shapeId="0" xr:uid="{C554535B-A438-44FA-B339-58DB1C1A008D}">
      <text/>
    </comment>
    <comment ref="T62" authorId="0" shapeId="0" xr:uid="{20A9B4DE-3695-4FA3-99A7-08C596DE9FD2}">
      <text/>
    </comment>
    <comment ref="U62" authorId="0" shapeId="0" xr:uid="{A35D6863-8B5B-4902-BED0-473BB1750CED}">
      <text/>
    </comment>
    <comment ref="V62" authorId="0" shapeId="0" xr:uid="{D402D402-5547-4191-AA80-0B49290455E6}">
      <text/>
    </comment>
    <comment ref="W62" authorId="0" shapeId="0" xr:uid="{B7731B3D-100C-4C22-9B37-60C88467530D}">
      <text/>
    </comment>
    <comment ref="X62" authorId="0" shapeId="0" xr:uid="{DC31128B-12F2-4141-95C2-3BA722B1C323}">
      <text/>
    </comment>
    <comment ref="E118" authorId="0" shapeId="0" xr:uid="{00000000-0006-0000-0A00-00000E000000}">
      <text>
        <r>
          <rPr>
            <b/>
            <sz val="8"/>
            <color indexed="81"/>
            <rFont val="Tahoma"/>
            <family val="2"/>
          </rPr>
          <t>Author:</t>
        </r>
        <r>
          <rPr>
            <sz val="8"/>
            <color indexed="81"/>
            <rFont val="Tahoma"/>
            <family val="2"/>
          </rPr>
          <t xml:space="preserve">
Can't just copy column D as this depends on RTL_0.
Array formula checked in v0.5 impacts test</t>
        </r>
      </text>
    </comment>
    <comment ref="A126" authorId="0" shapeId="0" xr:uid="{00000000-0006-0000-0A00-00000F000000}">
      <text>
        <r>
          <rPr>
            <b/>
            <sz val="8"/>
            <color indexed="81"/>
            <rFont val="Tahoma"/>
            <family val="2"/>
          </rPr>
          <t>Author:</t>
        </r>
        <r>
          <rPr>
            <sz val="8"/>
            <color indexed="81"/>
            <rFont val="Tahoma"/>
            <family val="2"/>
          </rPr>
          <t xml:space="preserve">
adjusted for latitude and land</t>
        </r>
      </text>
    </comment>
    <comment ref="O134" authorId="0" shapeId="0" xr:uid="{34B7AB6D-CE0B-4C40-9111-C50D1516AA65}">
      <text/>
    </comment>
    <comment ref="P134" authorId="0" shapeId="0" xr:uid="{ACD0ED77-315C-426D-AC65-A837A075C263}">
      <text/>
    </comment>
    <comment ref="Q134" authorId="0" shapeId="0" xr:uid="{3B97686C-6BAC-4577-A59B-57441028B031}">
      <text/>
    </comment>
    <comment ref="R134" authorId="0" shapeId="0" xr:uid="{AB08D46D-7C1A-49E6-93EC-168E7D9CD602}">
      <text/>
    </comment>
    <comment ref="S134" authorId="0" shapeId="0" xr:uid="{0C3E8842-0DDD-4BDC-96A9-CC37B0865A8F}">
      <text/>
    </comment>
    <comment ref="T134" authorId="0" shapeId="0" xr:uid="{8C6A6153-CF65-49DF-AACA-3F58E9282A4E}">
      <text/>
    </comment>
    <comment ref="U134" authorId="0" shapeId="0" xr:uid="{336E7427-0302-41BB-96B7-92FD267F3E26}">
      <text/>
    </comment>
    <comment ref="V134" authorId="0" shapeId="0" xr:uid="{F3EA625F-3BF9-448A-A5CA-34765E7EF9A5}">
      <text/>
    </comment>
    <comment ref="W134" authorId="0" shapeId="0" xr:uid="{AF3613B3-DF64-4396-8CD6-C49A62C802B9}">
      <text/>
    </comment>
    <comment ref="X134" authorId="0" shapeId="0" xr:uid="{0F3DF4A6-944A-4F70-86C1-BED923464C80}">
      <text/>
    </comment>
    <comment ref="O136" authorId="0" shapeId="0" xr:uid="{DEFF2F16-B14D-4ADE-8ECA-4A3477B1799A}">
      <text/>
    </comment>
    <comment ref="P136" authorId="0" shapeId="0" xr:uid="{94113AB1-B274-4B26-8B7A-23D755AAAA8D}">
      <text/>
    </comment>
    <comment ref="Q136" authorId="0" shapeId="0" xr:uid="{649EA378-31A3-41A5-A176-B33FA6D6455C}">
      <text/>
    </comment>
    <comment ref="R136" authorId="0" shapeId="0" xr:uid="{B29C8D33-79E5-4D27-9DF9-29817C85BC78}">
      <text/>
    </comment>
    <comment ref="S136" authorId="0" shapeId="0" xr:uid="{DE324839-C085-45EB-9585-0E7EB78393F2}">
      <text/>
    </comment>
    <comment ref="T136" authorId="0" shapeId="0" xr:uid="{563DDE6D-54ED-448F-AE55-1DE8631EDAE3}">
      <text/>
    </comment>
    <comment ref="U136" authorId="0" shapeId="0" xr:uid="{8EC9230C-1ABD-4CC4-9C19-0CB4C3F07DB9}">
      <text/>
    </comment>
    <comment ref="V136" authorId="0" shapeId="0" xr:uid="{0CB62CEC-F046-428D-8C86-B42DDA505244}">
      <text/>
    </comment>
    <comment ref="W136" authorId="0" shapeId="0" xr:uid="{8DC461C4-35CE-4D5D-AD93-34DBBAE6737A}">
      <text/>
    </comment>
    <comment ref="X136" authorId="0" shapeId="0" xr:uid="{AB8B583C-17CB-467F-B0EF-2215FCFC4B7B}">
      <text/>
    </comment>
    <comment ref="E139" authorId="0" shapeId="0" xr:uid="{00000000-0006-0000-0A00-000010000000}">
      <text>
        <r>
          <rPr>
            <b/>
            <sz val="9"/>
            <color indexed="81"/>
            <rFont val="Tahoma"/>
            <family val="2"/>
          </rPr>
          <t>Author:</t>
        </r>
        <r>
          <rPr>
            <sz val="9"/>
            <color indexed="81"/>
            <rFont val="Tahoma"/>
            <family val="2"/>
          </rPr>
          <t xml:space="preserve">
Needs new formula as does not depend on Y_0</t>
        </r>
      </text>
    </comment>
    <comment ref="O139" authorId="0" shapeId="0" xr:uid="{4CEE01E7-505A-4DC8-82A4-D4DC20A80BE2}">
      <text/>
    </comment>
    <comment ref="P139" authorId="0" shapeId="0" xr:uid="{7D682F51-0F4F-452D-9F7F-5A9CBA96A583}">
      <text/>
    </comment>
    <comment ref="Q139" authorId="0" shapeId="0" xr:uid="{012247D6-06D9-46B1-97F0-DC38774AB1A3}">
      <text/>
    </comment>
    <comment ref="R139" authorId="0" shapeId="0" xr:uid="{D403B104-1EA1-430A-8FF5-0C1953B1DE96}">
      <text/>
    </comment>
    <comment ref="S139" authorId="0" shapeId="0" xr:uid="{B26F54D1-0569-46AC-BDCF-7C0A92F9D5FA}">
      <text/>
    </comment>
    <comment ref="T139" authorId="0" shapeId="0" xr:uid="{EAF34029-E12D-4DC7-BBF1-8404FB58AD57}">
      <text/>
    </comment>
    <comment ref="U139" authorId="0" shapeId="0" xr:uid="{785FBD00-D3D7-4D15-85F7-C9980B4276E5}">
      <text/>
    </comment>
    <comment ref="V139" authorId="0" shapeId="0" xr:uid="{1C146BB7-BCB1-48EC-A3CF-E4F24247AD0E}">
      <text/>
    </comment>
    <comment ref="W139" authorId="0" shapeId="0" xr:uid="{961DC0D2-E445-49A8-8897-43DDF98942CE}">
      <text/>
    </comment>
    <comment ref="X139" authorId="0" shapeId="0" xr:uid="{58E9AD0D-5556-404C-993D-7F343E83403D}">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4" authorId="0" shapeId="0" xr:uid="{00000000-0006-0000-0B00-000001000000}">
      <text>
        <r>
          <rPr>
            <b/>
            <sz val="8"/>
            <color indexed="81"/>
            <rFont val="Tahoma"/>
            <family val="2"/>
          </rPr>
          <t>Author:</t>
        </r>
        <r>
          <rPr>
            <sz val="8"/>
            <color indexed="81"/>
            <rFont val="Tahoma"/>
            <family val="2"/>
          </rPr>
          <t xml:space="preserve">
surface area of earth is 510 Mkm2</t>
        </r>
      </text>
    </comment>
    <comment ref="A5" authorId="0" shapeId="0" xr:uid="{00000000-0006-0000-0B00-000002000000}">
      <text>
        <r>
          <rPr>
            <b/>
            <sz val="8"/>
            <color indexed="81"/>
            <rFont val="Tahoma"/>
            <family val="2"/>
          </rPr>
          <t>Author:</t>
        </r>
        <r>
          <rPr>
            <sz val="8"/>
            <color indexed="81"/>
            <rFont val="Tahoma"/>
            <family val="2"/>
          </rPr>
          <t xml:space="preserve">
of land regions</t>
        </r>
      </text>
    </comment>
    <comment ref="E16" authorId="0" shapeId="0" xr:uid="{00000000-0006-0000-0B00-000003000000}">
      <text>
        <r>
          <rPr>
            <b/>
            <sz val="9"/>
            <color indexed="81"/>
            <rFont val="Tahoma"/>
            <family val="2"/>
          </rPr>
          <t>Author:</t>
        </r>
        <r>
          <rPr>
            <sz val="9"/>
            <color indexed="81"/>
            <rFont val="Tahoma"/>
            <family val="2"/>
          </rPr>
          <t xml:space="preserve">
Needs new formula as does not depend on Y_0</t>
        </r>
      </text>
    </comment>
    <comment ref="A20" authorId="0" shapeId="0" xr:uid="{00000000-0006-0000-0B00-000004000000}">
      <text>
        <r>
          <rPr>
            <sz val="9"/>
            <color indexed="81"/>
            <rFont val="Tahoma"/>
            <family val="2"/>
          </rPr>
          <t>Does not include the extra remaining emissions from the CCFF</t>
        </r>
      </text>
    </comment>
    <comment ref="O26" authorId="0" shapeId="0" xr:uid="{7287E162-EEA1-4810-A575-6D2F3B5E38BB}">
      <text/>
    </comment>
    <comment ref="P26" authorId="0" shapeId="0" xr:uid="{63D1A146-57E0-422D-8101-A2E1624F1A6D}">
      <text/>
    </comment>
    <comment ref="Q26" authorId="0" shapeId="0" xr:uid="{5385AB46-0A17-4597-9B4B-8369C668EA16}">
      <text/>
    </comment>
    <comment ref="R26" authorId="0" shapeId="0" xr:uid="{563C7AD9-7621-4CAD-85DE-C345BA3E605F}">
      <text/>
    </comment>
    <comment ref="S26" authorId="0" shapeId="0" xr:uid="{2862367E-D4CA-4CFE-A869-B55EAECD5073}">
      <text/>
    </comment>
    <comment ref="T26" authorId="0" shapeId="0" xr:uid="{08C1FDEA-1283-40AB-94D9-62D9CA2C9B41}">
      <text/>
    </comment>
    <comment ref="U26" authorId="0" shapeId="0" xr:uid="{8754E8A0-3B52-4B59-AAD8-085CD5F05013}">
      <text/>
    </comment>
    <comment ref="V26" authorId="0" shapeId="0" xr:uid="{0416DBC0-81D0-4817-B448-951B795E43EB}">
      <text/>
    </comment>
    <comment ref="W26" authorId="0" shapeId="0" xr:uid="{93821C16-B7D0-4280-B071-C38E0C4B86B3}">
      <text/>
    </comment>
    <comment ref="X26" authorId="0" shapeId="0" xr:uid="{3D31CA0A-A554-43C6-941C-B3149AF88595}">
      <text/>
    </comment>
    <comment ref="O27" authorId="0" shapeId="0" xr:uid="{72D8D925-0B52-4287-A014-BD9CC4807BD3}">
      <text/>
    </comment>
    <comment ref="P27" authorId="0" shapeId="0" xr:uid="{CBDC25A1-173D-4237-A43C-1C761203B56E}">
      <text/>
    </comment>
    <comment ref="Q27" authorId="0" shapeId="0" xr:uid="{464371ED-F9E0-4E57-B63E-7AD145453ACC}">
      <text/>
    </comment>
    <comment ref="R27" authorId="0" shapeId="0" xr:uid="{A5A4A034-C37D-4086-A862-3D066211CE10}">
      <text/>
    </comment>
    <comment ref="S27" authorId="0" shapeId="0" xr:uid="{4B99706C-C3DF-485D-BFBB-F218451C6BF0}">
      <text/>
    </comment>
    <comment ref="T27" authorId="0" shapeId="0" xr:uid="{AE8AAFF9-A3AF-4D4A-9D53-CFB0AC58995C}">
      <text/>
    </comment>
    <comment ref="U27" authorId="0" shapeId="0" xr:uid="{6919365A-06B4-49E8-BB45-08515BDFCA24}">
      <text/>
    </comment>
    <comment ref="V27" authorId="0" shapeId="0" xr:uid="{431106FE-A475-4636-8636-C4852026D637}">
      <text/>
    </comment>
    <comment ref="W27" authorId="0" shapeId="0" xr:uid="{8DDEC096-0D09-49B5-B514-DCEE81BC818B}">
      <text/>
    </comment>
    <comment ref="X27" authorId="0" shapeId="0" xr:uid="{8882B49F-71DB-4415-892E-A8326D918E4C}">
      <text/>
    </comment>
    <comment ref="C29" authorId="0" shapeId="0" xr:uid="{00000000-0006-0000-0B00-000005000000}">
      <text>
        <r>
          <rPr>
            <b/>
            <sz val="8"/>
            <color indexed="81"/>
            <rFont val="Tahoma"/>
            <family val="2"/>
          </rPr>
          <t>Author:</t>
        </r>
        <r>
          <rPr>
            <sz val="8"/>
            <color indexed="81"/>
            <rFont val="Tahoma"/>
            <family val="2"/>
          </rPr>
          <t xml:space="preserve">
Assume related to base year temp</t>
        </r>
      </text>
    </comment>
    <comment ref="E29" authorId="0" shapeId="0" xr:uid="{00000000-0006-0000-0B00-000006000000}">
      <text>
        <r>
          <rPr>
            <b/>
            <sz val="9"/>
            <color indexed="81"/>
            <rFont val="Tahoma"/>
            <family val="2"/>
          </rPr>
          <t>Author:</t>
        </r>
        <r>
          <rPr>
            <sz val="9"/>
            <color indexed="81"/>
            <rFont val="Tahoma"/>
            <family val="2"/>
          </rPr>
          <t xml:space="preserve">
Needs new formula as does not depend on Y_0</t>
        </r>
      </text>
    </comment>
    <comment ref="C39" authorId="0" shapeId="0" xr:uid="{00000000-0006-0000-0B00-000007000000}">
      <text>
        <r>
          <rPr>
            <b/>
            <sz val="8"/>
            <color indexed="81"/>
            <rFont val="Tahoma"/>
            <family val="2"/>
          </rPr>
          <t>Author:</t>
        </r>
        <r>
          <rPr>
            <sz val="8"/>
            <color indexed="81"/>
            <rFont val="Tahoma"/>
            <family val="2"/>
          </rPr>
          <t xml:space="preserve">
Assume related to base year temp</t>
        </r>
      </text>
    </comment>
    <comment ref="E39" authorId="0" shapeId="0" xr:uid="{00000000-0006-0000-0B00-000008000000}">
      <text>
        <r>
          <rPr>
            <b/>
            <sz val="9"/>
            <color indexed="81"/>
            <rFont val="Tahoma"/>
            <family val="2"/>
          </rPr>
          <t>Author:</t>
        </r>
        <r>
          <rPr>
            <sz val="9"/>
            <color indexed="81"/>
            <rFont val="Tahoma"/>
            <family val="2"/>
          </rPr>
          <t xml:space="preserve">
Needs new formula as does not depend on Y_0</t>
        </r>
      </text>
    </comment>
    <comment ref="A48" authorId="0" shapeId="0" xr:uid="{00000000-0006-0000-0B00-000009000000}">
      <text>
        <r>
          <rPr>
            <b/>
            <sz val="9"/>
            <color indexed="81"/>
            <rFont val="Tahoma"/>
            <family val="2"/>
          </rPr>
          <t>Author:</t>
        </r>
        <r>
          <rPr>
            <sz val="9"/>
            <color indexed="81"/>
            <rFont val="Tahoma"/>
            <family val="2"/>
          </rPr>
          <t xml:space="preserve">
Can't be calculated until we know the concentration of N2O</t>
        </r>
      </text>
    </comment>
    <comment ref="A49" authorId="0" shapeId="0" xr:uid="{00000000-0006-0000-0B00-00000A000000}">
      <text>
        <r>
          <rPr>
            <b/>
            <sz val="9"/>
            <color indexed="81"/>
            <rFont val="Tahoma"/>
            <family val="2"/>
          </rPr>
          <t>Author:</t>
        </r>
        <r>
          <rPr>
            <sz val="9"/>
            <color indexed="81"/>
            <rFont val="Tahoma"/>
            <family val="2"/>
          </rPr>
          <t xml:space="preserve">
Both overlap terms from IPCC TAR WGI, table 6.2</t>
        </r>
      </text>
    </comment>
    <comment ref="C53" authorId="0" shapeId="0" xr:uid="{00000000-0006-0000-0B00-00000B000000}">
      <text>
        <r>
          <rPr>
            <b/>
            <sz val="8"/>
            <color indexed="81"/>
            <rFont val="Tahoma"/>
            <family val="2"/>
          </rPr>
          <t>Author:</t>
        </r>
        <r>
          <rPr>
            <sz val="8"/>
            <color indexed="81"/>
            <rFont val="Tahoma"/>
            <family val="2"/>
          </rPr>
          <t xml:space="preserve">
Assume related to base year temp</t>
        </r>
      </text>
    </comment>
    <comment ref="E53" authorId="0" shapeId="0" xr:uid="{00000000-0006-0000-0B00-00000C000000}">
      <text>
        <r>
          <rPr>
            <b/>
            <sz val="9"/>
            <color indexed="81"/>
            <rFont val="Tahoma"/>
            <family val="2"/>
          </rPr>
          <t>Author:</t>
        </r>
        <r>
          <rPr>
            <sz val="9"/>
            <color indexed="81"/>
            <rFont val="Tahoma"/>
            <family val="2"/>
          </rPr>
          <t xml:space="preserve">
Needs new formula as does not depend on Y_0</t>
        </r>
      </text>
    </comment>
    <comment ref="A61" authorId="0" shapeId="0" xr:uid="{00000000-0006-0000-0B00-00000D000000}">
      <text>
        <r>
          <rPr>
            <b/>
            <sz val="8"/>
            <color indexed="81"/>
            <rFont val="Tahoma"/>
            <family val="2"/>
          </rPr>
          <t>Author:</t>
        </r>
        <r>
          <rPr>
            <sz val="8"/>
            <color indexed="81"/>
            <rFont val="Tahoma"/>
            <family val="2"/>
          </rPr>
          <t xml:space="preserve">
Assumed linear in concentration</t>
        </r>
      </text>
    </comment>
    <comment ref="O62" authorId="0" shapeId="0" xr:uid="{B7D1466D-6CBA-44F1-ACF9-D5D42BC941C3}">
      <text/>
    </comment>
    <comment ref="P62" authorId="0" shapeId="0" xr:uid="{1F235AE6-E095-482D-881C-8FF82DFD622B}">
      <text/>
    </comment>
    <comment ref="Q62" authorId="0" shapeId="0" xr:uid="{EDFB061E-9140-410E-BF34-C05E9F423A85}">
      <text/>
    </comment>
    <comment ref="R62" authorId="0" shapeId="0" xr:uid="{BD68C165-A7F7-4B6A-B023-EFDFA0AC9F39}">
      <text/>
    </comment>
    <comment ref="S62" authorId="0" shapeId="0" xr:uid="{F620C549-69AF-4AC0-927C-8C2351B79786}">
      <text/>
    </comment>
    <comment ref="T62" authorId="0" shapeId="0" xr:uid="{A758BB9C-8AB6-490F-9F8F-B8AC5AA78A0A}">
      <text/>
    </comment>
    <comment ref="U62" authorId="0" shapeId="0" xr:uid="{B3B87196-DA9C-4FD2-9729-38C1BD67E437}">
      <text/>
    </comment>
    <comment ref="V62" authorId="0" shapeId="0" xr:uid="{1E49240C-1D86-4C1F-9AC2-232398924F6C}">
      <text/>
    </comment>
    <comment ref="W62" authorId="0" shapeId="0" xr:uid="{2B2DFA3C-A6A2-48DF-897D-00CB067E35A7}">
      <text/>
    </comment>
    <comment ref="X62" authorId="0" shapeId="0" xr:uid="{650CF25A-9255-454E-A583-789AE94050AB}">
      <text/>
    </comment>
    <comment ref="E118" authorId="0" shapeId="0" xr:uid="{00000000-0006-0000-0B00-00000E000000}">
      <text>
        <r>
          <rPr>
            <b/>
            <sz val="8"/>
            <color indexed="81"/>
            <rFont val="Tahoma"/>
            <family val="2"/>
          </rPr>
          <t>Author:</t>
        </r>
        <r>
          <rPr>
            <sz val="8"/>
            <color indexed="81"/>
            <rFont val="Tahoma"/>
            <family val="2"/>
          </rPr>
          <t xml:space="preserve">
Can't just copy column D as this depends on RTL_0.
Array formula checked in v0.5 impacts test</t>
        </r>
      </text>
    </comment>
    <comment ref="A126" authorId="0" shapeId="0" xr:uid="{00000000-0006-0000-0B00-00000F000000}">
      <text>
        <r>
          <rPr>
            <b/>
            <sz val="8"/>
            <color indexed="81"/>
            <rFont val="Tahoma"/>
            <family val="2"/>
          </rPr>
          <t>Author:</t>
        </r>
        <r>
          <rPr>
            <sz val="8"/>
            <color indexed="81"/>
            <rFont val="Tahoma"/>
            <family val="2"/>
          </rPr>
          <t xml:space="preserve">
adjusted for latitude and land</t>
        </r>
      </text>
    </comment>
    <comment ref="O134" authorId="0" shapeId="0" xr:uid="{9C63C334-4DC7-4F7F-B68E-152547108584}">
      <text/>
    </comment>
    <comment ref="P134" authorId="0" shapeId="0" xr:uid="{55C6B48B-8A1F-4AF7-93CA-09FD67AC7FE8}">
      <text/>
    </comment>
    <comment ref="Q134" authorId="0" shapeId="0" xr:uid="{1DAEE77F-368B-4989-AB53-C01DF71059B3}">
      <text/>
    </comment>
    <comment ref="R134" authorId="0" shapeId="0" xr:uid="{B3928F3D-09A5-4381-BB91-DF293F99C63F}">
      <text/>
    </comment>
    <comment ref="S134" authorId="0" shapeId="0" xr:uid="{9A0623FF-EF19-46C2-8BEC-7928DE756827}">
      <text/>
    </comment>
    <comment ref="T134" authorId="0" shapeId="0" xr:uid="{15B48580-54E4-49BC-BE78-2E9A8E214A3C}">
      <text/>
    </comment>
    <comment ref="U134" authorId="0" shapeId="0" xr:uid="{4561DB2C-E5FE-4049-8930-FFBCE4368430}">
      <text/>
    </comment>
    <comment ref="V134" authorId="0" shapeId="0" xr:uid="{01BC4EB8-1749-49E2-9B74-4B53198D91BE}">
      <text/>
    </comment>
    <comment ref="W134" authorId="0" shapeId="0" xr:uid="{C46E7191-524F-49DB-93C1-60C34ACD6D7C}">
      <text/>
    </comment>
    <comment ref="X134" authorId="0" shapeId="0" xr:uid="{8FD00E88-1C04-4660-8A44-0ADC1EA16DBA}">
      <text/>
    </comment>
    <comment ref="O136" authorId="0" shapeId="0" xr:uid="{2325E99C-77E6-433E-BC4F-58E47BD17C9C}">
      <text/>
    </comment>
    <comment ref="P136" authorId="0" shapeId="0" xr:uid="{C1F0AF99-9395-4BDD-B6E0-C0BC56D2E511}">
      <text/>
    </comment>
    <comment ref="Q136" authorId="0" shapeId="0" xr:uid="{12D80B96-7908-4AFA-8A1B-B412CA10892A}">
      <text/>
    </comment>
    <comment ref="R136" authorId="0" shapeId="0" xr:uid="{6B467931-FE7A-43E7-A42D-BE3720F54885}">
      <text/>
    </comment>
    <comment ref="S136" authorId="0" shapeId="0" xr:uid="{1AE6575E-0804-41FF-A926-53084DC0F14B}">
      <text/>
    </comment>
    <comment ref="T136" authorId="0" shapeId="0" xr:uid="{F078C297-3BA2-4E11-AF99-8A2520331490}">
      <text/>
    </comment>
    <comment ref="U136" authorId="0" shapeId="0" xr:uid="{99119A59-1187-46A3-83E4-CDECE5245E4E}">
      <text/>
    </comment>
    <comment ref="V136" authorId="0" shapeId="0" xr:uid="{35DA778F-BDCE-4733-9E5B-204EAB9AA57A}">
      <text/>
    </comment>
    <comment ref="W136" authorId="0" shapeId="0" xr:uid="{B08AACCA-36FB-4989-A52A-7246804C9E7E}">
      <text/>
    </comment>
    <comment ref="X136" authorId="0" shapeId="0" xr:uid="{67775E5F-FC2A-4ADB-846E-138F720D1267}">
      <text/>
    </comment>
    <comment ref="E139" authorId="0" shapeId="0" xr:uid="{00000000-0006-0000-0B00-000010000000}">
      <text>
        <r>
          <rPr>
            <b/>
            <sz val="9"/>
            <color indexed="81"/>
            <rFont val="Tahoma"/>
            <family val="2"/>
          </rPr>
          <t>Author:</t>
        </r>
        <r>
          <rPr>
            <sz val="9"/>
            <color indexed="81"/>
            <rFont val="Tahoma"/>
            <family val="2"/>
          </rPr>
          <t xml:space="preserve">
Needs new formula as does not depend on Y_0</t>
        </r>
      </text>
    </comment>
    <comment ref="O139" authorId="0" shapeId="0" xr:uid="{FA239F9F-288E-4B8A-881D-7606B4D2318D}">
      <text/>
    </comment>
    <comment ref="P139" authorId="0" shapeId="0" xr:uid="{7DFA19FA-0211-4A44-B6F5-304F9BB053CE}">
      <text/>
    </comment>
    <comment ref="Q139" authorId="0" shapeId="0" xr:uid="{18ACA14F-825A-4D0F-A85A-58D619E11061}">
      <text/>
    </comment>
    <comment ref="R139" authorId="0" shapeId="0" xr:uid="{BBEEBF5E-31D9-4AD4-B991-F42F87063900}">
      <text/>
    </comment>
    <comment ref="S139" authorId="0" shapeId="0" xr:uid="{7262521C-0943-4400-AE6A-61629D3D767A}">
      <text/>
    </comment>
    <comment ref="T139" authorId="0" shapeId="0" xr:uid="{C1DB527A-E69F-414E-9725-735E67A85DED}">
      <text/>
    </comment>
    <comment ref="U139" authorId="0" shapeId="0" xr:uid="{066877F8-A1AD-4A56-84C2-EFFAE2C5038B}">
      <text/>
    </comment>
    <comment ref="V139" authorId="0" shapeId="0" xr:uid="{DAC8C045-A026-4180-80BA-D8CD5A93BCA4}">
      <text/>
    </comment>
    <comment ref="W139" authorId="0" shapeId="0" xr:uid="{54907E9C-E002-4D28-808A-CE9A2EBAF5C1}">
      <text/>
    </comment>
    <comment ref="X139" authorId="0" shapeId="0" xr:uid="{C7FAD8C3-0879-4B20-B5B2-BDF677E9601A}">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84" authorId="0" shapeId="0" xr:uid="{00000000-0006-0000-0C00-000001000000}">
      <text>
        <r>
          <rPr>
            <b/>
            <sz val="8"/>
            <color indexed="81"/>
            <rFont val="Tahoma"/>
            <family val="2"/>
          </rPr>
          <t>Author:</t>
        </r>
        <r>
          <rPr>
            <sz val="8"/>
            <color indexed="81"/>
            <rFont val="Tahoma"/>
            <family val="2"/>
          </rPr>
          <t xml:space="preserve">
Take emissions away from zerocost. </t>
        </r>
      </text>
    </comment>
    <comment ref="C157" authorId="0" shapeId="0" xr:uid="{00000000-0006-0000-0C00-000002000000}">
      <text>
        <r>
          <rPr>
            <b/>
            <sz val="8"/>
            <color indexed="81"/>
            <rFont val="Tahoma"/>
            <family val="2"/>
          </rPr>
          <t>Author:</t>
        </r>
        <r>
          <rPr>
            <sz val="8"/>
            <color indexed="81"/>
            <rFont val="Tahoma"/>
            <family val="2"/>
          </rPr>
          <t xml:space="preserve">
Array formula checked against relative addressing 04MY09</t>
        </r>
      </text>
    </comment>
    <comment ref="A388" authorId="0" shapeId="0" xr:uid="{00000000-0006-0000-0C00-000003000000}">
      <text>
        <r>
          <rPr>
            <b/>
            <sz val="8"/>
            <color indexed="81"/>
            <rFont val="Tahoma"/>
            <family val="2"/>
          </rPr>
          <t>Author:</t>
        </r>
        <r>
          <rPr>
            <sz val="8"/>
            <color indexed="81"/>
            <rFont val="Tahoma"/>
            <family val="2"/>
          </rPr>
          <t xml:space="preserve">
If q0 = 0, need to specify as any value to avoid DIV0 error</t>
        </r>
      </text>
    </comment>
    <comment ref="A424" authorId="0" shapeId="0" xr:uid="{00000000-0006-0000-0C00-000004000000}">
      <text>
        <r>
          <rPr>
            <b/>
            <sz val="8"/>
            <color indexed="81"/>
            <rFont val="Tahoma"/>
            <family val="2"/>
          </rPr>
          <t>Author:</t>
        </r>
        <r>
          <rPr>
            <sz val="8"/>
            <color indexed="81"/>
            <rFont val="Tahoma"/>
            <family val="2"/>
          </rPr>
          <t xml:space="preserve">
If q0 = 0, need to specify as any value to avoid DIV0 error</t>
        </r>
      </text>
    </comment>
    <comment ref="A532" authorId="0" shapeId="0" xr:uid="{00000000-0006-0000-0C00-000005000000}">
      <text>
        <r>
          <rPr>
            <b/>
            <sz val="8"/>
            <color indexed="81"/>
            <rFont val="Tahoma"/>
            <family val="2"/>
          </rPr>
          <t>Author:</t>
        </r>
        <r>
          <rPr>
            <sz val="8"/>
            <color indexed="81"/>
            <rFont val="Tahoma"/>
            <family val="2"/>
          </rPr>
          <t xml:space="preserve">
need to set to zero if Q0 = 0, otherwise there is a DIV0 error</t>
        </r>
      </text>
    </comment>
    <comment ref="A658" authorId="0" shapeId="0" xr:uid="{00000000-0006-0000-0C00-000006000000}">
      <text>
        <r>
          <rPr>
            <b/>
            <sz val="8"/>
            <color indexed="81"/>
            <rFont val="Tahoma"/>
            <family val="2"/>
          </rPr>
          <t>Author:</t>
        </r>
        <r>
          <rPr>
            <sz val="8"/>
            <color indexed="81"/>
            <rFont val="Tahoma"/>
            <family val="2"/>
          </rPr>
          <t xml:space="preserve">
Assumes equity_prop = 1. Calculated from tct_per_cap. Almost the same as the sum of the individual gases for small costs likely to be found in practice.</t>
        </r>
      </text>
    </comment>
    <comment ref="A667" authorId="0" shapeId="0" xr:uid="{00000000-0006-0000-0C00-000007000000}">
      <text>
        <r>
          <rPr>
            <b/>
            <sz val="8"/>
            <color indexed="81"/>
            <rFont val="Tahoma"/>
            <family val="2"/>
          </rPr>
          <t>Author:</t>
        </r>
        <r>
          <rPr>
            <sz val="8"/>
            <color indexed="81"/>
            <rFont val="Tahoma"/>
            <family val="2"/>
          </rPr>
          <t xml:space="preserve">
Calculated from tct_per_cap and wtct_per_cap. Almost the same as the sum of the individual gases for small costs likely to be found in practice.</t>
        </r>
      </text>
    </comment>
    <comment ref="B685" authorId="0" shapeId="0" xr:uid="{ED80B008-D5AD-4F3C-9B01-757A378B72F0}">
      <text/>
    </comment>
    <comment ref="C685" authorId="0" shapeId="0" xr:uid="{5D0169D9-354A-4BA7-8162-5F1DFD2FFEB4}">
      <text/>
    </comment>
    <comment ref="D685" authorId="0" shapeId="0" xr:uid="{CFBA4666-83DF-4638-AC72-49A1A3898C7D}">
      <text/>
    </comment>
    <comment ref="E685" authorId="0" shapeId="0" xr:uid="{58AE6903-2645-4B9D-8C95-1EA0BCA72EB0}">
      <text/>
    </comment>
    <comment ref="F685" authorId="0" shapeId="0" xr:uid="{7220B92B-4722-4DA0-8AC4-BB32CD1F0155}">
      <text/>
    </comment>
    <comment ref="G685" authorId="0" shapeId="0" xr:uid="{33D6ED4F-CC73-421C-BF19-42B57FF4870A}">
      <text/>
    </comment>
    <comment ref="H685" authorId="0" shapeId="0" xr:uid="{6950D303-1EB9-4753-8C8D-B2A698C73361}">
      <text/>
    </comment>
    <comment ref="I685" authorId="0" shapeId="0" xr:uid="{234BA5A7-053D-4F00-9C47-46C8BFEB32A3}">
      <text/>
    </comment>
    <comment ref="J685" authorId="0" shapeId="0" xr:uid="{E050FA61-A7F5-4177-A9B5-6211BFC54DB8}">
      <text/>
    </comment>
    <comment ref="K685" authorId="0" shapeId="0" xr:uid="{046447B8-1F27-4CF5-B374-2D87D2973F89}">
      <text/>
    </comment>
    <comment ref="A695" authorId="0" shapeId="0" xr:uid="{00000000-0006-0000-0C00-000008000000}">
      <text>
        <r>
          <rPr>
            <b/>
            <sz val="8"/>
            <color indexed="81"/>
            <rFont val="Tahoma"/>
            <family val="2"/>
          </rPr>
          <t>Author:</t>
        </r>
        <r>
          <rPr>
            <sz val="8"/>
            <color indexed="81"/>
            <rFont val="Tahoma"/>
            <family val="2"/>
          </rPr>
          <t xml:space="preserve">
For the analysis years. Includes switch to turn equity weighting off.</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84" authorId="0" shapeId="0" xr:uid="{00000000-0006-0000-0D00-000001000000}">
      <text>
        <r>
          <rPr>
            <b/>
            <sz val="8"/>
            <color indexed="81"/>
            <rFont val="Tahoma"/>
            <family val="2"/>
          </rPr>
          <t>Author:</t>
        </r>
        <r>
          <rPr>
            <sz val="8"/>
            <color indexed="81"/>
            <rFont val="Tahoma"/>
            <family val="2"/>
          </rPr>
          <t xml:space="preserve">
Take emissions away from zerocost. </t>
        </r>
      </text>
    </comment>
    <comment ref="C157" authorId="0" shapeId="0" xr:uid="{00000000-0006-0000-0D00-000002000000}">
      <text>
        <r>
          <rPr>
            <b/>
            <sz val="8"/>
            <color indexed="81"/>
            <rFont val="Tahoma"/>
            <family val="2"/>
          </rPr>
          <t>Author:</t>
        </r>
        <r>
          <rPr>
            <sz val="8"/>
            <color indexed="81"/>
            <rFont val="Tahoma"/>
            <family val="2"/>
          </rPr>
          <t xml:space="preserve">
Array formula checked against relative addressing 04MY09</t>
        </r>
      </text>
    </comment>
    <comment ref="A388" authorId="0" shapeId="0" xr:uid="{00000000-0006-0000-0D00-000003000000}">
      <text>
        <r>
          <rPr>
            <b/>
            <sz val="8"/>
            <color indexed="81"/>
            <rFont val="Tahoma"/>
            <family val="2"/>
          </rPr>
          <t>Author:</t>
        </r>
        <r>
          <rPr>
            <sz val="8"/>
            <color indexed="81"/>
            <rFont val="Tahoma"/>
            <family val="2"/>
          </rPr>
          <t xml:space="preserve">
If q0 = 0, need to specify as any value to avoid DIV0 error</t>
        </r>
      </text>
    </comment>
    <comment ref="A424" authorId="0" shapeId="0" xr:uid="{00000000-0006-0000-0D00-000004000000}">
      <text>
        <r>
          <rPr>
            <b/>
            <sz val="8"/>
            <color indexed="81"/>
            <rFont val="Tahoma"/>
            <family val="2"/>
          </rPr>
          <t>Author:</t>
        </r>
        <r>
          <rPr>
            <sz val="8"/>
            <color indexed="81"/>
            <rFont val="Tahoma"/>
            <family val="2"/>
          </rPr>
          <t xml:space="preserve">
If q0 = 0, need to specify as any value to avoid DIV0 error</t>
        </r>
      </text>
    </comment>
    <comment ref="A532" authorId="0" shapeId="0" xr:uid="{00000000-0006-0000-0D00-000005000000}">
      <text>
        <r>
          <rPr>
            <b/>
            <sz val="8"/>
            <color indexed="81"/>
            <rFont val="Tahoma"/>
            <family val="2"/>
          </rPr>
          <t>Author:</t>
        </r>
        <r>
          <rPr>
            <sz val="8"/>
            <color indexed="81"/>
            <rFont val="Tahoma"/>
            <family val="2"/>
          </rPr>
          <t xml:space="preserve">
need to set to zero if Q0 = 0, otherwise there is a DIV0 error</t>
        </r>
      </text>
    </comment>
    <comment ref="A658" authorId="0" shapeId="0" xr:uid="{00000000-0006-0000-0D00-000006000000}">
      <text>
        <r>
          <rPr>
            <b/>
            <sz val="8"/>
            <color indexed="81"/>
            <rFont val="Tahoma"/>
            <family val="2"/>
          </rPr>
          <t>Author:</t>
        </r>
        <r>
          <rPr>
            <sz val="8"/>
            <color indexed="81"/>
            <rFont val="Tahoma"/>
            <family val="2"/>
          </rPr>
          <t xml:space="preserve">
Assumes equity_prop = 1. Calculated from tct_per_cap. Almost the same as the sum of the individual gases for small costs likely to be found in practice.</t>
        </r>
      </text>
    </comment>
    <comment ref="A667" authorId="0" shapeId="0" xr:uid="{00000000-0006-0000-0D00-000007000000}">
      <text>
        <r>
          <rPr>
            <b/>
            <sz val="8"/>
            <color indexed="81"/>
            <rFont val="Tahoma"/>
            <family val="2"/>
          </rPr>
          <t>Author:</t>
        </r>
        <r>
          <rPr>
            <sz val="8"/>
            <color indexed="81"/>
            <rFont val="Tahoma"/>
            <family val="2"/>
          </rPr>
          <t xml:space="preserve">
Calculated from tct_per_cap and wtct_per_cap. Almost the same as the sum of the individual gases for small costs likely to be found in practice.</t>
        </r>
      </text>
    </comment>
    <comment ref="B685" authorId="0" shapeId="0" xr:uid="{005FA99E-ABDF-446F-912E-334DCB309443}">
      <text/>
    </comment>
    <comment ref="C685" authorId="0" shapeId="0" xr:uid="{2A398C5B-CCD4-4F43-AC5B-DDA43755B7C0}">
      <text/>
    </comment>
    <comment ref="D685" authorId="0" shapeId="0" xr:uid="{6BFC4486-F867-4A05-BB72-B161E4DA04C7}">
      <text/>
    </comment>
    <comment ref="E685" authorId="0" shapeId="0" xr:uid="{5F65DD0B-893E-478F-9E33-4283F5F9DEFC}">
      <text/>
    </comment>
    <comment ref="F685" authorId="0" shapeId="0" xr:uid="{7F1AEDD2-59AF-4298-95FF-2023C601282F}">
      <text/>
    </comment>
    <comment ref="G685" authorId="0" shapeId="0" xr:uid="{2AE4DE1F-4E43-433D-97C9-14D032CFEA8B}">
      <text/>
    </comment>
    <comment ref="H685" authorId="0" shapeId="0" xr:uid="{3CC4B66A-2DEB-43F7-A154-30955A763D1E}">
      <text/>
    </comment>
    <comment ref="I685" authorId="0" shapeId="0" xr:uid="{93658FBE-4609-46C4-8322-A4AE55BBA869}">
      <text/>
    </comment>
    <comment ref="J685" authorId="0" shapeId="0" xr:uid="{8AD71AC0-BEB3-423F-BD19-CEC030AA32B6}">
      <text/>
    </comment>
    <comment ref="K685" authorId="0" shapeId="0" xr:uid="{C5BE2D01-C420-48EC-90C8-0E17EBBD04B8}">
      <text/>
    </comment>
    <comment ref="A695" authorId="0" shapeId="0" xr:uid="{00000000-0006-0000-0D00-000008000000}">
      <text>
        <r>
          <rPr>
            <b/>
            <sz val="8"/>
            <color indexed="81"/>
            <rFont val="Tahoma"/>
            <family val="2"/>
          </rPr>
          <t>Author:</t>
        </r>
        <r>
          <rPr>
            <sz val="8"/>
            <color indexed="81"/>
            <rFont val="Tahoma"/>
            <family val="2"/>
          </rPr>
          <t xml:space="preserve">
For the analysis years. Includes switch to turn equity weighting off.</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84" authorId="0" shapeId="0" xr:uid="{00000000-0006-0000-0E00-000001000000}">
      <text>
        <r>
          <rPr>
            <b/>
            <sz val="8"/>
            <color indexed="81"/>
            <rFont val="Tahoma"/>
            <family val="2"/>
          </rPr>
          <t>Author:</t>
        </r>
        <r>
          <rPr>
            <sz val="8"/>
            <color indexed="81"/>
            <rFont val="Tahoma"/>
            <family val="2"/>
          </rPr>
          <t xml:space="preserve">
Take emissions away from zerocost. </t>
        </r>
      </text>
    </comment>
    <comment ref="C157" authorId="0" shapeId="0" xr:uid="{00000000-0006-0000-0E00-000002000000}">
      <text>
        <r>
          <rPr>
            <b/>
            <sz val="8"/>
            <color indexed="81"/>
            <rFont val="Tahoma"/>
            <family val="2"/>
          </rPr>
          <t>Author:</t>
        </r>
        <r>
          <rPr>
            <sz val="8"/>
            <color indexed="81"/>
            <rFont val="Tahoma"/>
            <family val="2"/>
          </rPr>
          <t xml:space="preserve">
Array formula checked against relative addressing 04MY09</t>
        </r>
      </text>
    </comment>
    <comment ref="A388" authorId="0" shapeId="0" xr:uid="{00000000-0006-0000-0E00-000003000000}">
      <text>
        <r>
          <rPr>
            <b/>
            <sz val="8"/>
            <color indexed="81"/>
            <rFont val="Tahoma"/>
            <family val="2"/>
          </rPr>
          <t>Author:</t>
        </r>
        <r>
          <rPr>
            <sz val="8"/>
            <color indexed="81"/>
            <rFont val="Tahoma"/>
            <family val="2"/>
          </rPr>
          <t xml:space="preserve">
If q0 = 0, need to specify as any value to avoid DIV0 error</t>
        </r>
      </text>
    </comment>
    <comment ref="A424" authorId="0" shapeId="0" xr:uid="{00000000-0006-0000-0E00-000004000000}">
      <text>
        <r>
          <rPr>
            <b/>
            <sz val="8"/>
            <color indexed="81"/>
            <rFont val="Tahoma"/>
            <family val="2"/>
          </rPr>
          <t>Author:</t>
        </r>
        <r>
          <rPr>
            <sz val="8"/>
            <color indexed="81"/>
            <rFont val="Tahoma"/>
            <family val="2"/>
          </rPr>
          <t xml:space="preserve">
If q0 = 0, need to specify as any value to avoid DIV0 error</t>
        </r>
      </text>
    </comment>
    <comment ref="A532" authorId="0" shapeId="0" xr:uid="{00000000-0006-0000-0E00-000005000000}">
      <text>
        <r>
          <rPr>
            <b/>
            <sz val="8"/>
            <color indexed="81"/>
            <rFont val="Tahoma"/>
            <family val="2"/>
          </rPr>
          <t>Author:</t>
        </r>
        <r>
          <rPr>
            <sz val="8"/>
            <color indexed="81"/>
            <rFont val="Tahoma"/>
            <family val="2"/>
          </rPr>
          <t xml:space="preserve">
need to set to zero if Q0 = 0, otherwise there is a DIV0 error</t>
        </r>
      </text>
    </comment>
    <comment ref="A658" authorId="0" shapeId="0" xr:uid="{00000000-0006-0000-0E00-000006000000}">
      <text>
        <r>
          <rPr>
            <b/>
            <sz val="8"/>
            <color indexed="81"/>
            <rFont val="Tahoma"/>
            <family val="2"/>
          </rPr>
          <t>Author:</t>
        </r>
        <r>
          <rPr>
            <sz val="8"/>
            <color indexed="81"/>
            <rFont val="Tahoma"/>
            <family val="2"/>
          </rPr>
          <t xml:space="preserve">
Assumes equity_prop = 1. Calculated from tct_per_cap. Almost the same as the sum of the individual gases for small costs likely to be found in practice.</t>
        </r>
      </text>
    </comment>
    <comment ref="A667" authorId="0" shapeId="0" xr:uid="{00000000-0006-0000-0E00-000007000000}">
      <text>
        <r>
          <rPr>
            <b/>
            <sz val="8"/>
            <color indexed="81"/>
            <rFont val="Tahoma"/>
            <family val="2"/>
          </rPr>
          <t>Author:</t>
        </r>
        <r>
          <rPr>
            <sz val="8"/>
            <color indexed="81"/>
            <rFont val="Tahoma"/>
            <family val="2"/>
          </rPr>
          <t xml:space="preserve">
Calculated from tct_per_cap and wtct_per_cap. Almost the same as the sum of the individual gases for small costs likely to be found in practice.</t>
        </r>
      </text>
    </comment>
    <comment ref="A695" authorId="0" shapeId="0" xr:uid="{00000000-0006-0000-0E00-000008000000}">
      <text>
        <r>
          <rPr>
            <b/>
            <sz val="8"/>
            <color indexed="81"/>
            <rFont val="Tahoma"/>
            <family val="2"/>
          </rPr>
          <t>Author:</t>
        </r>
        <r>
          <rPr>
            <sz val="8"/>
            <color indexed="81"/>
            <rFont val="Tahoma"/>
            <family val="2"/>
          </rPr>
          <t xml:space="preserve">
For the analysis years. Includes switch to turn equity weighting off.</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31" authorId="0" shapeId="0" xr:uid="{00000000-0006-0000-0F00-000001000000}">
      <text>
        <r>
          <rPr>
            <b/>
            <sz val="8"/>
            <color indexed="81"/>
            <rFont val="Tahoma"/>
            <family val="2"/>
          </rPr>
          <t>Author:</t>
        </r>
        <r>
          <rPr>
            <sz val="8"/>
            <color indexed="81"/>
            <rFont val="Tahoma"/>
            <family val="2"/>
          </rPr>
          <t xml:space="preserve">
When equity proportion = 1</t>
        </r>
      </text>
    </comment>
    <comment ref="A159" authorId="0" shapeId="0" xr:uid="{00000000-0006-0000-0F00-000002000000}">
      <text>
        <r>
          <rPr>
            <b/>
            <sz val="8"/>
            <color indexed="81"/>
            <rFont val="Tahoma"/>
            <family val="2"/>
          </rPr>
          <t>Author:</t>
        </r>
        <r>
          <rPr>
            <sz val="8"/>
            <color indexed="81"/>
            <rFont val="Tahoma"/>
            <family val="2"/>
          </rPr>
          <t xml:space="preserve">
For the analysis years. Includes switch to turn equity weighting off.</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31" authorId="0" shapeId="0" xr:uid="{00000000-0006-0000-1000-000001000000}">
      <text>
        <r>
          <rPr>
            <b/>
            <sz val="8"/>
            <color indexed="81"/>
            <rFont val="Tahoma"/>
            <family val="2"/>
          </rPr>
          <t>Author:</t>
        </r>
        <r>
          <rPr>
            <sz val="8"/>
            <color indexed="81"/>
            <rFont val="Tahoma"/>
            <family val="2"/>
          </rPr>
          <t xml:space="preserve">
When equity proportion = 1</t>
        </r>
      </text>
    </comment>
    <comment ref="A159" authorId="0" shapeId="0" xr:uid="{00000000-0006-0000-1000-000002000000}">
      <text>
        <r>
          <rPr>
            <b/>
            <sz val="8"/>
            <color indexed="81"/>
            <rFont val="Tahoma"/>
            <family val="2"/>
          </rPr>
          <t>Author:</t>
        </r>
        <r>
          <rPr>
            <sz val="8"/>
            <color indexed="81"/>
            <rFont val="Tahoma"/>
            <family val="2"/>
          </rPr>
          <t xml:space="preserve">
For the analysis years. Includes switch to turn equity weighting off.</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31" authorId="0" shapeId="0" xr:uid="{00000000-0006-0000-1100-000001000000}">
      <text>
        <r>
          <rPr>
            <b/>
            <sz val="8"/>
            <color indexed="81"/>
            <rFont val="Tahoma"/>
            <family val="2"/>
          </rPr>
          <t>Author:</t>
        </r>
        <r>
          <rPr>
            <sz val="8"/>
            <color indexed="81"/>
            <rFont val="Tahoma"/>
            <family val="2"/>
          </rPr>
          <t xml:space="preserve">
When equity proportion = 1</t>
        </r>
      </text>
    </comment>
    <comment ref="A159" authorId="0" shapeId="0" xr:uid="{00000000-0006-0000-1100-000002000000}">
      <text>
        <r>
          <rPr>
            <b/>
            <sz val="8"/>
            <color indexed="81"/>
            <rFont val="Tahoma"/>
            <family val="2"/>
          </rPr>
          <t>Author:</t>
        </r>
        <r>
          <rPr>
            <sz val="8"/>
            <color indexed="81"/>
            <rFont val="Tahoma"/>
            <family val="2"/>
          </rPr>
          <t xml:space="preserve">
For the analysis years. Includes switch to turn equity weighting off.</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3" authorId="0" shapeId="0" xr:uid="{00000000-0006-0000-1200-000001000000}">
      <text>
        <r>
          <rPr>
            <b/>
            <sz val="8"/>
            <color indexed="81"/>
            <rFont val="Tahoma"/>
            <family val="2"/>
          </rPr>
          <t>Author:</t>
        </r>
        <r>
          <rPr>
            <sz val="8"/>
            <color indexed="81"/>
            <rFont val="Tahoma"/>
            <family val="2"/>
          </rPr>
          <t xml:space="preserve">
Adjusted ISAT to apply to GDP and ensure loss never exceeds 100% of consumption</t>
        </r>
      </text>
    </comment>
    <comment ref="C103" authorId="0" shapeId="0" xr:uid="{00000000-0006-0000-1200-000002000000}">
      <text>
        <r>
          <rPr>
            <b/>
            <sz val="8"/>
            <color indexed="81"/>
            <rFont val="Tahoma"/>
            <family val="2"/>
          </rPr>
          <t>Author:</t>
        </r>
        <r>
          <rPr>
            <sz val="8"/>
            <color indexed="81"/>
            <rFont val="Tahoma"/>
            <family val="2"/>
          </rPr>
          <t xml:space="preserve">
Temperature above discontinuity limit and probability of discontinuity; single global value. Does not matter if negative as formula for' occurs?' still correct</t>
        </r>
      </text>
    </comment>
    <comment ref="B107" authorId="0" shapeId="0" xr:uid="{AF0E31DD-7267-4B6F-8A35-6A7AFEDD8CE9}">
      <text/>
    </comment>
    <comment ref="A108" authorId="0" shapeId="0" xr:uid="{00000000-0006-0000-1200-000003000000}">
      <text>
        <r>
          <rPr>
            <b/>
            <sz val="9"/>
            <color indexed="81"/>
            <rFont val="Tahoma"/>
            <family val="2"/>
          </rPr>
          <t>Author:</t>
        </r>
        <r>
          <rPr>
            <sz val="9"/>
            <color indexed="81"/>
            <rFont val="Tahoma"/>
            <family val="2"/>
          </rPr>
          <t xml:space="preserve">
Continues to occur even if temperature subsequently goes down</t>
        </r>
      </text>
    </comment>
    <comment ref="A141" authorId="0" shapeId="0" xr:uid="{00000000-0006-0000-1200-000004000000}">
      <text>
        <r>
          <rPr>
            <b/>
            <sz val="9"/>
            <color indexed="81"/>
            <rFont val="Tahoma"/>
            <family val="2"/>
          </rPr>
          <t>Author:</t>
        </r>
        <r>
          <rPr>
            <sz val="9"/>
            <color indexed="81"/>
            <rFont val="Tahoma"/>
            <family val="2"/>
          </rPr>
          <t xml:space="preserve">
From difference of GDP and population growth rates</t>
        </r>
      </text>
    </comment>
    <comment ref="A151" authorId="0" shapeId="0" xr:uid="{00000000-0006-0000-1200-000005000000}">
      <text>
        <r>
          <rPr>
            <b/>
            <sz val="9"/>
            <color indexed="81"/>
            <rFont val="Tahoma"/>
            <family val="2"/>
          </rPr>
          <t>Author:</t>
        </r>
        <r>
          <rPr>
            <sz val="9"/>
            <color indexed="81"/>
            <rFont val="Tahoma"/>
            <family val="2"/>
          </rPr>
          <t xml:space="preserve">
Assumes the same savings rate everywhere</t>
        </r>
      </text>
    </comment>
    <comment ref="A152" authorId="0" shapeId="0" xr:uid="{00000000-0006-0000-1200-000006000000}">
      <text>
        <r>
          <rPr>
            <b/>
            <sz val="9"/>
            <color indexed="81"/>
            <rFont val="Tahoma"/>
            <family val="2"/>
          </rPr>
          <t>Author:</t>
        </r>
        <r>
          <rPr>
            <sz val="9"/>
            <color indexed="81"/>
            <rFont val="Tahoma"/>
            <family val="2"/>
          </rPr>
          <t xml:space="preserve">
Calculated; a check on mean GDP per capita growth rates</t>
        </r>
      </text>
    </comment>
    <comment ref="A153" authorId="0" shapeId="0" xr:uid="{00000000-0006-0000-1200-000007000000}">
      <text>
        <r>
          <rPr>
            <b/>
            <sz val="8"/>
            <color indexed="81"/>
            <rFont val="Tahoma"/>
            <family val="2"/>
          </rPr>
          <t>Author:</t>
        </r>
        <r>
          <rPr>
            <sz val="8"/>
            <color indexed="81"/>
            <rFont val="Tahoma"/>
            <family val="2"/>
          </rPr>
          <t xml:space="preserve">
The product factor in the eqn for TD. Uses ptp rate.</t>
        </r>
      </text>
    </comment>
    <comment ref="A162" authorId="0" shapeId="0" xr:uid="{00000000-0006-0000-1200-000008000000}">
      <text>
        <r>
          <rPr>
            <b/>
            <sz val="9"/>
            <color indexed="81"/>
            <rFont val="Tahoma"/>
            <family val="2"/>
          </rPr>
          <t>Author:</t>
        </r>
        <r>
          <rPr>
            <sz val="9"/>
            <color indexed="81"/>
            <rFont val="Tahoma"/>
            <family val="2"/>
          </rPr>
          <t xml:space="preserve">
Base year focus region consumption per capita as reference. For illustration only; impacts calculation works out equity weights as a function of remaining consumption.</t>
        </r>
      </text>
    </comment>
    <comment ref="A208" authorId="0" shapeId="0" xr:uid="{00000000-0006-0000-1200-000009000000}">
      <text>
        <r>
          <rPr>
            <b/>
            <sz val="9"/>
            <color indexed="81"/>
            <rFont val="Tahoma"/>
            <family val="2"/>
          </rPr>
          <t>Author:</t>
        </r>
        <r>
          <rPr>
            <sz val="9"/>
            <color indexed="81"/>
            <rFont val="Tahoma"/>
            <family val="2"/>
          </rPr>
          <t xml:space="preserve">
Saturation now measured against consumption to ensure impacts never exceeds 100% of consumption. Includes impact adaptation</t>
        </r>
      </text>
    </comment>
    <comment ref="A262" authorId="0" shapeId="0" xr:uid="{00000000-0006-0000-1200-00000A000000}">
      <text>
        <r>
          <rPr>
            <b/>
            <sz val="9"/>
            <color indexed="81"/>
            <rFont val="Tahoma"/>
            <family val="2"/>
          </rPr>
          <t>Author:</t>
        </r>
        <r>
          <rPr>
            <sz val="9"/>
            <color indexed="81"/>
            <rFont val="Tahoma"/>
            <family val="2"/>
          </rPr>
          <t xml:space="preserve">
Includes impact adaptataion</t>
        </r>
      </text>
    </comment>
    <comment ref="A316" authorId="0" shapeId="0" xr:uid="{00000000-0006-0000-1200-00000B000000}">
      <text>
        <r>
          <rPr>
            <b/>
            <sz val="9"/>
            <color indexed="81"/>
            <rFont val="Tahoma"/>
            <family val="2"/>
          </rPr>
          <t>Author:</t>
        </r>
        <r>
          <rPr>
            <sz val="9"/>
            <color indexed="81"/>
            <rFont val="Tahoma"/>
            <family val="2"/>
          </rPr>
          <t xml:space="preserve">
Includes impact adaptataion</t>
        </r>
      </text>
    </comment>
    <comment ref="D371" authorId="0" shapeId="0" xr:uid="{00000000-0006-0000-1200-00000C000000}">
      <text>
        <r>
          <rPr>
            <b/>
            <sz val="8"/>
            <color indexed="81"/>
            <rFont val="Tahoma"/>
            <family val="2"/>
          </rPr>
          <t>Author:</t>
        </r>
        <r>
          <rPr>
            <sz val="8"/>
            <color indexed="81"/>
            <rFont val="Tahoma"/>
            <family val="2"/>
          </rPr>
          <t xml:space="preserve">
Array formula checked in v0.5 impacts test</t>
        </r>
      </text>
    </comment>
    <comment ref="A415" authorId="0" shapeId="0" xr:uid="{00000000-0006-0000-1200-00000D000000}">
      <text>
        <r>
          <rPr>
            <b/>
            <sz val="8"/>
            <color indexed="81"/>
            <rFont val="Tahoma"/>
            <family val="2"/>
          </rPr>
          <t>Author:</t>
        </r>
        <r>
          <rPr>
            <sz val="8"/>
            <color indexed="81"/>
            <rFont val="Tahoma"/>
            <family val="2"/>
          </rPr>
          <t xml:space="preserve">
from loss of consumption</t>
        </r>
      </text>
    </comment>
    <comment ref="A425" authorId="0" shapeId="0" xr:uid="{00000000-0006-0000-1200-00000E000000}">
      <text>
        <r>
          <rPr>
            <b/>
            <sz val="8"/>
            <color indexed="81"/>
            <rFont val="Tahoma"/>
            <family val="2"/>
          </rPr>
          <t>Author:</t>
        </r>
        <r>
          <rPr>
            <sz val="8"/>
            <color indexed="81"/>
            <rFont val="Tahoma"/>
            <family val="2"/>
          </rPr>
          <t xml:space="preserve">
For the analysis years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3" authorId="0" shapeId="0" xr:uid="{00000000-0006-0000-1300-000001000000}">
      <text>
        <r>
          <rPr>
            <b/>
            <sz val="8"/>
            <color indexed="81"/>
            <rFont val="Tahoma"/>
            <family val="2"/>
          </rPr>
          <t>Author:</t>
        </r>
        <r>
          <rPr>
            <sz val="8"/>
            <color indexed="81"/>
            <rFont val="Tahoma"/>
            <family val="2"/>
          </rPr>
          <t xml:space="preserve">
Adjusted ISAT to apply to GDP and ensure loss never exceeds 100% of consumption</t>
        </r>
      </text>
    </comment>
    <comment ref="C103" authorId="0" shapeId="0" xr:uid="{00000000-0006-0000-1300-000002000000}">
      <text>
        <r>
          <rPr>
            <b/>
            <sz val="8"/>
            <color indexed="81"/>
            <rFont val="Tahoma"/>
            <family val="2"/>
          </rPr>
          <t>Author:</t>
        </r>
        <r>
          <rPr>
            <sz val="8"/>
            <color indexed="81"/>
            <rFont val="Tahoma"/>
            <family val="2"/>
          </rPr>
          <t xml:space="preserve">
Temperature above discontinuity limit and probability of discontinuity; single global value. Does not matter if negative as formula for' occurs?' still correct</t>
        </r>
      </text>
    </comment>
    <comment ref="B107" authorId="0" shapeId="0" xr:uid="{00000000-0006-0000-1300-000003000000}">
      <text>
        <r>
          <rPr>
            <b/>
            <sz val="8"/>
            <color indexed="81"/>
            <rFont val="Tahoma"/>
            <family val="2"/>
          </rPr>
          <t>Author:</t>
        </r>
        <r>
          <rPr>
            <sz val="8"/>
            <color indexed="81"/>
            <rFont val="Tahoma"/>
            <family val="2"/>
          </rPr>
          <t xml:space="preserve">
Uses same random number as for policy a</t>
        </r>
      </text>
    </comment>
    <comment ref="A108" authorId="0" shapeId="0" xr:uid="{00000000-0006-0000-1300-000004000000}">
      <text>
        <r>
          <rPr>
            <b/>
            <sz val="9"/>
            <color indexed="81"/>
            <rFont val="Tahoma"/>
            <family val="2"/>
          </rPr>
          <t>Author:</t>
        </r>
        <r>
          <rPr>
            <sz val="9"/>
            <color indexed="81"/>
            <rFont val="Tahoma"/>
            <family val="2"/>
          </rPr>
          <t xml:space="preserve">
Continues to occur even if temperature subsequently goes down</t>
        </r>
      </text>
    </comment>
    <comment ref="A141" authorId="0" shapeId="0" xr:uid="{00000000-0006-0000-1300-000005000000}">
      <text>
        <r>
          <rPr>
            <b/>
            <sz val="9"/>
            <color indexed="81"/>
            <rFont val="Tahoma"/>
            <family val="2"/>
          </rPr>
          <t>Author:</t>
        </r>
        <r>
          <rPr>
            <sz val="9"/>
            <color indexed="81"/>
            <rFont val="Tahoma"/>
            <family val="2"/>
          </rPr>
          <t xml:space="preserve">
From difference of GDP and population growth rates</t>
        </r>
      </text>
    </comment>
    <comment ref="A151" authorId="0" shapeId="0" xr:uid="{00000000-0006-0000-1300-000006000000}">
      <text>
        <r>
          <rPr>
            <b/>
            <sz val="9"/>
            <color indexed="81"/>
            <rFont val="Tahoma"/>
            <family val="2"/>
          </rPr>
          <t>Author:</t>
        </r>
        <r>
          <rPr>
            <sz val="9"/>
            <color indexed="81"/>
            <rFont val="Tahoma"/>
            <family val="2"/>
          </rPr>
          <t xml:space="preserve">
Assumes the same savings rate everywhere</t>
        </r>
      </text>
    </comment>
    <comment ref="A152" authorId="0" shapeId="0" xr:uid="{00000000-0006-0000-1300-000007000000}">
      <text>
        <r>
          <rPr>
            <b/>
            <sz val="9"/>
            <color indexed="81"/>
            <rFont val="Tahoma"/>
            <family val="2"/>
          </rPr>
          <t>Author:</t>
        </r>
        <r>
          <rPr>
            <sz val="9"/>
            <color indexed="81"/>
            <rFont val="Tahoma"/>
            <family val="2"/>
          </rPr>
          <t xml:space="preserve">
Calculated; a check on mean GDP per capita growth rates</t>
        </r>
      </text>
    </comment>
    <comment ref="A153" authorId="0" shapeId="0" xr:uid="{00000000-0006-0000-1300-000008000000}">
      <text>
        <r>
          <rPr>
            <b/>
            <sz val="8"/>
            <color indexed="81"/>
            <rFont val="Tahoma"/>
            <family val="2"/>
          </rPr>
          <t>Author:</t>
        </r>
        <r>
          <rPr>
            <sz val="8"/>
            <color indexed="81"/>
            <rFont val="Tahoma"/>
            <family val="2"/>
          </rPr>
          <t xml:space="preserve">
The product factor in the eqn for TD. Uses ptp rate.</t>
        </r>
      </text>
    </comment>
    <comment ref="A162" authorId="0" shapeId="0" xr:uid="{00000000-0006-0000-1300-000009000000}">
      <text>
        <r>
          <rPr>
            <b/>
            <sz val="9"/>
            <color indexed="81"/>
            <rFont val="Tahoma"/>
            <family val="2"/>
          </rPr>
          <t>Author:</t>
        </r>
        <r>
          <rPr>
            <sz val="9"/>
            <color indexed="81"/>
            <rFont val="Tahoma"/>
            <family val="2"/>
          </rPr>
          <t xml:space="preserve">
Base year focus region consumption per capita as reference. For illustration only; impacts calculation works out equity weights as a function of remaining consumption.</t>
        </r>
      </text>
    </comment>
    <comment ref="A208" authorId="0" shapeId="0" xr:uid="{00000000-0006-0000-1300-00000A000000}">
      <text>
        <r>
          <rPr>
            <b/>
            <sz val="9"/>
            <color indexed="81"/>
            <rFont val="Tahoma"/>
            <family val="2"/>
          </rPr>
          <t>Author:</t>
        </r>
        <r>
          <rPr>
            <sz val="9"/>
            <color indexed="81"/>
            <rFont val="Tahoma"/>
            <family val="2"/>
          </rPr>
          <t xml:space="preserve">
Saturation now measured against consumption to ensure impacts never exceeds 100% of consumption. Includes impact adaptation</t>
        </r>
      </text>
    </comment>
    <comment ref="A262" authorId="0" shapeId="0" xr:uid="{00000000-0006-0000-1300-00000B000000}">
      <text>
        <r>
          <rPr>
            <b/>
            <sz val="9"/>
            <color indexed="81"/>
            <rFont val="Tahoma"/>
            <family val="2"/>
          </rPr>
          <t>Author:</t>
        </r>
        <r>
          <rPr>
            <sz val="9"/>
            <color indexed="81"/>
            <rFont val="Tahoma"/>
            <family val="2"/>
          </rPr>
          <t xml:space="preserve">
Includes impact adaptataion</t>
        </r>
      </text>
    </comment>
    <comment ref="A316" authorId="0" shapeId="0" xr:uid="{00000000-0006-0000-1300-00000C000000}">
      <text>
        <r>
          <rPr>
            <b/>
            <sz val="9"/>
            <color indexed="81"/>
            <rFont val="Tahoma"/>
            <family val="2"/>
          </rPr>
          <t>Author:</t>
        </r>
        <r>
          <rPr>
            <sz val="9"/>
            <color indexed="81"/>
            <rFont val="Tahoma"/>
            <family val="2"/>
          </rPr>
          <t xml:space="preserve">
Includes impact adaptataion</t>
        </r>
      </text>
    </comment>
    <comment ref="D371" authorId="0" shapeId="0" xr:uid="{00000000-0006-0000-1300-00000D000000}">
      <text>
        <r>
          <rPr>
            <b/>
            <sz val="8"/>
            <color indexed="81"/>
            <rFont val="Tahoma"/>
            <family val="2"/>
          </rPr>
          <t>Author:</t>
        </r>
        <r>
          <rPr>
            <sz val="8"/>
            <color indexed="81"/>
            <rFont val="Tahoma"/>
            <family val="2"/>
          </rPr>
          <t xml:space="preserve">
Array formula checked in v0.5 impacts test</t>
        </r>
      </text>
    </comment>
    <comment ref="A415" authorId="0" shapeId="0" xr:uid="{00000000-0006-0000-1300-00000E000000}">
      <text>
        <r>
          <rPr>
            <b/>
            <sz val="8"/>
            <color indexed="81"/>
            <rFont val="Tahoma"/>
            <family val="2"/>
          </rPr>
          <t>Author:</t>
        </r>
        <r>
          <rPr>
            <sz val="8"/>
            <color indexed="81"/>
            <rFont val="Tahoma"/>
            <family val="2"/>
          </rPr>
          <t xml:space="preserve">
from loss of consumption</t>
        </r>
      </text>
    </comment>
    <comment ref="A425" authorId="0" shapeId="0" xr:uid="{00000000-0006-0000-1300-00000F000000}">
      <text>
        <r>
          <rPr>
            <b/>
            <sz val="8"/>
            <color indexed="81"/>
            <rFont val="Tahoma"/>
            <family val="2"/>
          </rPr>
          <t>Author:</t>
        </r>
        <r>
          <rPr>
            <sz val="8"/>
            <color indexed="81"/>
            <rFont val="Tahoma"/>
            <family val="2"/>
          </rPr>
          <t xml:space="preserve">
For the analysis years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13" authorId="0" shapeId="0" xr:uid="{00000000-0006-0000-1400-000001000000}">
      <text>
        <r>
          <rPr>
            <b/>
            <sz val="8"/>
            <color indexed="81"/>
            <rFont val="Tahoma"/>
            <family val="2"/>
          </rPr>
          <t>Author:</t>
        </r>
        <r>
          <rPr>
            <sz val="8"/>
            <color indexed="81"/>
            <rFont val="Tahoma"/>
            <family val="2"/>
          </rPr>
          <t xml:space="preserve">
Adjusted ISAT to apply to GDP and ensure loss never exceeds 100% of consumption</t>
        </r>
      </text>
    </comment>
    <comment ref="C103" authorId="0" shapeId="0" xr:uid="{00000000-0006-0000-1400-000002000000}">
      <text>
        <r>
          <rPr>
            <b/>
            <sz val="8"/>
            <color indexed="81"/>
            <rFont val="Tahoma"/>
            <family val="2"/>
          </rPr>
          <t>Author:</t>
        </r>
        <r>
          <rPr>
            <sz val="8"/>
            <color indexed="81"/>
            <rFont val="Tahoma"/>
            <family val="2"/>
          </rPr>
          <t xml:space="preserve">
Temperature above discontinuity limit and probability of discontinuity; single global value. Does not matter if negative as formula for' occurs?' still correct</t>
        </r>
      </text>
    </comment>
    <comment ref="A108" authorId="0" shapeId="0" xr:uid="{00000000-0006-0000-1400-000003000000}">
      <text>
        <r>
          <rPr>
            <b/>
            <sz val="9"/>
            <color indexed="81"/>
            <rFont val="Tahoma"/>
            <family val="2"/>
          </rPr>
          <t>Author:</t>
        </r>
        <r>
          <rPr>
            <sz val="9"/>
            <color indexed="81"/>
            <rFont val="Tahoma"/>
            <family val="2"/>
          </rPr>
          <t xml:space="preserve">
Continues to occur even if temperature subsequently goes down</t>
        </r>
      </text>
    </comment>
    <comment ref="D108" authorId="0" shapeId="0" xr:uid="{B6805144-206A-48AA-8BE7-2E494EA246C2}">
      <text/>
    </comment>
    <comment ref="E108" authorId="0" shapeId="0" xr:uid="{A1F57623-6624-4B49-B742-70B04C903424}">
      <text/>
    </comment>
    <comment ref="F108" authorId="0" shapeId="0" xr:uid="{92A5CA77-A77C-4D77-ABA3-A30B9A6B4BBA}">
      <text/>
    </comment>
    <comment ref="G108" authorId="0" shapeId="0" xr:uid="{CBE725DC-631D-4805-BBE1-2006E015617D}">
      <text/>
    </comment>
    <comment ref="H108" authorId="0" shapeId="0" xr:uid="{BDEB93C4-BAE6-4D17-869D-27F9F2E207F1}">
      <text/>
    </comment>
    <comment ref="I108" authorId="0" shapeId="0" xr:uid="{2083C691-FE6F-4020-A263-164BE426C721}">
      <text/>
    </comment>
    <comment ref="J108" authorId="0" shapeId="0" xr:uid="{A6AE10DB-FD90-466A-88DE-D50CBC65919B}">
      <text/>
    </comment>
    <comment ref="K108" authorId="0" shapeId="0" xr:uid="{5CB9F952-6307-43E6-A2C4-443FA6003D4F}">
      <text/>
    </comment>
    <comment ref="L108" authorId="0" shapeId="0" xr:uid="{0D47729D-0B53-47B6-A280-1C389FA7F31F}">
      <text/>
    </comment>
    <comment ref="A141" authorId="0" shapeId="0" xr:uid="{00000000-0006-0000-1400-000004000000}">
      <text>
        <r>
          <rPr>
            <b/>
            <sz val="9"/>
            <color indexed="81"/>
            <rFont val="Tahoma"/>
            <family val="2"/>
          </rPr>
          <t>Author:</t>
        </r>
        <r>
          <rPr>
            <sz val="9"/>
            <color indexed="81"/>
            <rFont val="Tahoma"/>
            <family val="2"/>
          </rPr>
          <t xml:space="preserve">
From difference of GDP and population growth rates</t>
        </r>
      </text>
    </comment>
    <comment ref="A151" authorId="0" shapeId="0" xr:uid="{00000000-0006-0000-1400-000005000000}">
      <text>
        <r>
          <rPr>
            <b/>
            <sz val="9"/>
            <color indexed="81"/>
            <rFont val="Tahoma"/>
            <family val="2"/>
          </rPr>
          <t>Author:</t>
        </r>
        <r>
          <rPr>
            <sz val="9"/>
            <color indexed="81"/>
            <rFont val="Tahoma"/>
            <family val="2"/>
          </rPr>
          <t xml:space="preserve">
Assumes the same savings rate everywhere</t>
        </r>
      </text>
    </comment>
    <comment ref="A152" authorId="0" shapeId="0" xr:uid="{00000000-0006-0000-1400-000006000000}">
      <text>
        <r>
          <rPr>
            <b/>
            <sz val="9"/>
            <color indexed="81"/>
            <rFont val="Tahoma"/>
            <family val="2"/>
          </rPr>
          <t>Author:</t>
        </r>
        <r>
          <rPr>
            <sz val="9"/>
            <color indexed="81"/>
            <rFont val="Tahoma"/>
            <family val="2"/>
          </rPr>
          <t xml:space="preserve">
Calculated; a check on mean GDP per capita growth rates</t>
        </r>
      </text>
    </comment>
    <comment ref="A153" authorId="0" shapeId="0" xr:uid="{00000000-0006-0000-1400-000007000000}">
      <text>
        <r>
          <rPr>
            <b/>
            <sz val="8"/>
            <color indexed="81"/>
            <rFont val="Tahoma"/>
            <family val="2"/>
          </rPr>
          <t>Author:</t>
        </r>
        <r>
          <rPr>
            <sz val="8"/>
            <color indexed="81"/>
            <rFont val="Tahoma"/>
            <family val="2"/>
          </rPr>
          <t xml:space="preserve">
The product factor in the eqn for TD. Uses ptp rate.</t>
        </r>
      </text>
    </comment>
    <comment ref="A162" authorId="0" shapeId="0" xr:uid="{00000000-0006-0000-1400-000008000000}">
      <text>
        <r>
          <rPr>
            <b/>
            <sz val="9"/>
            <color indexed="81"/>
            <rFont val="Tahoma"/>
            <family val="2"/>
          </rPr>
          <t>Author:</t>
        </r>
        <r>
          <rPr>
            <sz val="9"/>
            <color indexed="81"/>
            <rFont val="Tahoma"/>
            <family val="2"/>
          </rPr>
          <t xml:space="preserve">
Base year focus region consumption per capita as reference. For illustration only; impacts calculation works out equity weights as a function of remaining consumption.</t>
        </r>
      </text>
    </comment>
    <comment ref="A208" authorId="0" shapeId="0" xr:uid="{00000000-0006-0000-1400-000009000000}">
      <text>
        <r>
          <rPr>
            <b/>
            <sz val="9"/>
            <color indexed="81"/>
            <rFont val="Tahoma"/>
            <family val="2"/>
          </rPr>
          <t>Author:</t>
        </r>
        <r>
          <rPr>
            <sz val="9"/>
            <color indexed="81"/>
            <rFont val="Tahoma"/>
            <family val="2"/>
          </rPr>
          <t xml:space="preserve">
Saturation now measured against consumption to ensure impacts never exceeds 100% of consumption. Includes impact adaptation</t>
        </r>
      </text>
    </comment>
    <comment ref="A262" authorId="0" shapeId="0" xr:uid="{00000000-0006-0000-1400-00000A000000}">
      <text>
        <r>
          <rPr>
            <b/>
            <sz val="9"/>
            <color indexed="81"/>
            <rFont val="Tahoma"/>
            <family val="2"/>
          </rPr>
          <t>Author:</t>
        </r>
        <r>
          <rPr>
            <sz val="9"/>
            <color indexed="81"/>
            <rFont val="Tahoma"/>
            <family val="2"/>
          </rPr>
          <t xml:space="preserve">
Includes impact adaptataion</t>
        </r>
      </text>
    </comment>
    <comment ref="A316" authorId="0" shapeId="0" xr:uid="{00000000-0006-0000-1400-00000B000000}">
      <text>
        <r>
          <rPr>
            <b/>
            <sz val="9"/>
            <color indexed="81"/>
            <rFont val="Tahoma"/>
            <family val="2"/>
          </rPr>
          <t>Author:</t>
        </r>
        <r>
          <rPr>
            <sz val="9"/>
            <color indexed="81"/>
            <rFont val="Tahoma"/>
            <family val="2"/>
          </rPr>
          <t xml:space="preserve">
Includes impact adaptataion</t>
        </r>
      </text>
    </comment>
    <comment ref="D371" authorId="0" shapeId="0" xr:uid="{00000000-0006-0000-1400-00000C000000}">
      <text>
        <r>
          <rPr>
            <b/>
            <sz val="8"/>
            <color indexed="81"/>
            <rFont val="Tahoma"/>
            <family val="2"/>
          </rPr>
          <t>Author:</t>
        </r>
        <r>
          <rPr>
            <sz val="8"/>
            <color indexed="81"/>
            <rFont val="Tahoma"/>
            <family val="2"/>
          </rPr>
          <t xml:space="preserve">
Array formula checked in v0.5 impacts test</t>
        </r>
      </text>
    </comment>
    <comment ref="A415" authorId="0" shapeId="0" xr:uid="{00000000-0006-0000-1400-00000D000000}">
      <text>
        <r>
          <rPr>
            <b/>
            <sz val="8"/>
            <color indexed="81"/>
            <rFont val="Tahoma"/>
            <family val="2"/>
          </rPr>
          <t>Author:</t>
        </r>
        <r>
          <rPr>
            <sz val="8"/>
            <color indexed="81"/>
            <rFont val="Tahoma"/>
            <family val="2"/>
          </rPr>
          <t xml:space="preserve">
from loss of consumption</t>
        </r>
      </text>
    </comment>
    <comment ref="Q424" authorId="0" shapeId="0" xr:uid="{AA502C45-C456-496C-A28C-410719C7444D}">
      <text/>
    </comment>
    <comment ref="R424" authorId="0" shapeId="0" xr:uid="{20E4AF7D-A69B-41FC-84E9-E09D2B277817}">
      <text/>
    </comment>
    <comment ref="S424" authorId="0" shapeId="0" xr:uid="{541C6CDF-9209-49F9-B879-13B8C90DF4CB}">
      <text/>
    </comment>
    <comment ref="T424" authorId="0" shapeId="0" xr:uid="{A2A653F0-48CF-4191-8D2A-EBD0C87A7DCA}">
      <text/>
    </comment>
    <comment ref="U424" authorId="0" shapeId="0" xr:uid="{0D9DF98F-327E-4074-BB63-2E6AA99F04C1}">
      <text/>
    </comment>
    <comment ref="V424" authorId="0" shapeId="0" xr:uid="{F0524EC9-91C7-48F9-8AEB-93CCB058D85E}">
      <text/>
    </comment>
    <comment ref="W424" authorId="0" shapeId="0" xr:uid="{ACBF9CAC-9709-48BE-B041-41A64C67FF84}">
      <text/>
    </comment>
    <comment ref="X424" authorId="0" shapeId="0" xr:uid="{D7A26D26-6391-4855-BDF8-682D7EC47051}">
      <text/>
    </comment>
    <comment ref="Y424" authorId="0" shapeId="0" xr:uid="{99A42A7B-97FC-43CA-8E89-99F0957BAD06}">
      <text/>
    </comment>
    <comment ref="Z424" authorId="0" shapeId="0" xr:uid="{B784C8B5-FC20-471D-B40C-BC82C946EAFD}">
      <text/>
    </comment>
    <comment ref="A425" authorId="0" shapeId="0" xr:uid="{00000000-0006-0000-1400-00000E000000}">
      <text>
        <r>
          <rPr>
            <b/>
            <sz val="8"/>
            <color indexed="81"/>
            <rFont val="Tahoma"/>
            <family val="2"/>
          </rPr>
          <t>Author:</t>
        </r>
        <r>
          <rPr>
            <sz val="8"/>
            <color indexed="81"/>
            <rFont val="Tahoma"/>
            <family val="2"/>
          </rPr>
          <t xml:space="preserve">
For the analysis years</t>
        </r>
      </text>
    </comment>
    <comment ref="M436" authorId="0" shapeId="0" xr:uid="{8724061A-39B0-4803-A53D-C10BFC88257B}">
      <text/>
    </comment>
    <comment ref="M437" authorId="0" shapeId="0" xr:uid="{EC4D2F08-3C72-49A5-9BC3-984C3F091F44}">
      <text/>
    </comment>
    <comment ref="M438" authorId="0" shapeId="0" xr:uid="{575790DE-8782-42AF-AF68-C707B45927B8}">
      <text/>
    </comment>
    <comment ref="M439" authorId="0" shapeId="0" xr:uid="{57B7E4CE-B263-4726-9236-57C7B6F2D1A6}">
      <text/>
    </comment>
    <comment ref="M440" authorId="0" shapeId="0" xr:uid="{9D07F55C-1E52-45E2-A4BA-77E413E0F294}">
      <text/>
    </comment>
    <comment ref="M441" authorId="0" shapeId="0" xr:uid="{31741CFA-8176-4727-8CB1-EB4EA2373C95}">
      <text/>
    </comment>
    <comment ref="M442" authorId="0" shapeId="0" xr:uid="{EE790616-0E8C-4A30-839E-1AB9376926B0}">
      <text/>
    </comment>
    <comment ref="M443" authorId="0" shapeId="0" xr:uid="{E8384690-D886-4CFF-8793-1EB9DA8C1243}">
      <text/>
    </comment>
    <comment ref="M444" authorId="0" shapeId="0" xr:uid="{8941D410-3C05-4394-A374-CDEA62AA7316}">
      <text/>
    </comment>
    <comment ref="M450" authorId="0" shapeId="0" xr:uid="{EE9DDF70-0471-4108-ADBE-B465F9D2CC48}">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8" authorId="0" shapeId="0" xr:uid="{00000000-0006-0000-1500-000001000000}">
      <text>
        <r>
          <rPr>
            <b/>
            <sz val="8"/>
            <color indexed="81"/>
            <rFont val="Tahoma"/>
            <family val="2"/>
          </rPr>
          <t>Author:</t>
        </r>
        <r>
          <rPr>
            <sz val="8"/>
            <color indexed="81"/>
            <rFont val="Tahoma"/>
            <family val="2"/>
          </rPr>
          <t xml:space="preserve">
Not capped by civ_value</t>
        </r>
      </text>
    </comment>
    <comment ref="A9" authorId="0" shapeId="0" xr:uid="{00000000-0006-0000-1500-000002000000}">
      <text>
        <r>
          <rPr>
            <b/>
            <sz val="8"/>
            <color indexed="81"/>
            <rFont val="Tahoma"/>
            <family val="2"/>
          </rPr>
          <t>Author:</t>
        </r>
        <r>
          <rPr>
            <sz val="8"/>
            <color indexed="81"/>
            <rFont val="Tahoma"/>
            <family val="2"/>
          </rPr>
          <t xml:space="preserve">
capped at civ_value</t>
        </r>
      </text>
    </comment>
    <comment ref="L9" authorId="0" shapeId="0" xr:uid="{ACF12084-2897-4815-9291-DE4580785AEF}">
      <text/>
    </comment>
    <comment ref="L10" authorId="0" shapeId="0" xr:uid="{1CA9FE05-5C76-4A7A-9ADC-441F187262C6}">
      <text/>
    </comment>
    <comment ref="L11" authorId="0" shapeId="0" xr:uid="{D88F1082-C3C4-41EC-8927-470505E5873B}">
      <text/>
    </comment>
    <comment ref="A12" authorId="0" shapeId="0" xr:uid="{00000000-0006-0000-1500-000003000000}">
      <text>
        <r>
          <rPr>
            <b/>
            <sz val="8"/>
            <color indexed="81"/>
            <rFont val="Tahoma"/>
            <family val="2"/>
          </rPr>
          <t>Author:</t>
        </r>
        <r>
          <rPr>
            <sz val="8"/>
            <color indexed="81"/>
            <rFont val="Tahoma"/>
            <family val="2"/>
          </rPr>
          <t xml:space="preserve">
This is the quantity that an optimal policy would seek to minimize.
It is capped at the statistical value of civilisation.</t>
        </r>
      </text>
    </comment>
    <comment ref="L12" authorId="0" shapeId="0" xr:uid="{408F61D4-55DE-4469-A2A8-E09AAEE21C95}">
      <text/>
    </comment>
    <comment ref="A19" authorId="0" shapeId="0" xr:uid="{00000000-0006-0000-1500-000004000000}">
      <text>
        <r>
          <rPr>
            <b/>
            <sz val="8"/>
            <color indexed="81"/>
            <rFont val="Tahoma"/>
            <family val="2"/>
          </rPr>
          <t>Author:</t>
        </r>
        <r>
          <rPr>
            <sz val="8"/>
            <color indexed="81"/>
            <rFont val="Tahoma"/>
            <family val="2"/>
          </rPr>
          <t xml:space="preserve">
Not capped by civ_value</t>
        </r>
      </text>
    </comment>
    <comment ref="A20" authorId="0" shapeId="0" xr:uid="{00000000-0006-0000-1500-000005000000}">
      <text>
        <r>
          <rPr>
            <b/>
            <sz val="8"/>
            <color indexed="81"/>
            <rFont val="Tahoma"/>
            <family val="2"/>
          </rPr>
          <t>Author:</t>
        </r>
        <r>
          <rPr>
            <sz val="8"/>
            <color indexed="81"/>
            <rFont val="Tahoma"/>
            <family val="2"/>
          </rPr>
          <t xml:space="preserve">
capped at civ_value</t>
        </r>
      </text>
    </comment>
    <comment ref="L20" authorId="0" shapeId="0" xr:uid="{25F70430-4BCE-4883-B158-9ADB9EF3E0F1}">
      <text/>
    </comment>
    <comment ref="L21" authorId="0" shapeId="0" xr:uid="{EEA9514E-31D5-40AB-AD5A-9F80D03833D5}">
      <text/>
    </comment>
    <comment ref="L22" authorId="0" shapeId="0" xr:uid="{BAF50BAC-4462-44CE-A793-9735DEE09AEC}">
      <text/>
    </comment>
    <comment ref="A23" authorId="0" shapeId="0" xr:uid="{00000000-0006-0000-1500-000006000000}">
      <text>
        <r>
          <rPr>
            <b/>
            <sz val="8"/>
            <color indexed="81"/>
            <rFont val="Tahoma"/>
            <family val="2"/>
          </rPr>
          <t>Author:</t>
        </r>
        <r>
          <rPr>
            <sz val="8"/>
            <color indexed="81"/>
            <rFont val="Tahoma"/>
            <family val="2"/>
          </rPr>
          <t xml:space="preserve">
This is the quantity that an optimal policy would seek to minimize.
It is capped at the statistical value of civilisation.</t>
        </r>
      </text>
    </comment>
    <comment ref="L23" authorId="0" shapeId="0" xr:uid="{42ED41C3-D875-4C0D-BC15-737DBB662369}">
      <text/>
    </comment>
    <comment ref="L31" authorId="0" shapeId="0" xr:uid="{0D65E9D9-85F2-4388-AB02-544F92B1CDF7}">
      <text/>
    </comment>
    <comment ref="L32" authorId="0" shapeId="0" xr:uid="{FDCAD4B1-0341-42E3-A539-D0387396210B}">
      <text/>
    </comment>
    <comment ref="L33" authorId="0" shapeId="0" xr:uid="{DF0968FA-D6D5-4A73-A4E7-90A6F1BE4436}">
      <text/>
    </comment>
    <comment ref="L34" authorId="0" shapeId="0" xr:uid="{AE77BB02-F151-4282-B046-27C1DABB1671}">
      <text/>
    </comment>
  </commentList>
</comments>
</file>

<file path=xl/sharedStrings.xml><?xml version="1.0" encoding="utf-8"?>
<sst xmlns="http://schemas.openxmlformats.org/spreadsheetml/2006/main" count="5325" uniqueCount="2558">
  <si>
    <t>EU</t>
  </si>
  <si>
    <t>EE</t>
  </si>
  <si>
    <t>US</t>
  </si>
  <si>
    <t>USA</t>
  </si>
  <si>
    <t>CA</t>
  </si>
  <si>
    <t>China &amp; CP Asia</t>
  </si>
  <si>
    <t>IA</t>
  </si>
  <si>
    <t>India &amp; SE Asia</t>
  </si>
  <si>
    <t>AF</t>
  </si>
  <si>
    <t>Africa &amp; ME</t>
  </si>
  <si>
    <t>LA</t>
  </si>
  <si>
    <t>Latin America</t>
  </si>
  <si>
    <t>OT</t>
  </si>
  <si>
    <t xml:space="preserve">Other OECD </t>
  </si>
  <si>
    <t>CO2</t>
  </si>
  <si>
    <t>CH4</t>
  </si>
  <si>
    <t>Analysis Years:</t>
  </si>
  <si>
    <t>Base Year:</t>
  </si>
  <si>
    <t>Impacts:</t>
  </si>
  <si>
    <t>EN</t>
  </si>
  <si>
    <t>Economic</t>
  </si>
  <si>
    <t>CU</t>
  </si>
  <si>
    <t>Area:</t>
  </si>
  <si>
    <t>GDP</t>
  </si>
  <si>
    <t>GDP growth rates:</t>
  </si>
  <si>
    <t>start</t>
  </si>
  <si>
    <t>end</t>
  </si>
  <si>
    <t>Discount rates:</t>
  </si>
  <si>
    <t>Density</t>
  </si>
  <si>
    <t>Stimulation</t>
  </si>
  <si>
    <t>Pre-industrial conc</t>
  </si>
  <si>
    <t>Forcing slope</t>
  </si>
  <si>
    <t>Half life</t>
  </si>
  <si>
    <t>Stay in air</t>
  </si>
  <si>
    <t>Emit to air</t>
  </si>
  <si>
    <t>Base year conc</t>
  </si>
  <si>
    <t>Cumulative emissions</t>
  </si>
  <si>
    <t>Base year forcing</t>
  </si>
  <si>
    <t>CO2 emit</t>
  </si>
  <si>
    <t>CH4 emit</t>
  </si>
  <si>
    <t>Natural S</t>
  </si>
  <si>
    <t>S emit</t>
  </si>
  <si>
    <t>Excess forcing</t>
  </si>
  <si>
    <t>Regions &amp; baseyear:</t>
  </si>
  <si>
    <t xml:space="preserve">version </t>
  </si>
  <si>
    <t>Half-life of CO2 atmospheric residence</t>
  </si>
  <si>
    <t>%</t>
  </si>
  <si>
    <t>years</t>
  </si>
  <si>
    <t>Equilibrium warming for a doubling of CO2</t>
  </si>
  <si>
    <t>degC</t>
  </si>
  <si>
    <t>Half-life of global warming</t>
  </si>
  <si>
    <t>W/m2</t>
  </si>
  <si>
    <t>Tolerable</t>
  </si>
  <si>
    <t>Weights</t>
  </si>
  <si>
    <t>Adaptive costs</t>
  </si>
  <si>
    <t>Preventative costs</t>
  </si>
  <si>
    <t>Prevention</t>
  </si>
  <si>
    <t>% per year</t>
  </si>
  <si>
    <t>plateau</t>
  </si>
  <si>
    <t>ppb</t>
  </si>
  <si>
    <t>Mtonnes</t>
  </si>
  <si>
    <t>Km2</t>
  </si>
  <si>
    <t>$million</t>
  </si>
  <si>
    <t>TgS</t>
  </si>
  <si>
    <t>Remaining emissions of CH4</t>
  </si>
  <si>
    <r>
      <t>RE</t>
    </r>
    <r>
      <rPr>
        <vertAlign val="subscript"/>
        <sz val="10"/>
        <rFont val="Arial"/>
        <family val="2"/>
      </rPr>
      <t>2</t>
    </r>
  </si>
  <si>
    <t>EXC</t>
  </si>
  <si>
    <t>RE</t>
  </si>
  <si>
    <r>
      <t>TEA</t>
    </r>
    <r>
      <rPr>
        <vertAlign val="subscript"/>
        <sz val="10"/>
        <rFont val="Arial"/>
        <family val="2"/>
      </rPr>
      <t>1</t>
    </r>
  </si>
  <si>
    <r>
      <t>TEA</t>
    </r>
    <r>
      <rPr>
        <vertAlign val="subscript"/>
        <sz val="10"/>
        <rFont val="Arial"/>
        <family val="2"/>
      </rPr>
      <t>2</t>
    </r>
  </si>
  <si>
    <r>
      <t>TEAY</t>
    </r>
    <r>
      <rPr>
        <vertAlign val="subscript"/>
        <sz val="10"/>
        <rFont val="Arial"/>
        <family val="2"/>
      </rPr>
      <t>1</t>
    </r>
  </si>
  <si>
    <t>Analysis period</t>
  </si>
  <si>
    <r>
      <t>TEAY</t>
    </r>
    <r>
      <rPr>
        <vertAlign val="subscript"/>
        <sz val="10"/>
        <rFont val="Arial"/>
        <family val="2"/>
      </rPr>
      <t>2</t>
    </r>
  </si>
  <si>
    <r>
      <t>CEA</t>
    </r>
    <r>
      <rPr>
        <vertAlign val="subscript"/>
        <sz val="10"/>
        <rFont val="Arial"/>
        <family val="2"/>
      </rPr>
      <t>1</t>
    </r>
  </si>
  <si>
    <t>Excess concentration in</t>
  </si>
  <si>
    <t>Remaining emissions in</t>
  </si>
  <si>
    <t>Natural emissions of CH4</t>
  </si>
  <si>
    <t>Total emissions to air of CO2</t>
  </si>
  <si>
    <t>Total emissions to air of CH4</t>
  </si>
  <si>
    <t>Total this period of CO2</t>
  </si>
  <si>
    <t>Total this period of CH4</t>
  </si>
  <si>
    <t>Cumulative emissions to air of CO2</t>
  </si>
  <si>
    <t>Exponential factor 1 for CO2</t>
  </si>
  <si>
    <t>Exponential factor 2 for CO2</t>
  </si>
  <si>
    <t>Asymptote factor for CO2</t>
  </si>
  <si>
    <t>Remaining emissions factor for CO2</t>
  </si>
  <si>
    <t>Total this period factor for CO2</t>
  </si>
  <si>
    <t>Concentration of CO2</t>
  </si>
  <si>
    <r>
      <t>C</t>
    </r>
    <r>
      <rPr>
        <vertAlign val="subscript"/>
        <sz val="10"/>
        <rFont val="Arial"/>
        <family val="2"/>
      </rPr>
      <t>1</t>
    </r>
  </si>
  <si>
    <t>Forcing from CO2</t>
  </si>
  <si>
    <r>
      <t>F</t>
    </r>
    <r>
      <rPr>
        <vertAlign val="subscript"/>
        <sz val="10"/>
        <rFont val="Arial"/>
        <family val="2"/>
      </rPr>
      <t>1</t>
    </r>
  </si>
  <si>
    <t>Exponential factor for CH4</t>
  </si>
  <si>
    <t>Remaining emissions factor for CH4</t>
  </si>
  <si>
    <t>Total this period factor for CH4</t>
  </si>
  <si>
    <t>Concentration of CH4</t>
  </si>
  <si>
    <r>
      <t>C</t>
    </r>
    <r>
      <rPr>
        <vertAlign val="subscript"/>
        <sz val="10"/>
        <rFont val="Arial"/>
        <family val="2"/>
      </rPr>
      <t>2</t>
    </r>
  </si>
  <si>
    <t>Forcing from CH4</t>
  </si>
  <si>
    <r>
      <t>F</t>
    </r>
    <r>
      <rPr>
        <vertAlign val="subscript"/>
        <sz val="10"/>
        <rFont val="Arial"/>
        <family val="2"/>
      </rPr>
      <t>2</t>
    </r>
  </si>
  <si>
    <t>FT</t>
  </si>
  <si>
    <t>Total sulphate forcing</t>
  </si>
  <si>
    <t>FS</t>
  </si>
  <si>
    <t>Equilibrium temperature</t>
  </si>
  <si>
    <t>ET</t>
  </si>
  <si>
    <t>RT</t>
  </si>
  <si>
    <t>exponential factor for temperature</t>
  </si>
  <si>
    <t>Global mean temperature</t>
  </si>
  <si>
    <t>With adaptation</t>
  </si>
  <si>
    <r>
      <t>ATL</t>
    </r>
    <r>
      <rPr>
        <vertAlign val="subscript"/>
        <sz val="10"/>
        <rFont val="Arial"/>
        <family val="2"/>
      </rPr>
      <t>1</t>
    </r>
  </si>
  <si>
    <t>Impact</t>
  </si>
  <si>
    <r>
      <t>I</t>
    </r>
    <r>
      <rPr>
        <b/>
        <vertAlign val="subscript"/>
        <sz val="10"/>
        <rFont val="Arial"/>
        <family val="2"/>
      </rPr>
      <t>1</t>
    </r>
  </si>
  <si>
    <r>
      <t>ATL</t>
    </r>
    <r>
      <rPr>
        <vertAlign val="subscript"/>
        <sz val="10"/>
        <rFont val="Arial"/>
        <family val="2"/>
      </rPr>
      <t>2</t>
    </r>
  </si>
  <si>
    <r>
      <t>I</t>
    </r>
    <r>
      <rPr>
        <b/>
        <vertAlign val="subscript"/>
        <sz val="10"/>
        <rFont val="Arial"/>
        <family val="2"/>
      </rPr>
      <t>2</t>
    </r>
  </si>
  <si>
    <t>Aggregation period</t>
  </si>
  <si>
    <t>Yhi</t>
  </si>
  <si>
    <t>Ylo</t>
  </si>
  <si>
    <t>Aggregated impact</t>
  </si>
  <si>
    <t>Discount factors</t>
  </si>
  <si>
    <t>Discounted impact</t>
  </si>
  <si>
    <t>total</t>
  </si>
  <si>
    <t>TD</t>
  </si>
  <si>
    <t>Adaptive cost parameters</t>
  </si>
  <si>
    <r>
      <t>CP</t>
    </r>
    <r>
      <rPr>
        <vertAlign val="subscript"/>
        <sz val="10"/>
        <rFont val="Arial"/>
        <family val="2"/>
      </rPr>
      <t>1</t>
    </r>
  </si>
  <si>
    <r>
      <t>CI</t>
    </r>
    <r>
      <rPr>
        <vertAlign val="subscript"/>
        <sz val="10"/>
        <rFont val="Arial"/>
        <family val="2"/>
      </rPr>
      <t>1</t>
    </r>
  </si>
  <si>
    <r>
      <t>CP</t>
    </r>
    <r>
      <rPr>
        <vertAlign val="subscript"/>
        <sz val="10"/>
        <rFont val="Arial"/>
        <family val="2"/>
      </rPr>
      <t>2</t>
    </r>
  </si>
  <si>
    <r>
      <t>CI</t>
    </r>
    <r>
      <rPr>
        <vertAlign val="subscript"/>
        <sz val="10"/>
        <rFont val="Arial"/>
        <family val="2"/>
      </rPr>
      <t>2</t>
    </r>
  </si>
  <si>
    <r>
      <t>AC</t>
    </r>
    <r>
      <rPr>
        <b/>
        <vertAlign val="subscript"/>
        <sz val="10"/>
        <rFont val="Arial"/>
        <family val="2"/>
      </rPr>
      <t>1</t>
    </r>
  </si>
  <si>
    <r>
      <t>AC</t>
    </r>
    <r>
      <rPr>
        <b/>
        <vertAlign val="subscript"/>
        <sz val="10"/>
        <rFont val="Arial"/>
        <family val="2"/>
      </rPr>
      <t>2</t>
    </r>
  </si>
  <si>
    <t>Discounted adaptive costs</t>
  </si>
  <si>
    <t>Aggregated adaptive costs</t>
  </si>
  <si>
    <r>
      <t>EMIT</t>
    </r>
    <r>
      <rPr>
        <vertAlign val="subscript"/>
        <sz val="10"/>
        <rFont val="Arial"/>
        <family val="2"/>
      </rPr>
      <t>1</t>
    </r>
  </si>
  <si>
    <r>
      <t>EMIT</t>
    </r>
    <r>
      <rPr>
        <vertAlign val="subscript"/>
        <sz val="10"/>
        <rFont val="Arial"/>
        <family val="2"/>
      </rPr>
      <t>2</t>
    </r>
  </si>
  <si>
    <r>
      <t>Y - Y</t>
    </r>
    <r>
      <rPr>
        <vertAlign val="subscript"/>
        <sz val="10"/>
        <rFont val="Arial"/>
        <family val="2"/>
      </rPr>
      <t>0</t>
    </r>
  </si>
  <si>
    <t>Zero cost emissions</t>
  </si>
  <si>
    <r>
      <t>ZC</t>
    </r>
    <r>
      <rPr>
        <b/>
        <vertAlign val="subscript"/>
        <sz val="10"/>
        <rFont val="Arial"/>
        <family val="2"/>
      </rPr>
      <t>1</t>
    </r>
  </si>
  <si>
    <r>
      <t>ZC</t>
    </r>
    <r>
      <rPr>
        <b/>
        <vertAlign val="subscript"/>
        <sz val="10"/>
        <rFont val="Arial"/>
        <family val="2"/>
      </rPr>
      <t>2</t>
    </r>
  </si>
  <si>
    <t>Cutbacks</t>
  </si>
  <si>
    <r>
      <t>CB</t>
    </r>
    <r>
      <rPr>
        <b/>
        <vertAlign val="subscript"/>
        <sz val="10"/>
        <rFont val="Arial"/>
        <family val="2"/>
      </rPr>
      <t>1</t>
    </r>
  </si>
  <si>
    <r>
      <t>CB</t>
    </r>
    <r>
      <rPr>
        <b/>
        <vertAlign val="subscript"/>
        <sz val="10"/>
        <rFont val="Arial"/>
        <family val="2"/>
      </rPr>
      <t>2</t>
    </r>
  </si>
  <si>
    <t>Non-econ</t>
  </si>
  <si>
    <t>Total impacts</t>
  </si>
  <si>
    <t>Total adaptive costs</t>
  </si>
  <si>
    <t>Total preventative costs</t>
  </si>
  <si>
    <t>Emissions</t>
  </si>
  <si>
    <t>Tg/Km2</t>
  </si>
  <si>
    <t>Mt/ppb</t>
  </si>
  <si>
    <t>Total</t>
  </si>
  <si>
    <t>Aggregated prev costs</t>
  </si>
  <si>
    <t>Discounted prev costs</t>
  </si>
  <si>
    <t>(Focus region)</t>
  </si>
  <si>
    <t>Total impacts and costs</t>
  </si>
  <si>
    <t xml:space="preserve">Weighted impact </t>
  </si>
  <si>
    <t>Run</t>
  </si>
  <si>
    <t>Date</t>
  </si>
  <si>
    <t>Discounted:</t>
  </si>
  <si>
    <r>
      <t>TEA</t>
    </r>
    <r>
      <rPr>
        <vertAlign val="subscript"/>
        <sz val="10"/>
        <rFont val="Arial"/>
        <family val="2"/>
      </rPr>
      <t>3</t>
    </r>
  </si>
  <si>
    <r>
      <t>TEAY</t>
    </r>
    <r>
      <rPr>
        <vertAlign val="subscript"/>
        <sz val="10"/>
        <rFont val="Arial"/>
        <family val="2"/>
      </rPr>
      <t>3</t>
    </r>
  </si>
  <si>
    <r>
      <t>RE</t>
    </r>
    <r>
      <rPr>
        <vertAlign val="subscript"/>
        <sz val="10"/>
        <rFont val="Arial"/>
        <family val="2"/>
      </rPr>
      <t>3</t>
    </r>
  </si>
  <si>
    <r>
      <t>C</t>
    </r>
    <r>
      <rPr>
        <vertAlign val="subscript"/>
        <sz val="10"/>
        <rFont val="Arial"/>
        <family val="2"/>
      </rPr>
      <t>3</t>
    </r>
  </si>
  <si>
    <r>
      <t>F</t>
    </r>
    <r>
      <rPr>
        <vertAlign val="subscript"/>
        <sz val="10"/>
        <rFont val="Arial"/>
        <family val="2"/>
      </rPr>
      <t>3</t>
    </r>
  </si>
  <si>
    <t>Forcing from policy gases and excess</t>
  </si>
  <si>
    <r>
      <t>EMIT</t>
    </r>
    <r>
      <rPr>
        <vertAlign val="subscript"/>
        <sz val="10"/>
        <rFont val="Arial"/>
        <family val="2"/>
      </rPr>
      <t>3</t>
    </r>
  </si>
  <si>
    <r>
      <t>ZC</t>
    </r>
    <r>
      <rPr>
        <b/>
        <vertAlign val="subscript"/>
        <sz val="10"/>
        <rFont val="Arial"/>
        <family val="2"/>
      </rPr>
      <t>3</t>
    </r>
  </si>
  <si>
    <r>
      <t>CB</t>
    </r>
    <r>
      <rPr>
        <b/>
        <vertAlign val="subscript"/>
        <sz val="10"/>
        <rFont val="Arial"/>
        <family val="2"/>
      </rPr>
      <t>3</t>
    </r>
  </si>
  <si>
    <t>Difference</t>
  </si>
  <si>
    <t>Tolerable before discontinuity</t>
  </si>
  <si>
    <t>Chance of discontinuity</t>
  </si>
  <si>
    <t>% per degC</t>
  </si>
  <si>
    <t>Loss if discontinuity occurs</t>
  </si>
  <si>
    <t>%GDP</t>
  </si>
  <si>
    <r>
      <t>I</t>
    </r>
    <r>
      <rPr>
        <b/>
        <vertAlign val="subscript"/>
        <sz val="10"/>
        <rFont val="Arial"/>
        <family val="2"/>
      </rPr>
      <t>dis</t>
    </r>
  </si>
  <si>
    <t>temperature</t>
  </si>
  <si>
    <t>probability</t>
  </si>
  <si>
    <t>global</t>
  </si>
  <si>
    <t>Pop</t>
  </si>
  <si>
    <t>million</t>
  </si>
  <si>
    <t>Pop growth rates</t>
  </si>
  <si>
    <t>GDP/cap</t>
  </si>
  <si>
    <t>Mean</t>
  </si>
  <si>
    <t>Mean growth rate</t>
  </si>
  <si>
    <t>Equity weights</t>
  </si>
  <si>
    <t>Elasticity of utility</t>
  </si>
  <si>
    <t>Realised temperature</t>
  </si>
  <si>
    <t>N2O</t>
  </si>
  <si>
    <t>N2O emit</t>
  </si>
  <si>
    <t>Natural emissions of N2O</t>
  </si>
  <si>
    <t>Total emissions to air of N2O</t>
  </si>
  <si>
    <t>Total this period of N2O</t>
  </si>
  <si>
    <t>Exponential factor for N2O</t>
  </si>
  <si>
    <t>Remaining emissions factor for N2O</t>
  </si>
  <si>
    <t>Total this period factor for N2O</t>
  </si>
  <si>
    <t>Remaining emissions of N2O</t>
  </si>
  <si>
    <t>Concentration of N2O</t>
  </si>
  <si>
    <t>Forcing from N2O</t>
  </si>
  <si>
    <t>Overlap term for CH4</t>
  </si>
  <si>
    <t>Overlap term for N2O</t>
  </si>
  <si>
    <t>Forcing from CH4 without overlap</t>
  </si>
  <si>
    <t>Forcing from N2O without overlap</t>
  </si>
  <si>
    <t>Stimulation of CO2 concentration</t>
  </si>
  <si>
    <t>%/degC</t>
  </si>
  <si>
    <t>CO2 stimulation limit</t>
  </si>
  <si>
    <t>Carbon cycle feedback factor</t>
  </si>
  <si>
    <t>CCFF</t>
  </si>
  <si>
    <t>Concentration of CO2 before CCFF</t>
  </si>
  <si>
    <t>Remaining emissions of CO2 before CCFF</t>
  </si>
  <si>
    <t>adjustment to RT</t>
  </si>
  <si>
    <t>Total land area</t>
  </si>
  <si>
    <t>Rise in global mean land temperature in</t>
  </si>
  <si>
    <t>Ocean proportion</t>
  </si>
  <si>
    <t>Latitude</t>
  </si>
  <si>
    <t>Mean effective latitude</t>
  </si>
  <si>
    <t>Poles excess temperature change over equator</t>
  </si>
  <si>
    <t>RT before adjustment</t>
  </si>
  <si>
    <t>RTL</t>
  </si>
  <si>
    <t>Global mean land temperature</t>
  </si>
  <si>
    <t>Global mean ocean temperature</t>
  </si>
  <si>
    <t>RT_ADJ</t>
  </si>
  <si>
    <r>
      <t>NTE</t>
    </r>
    <r>
      <rPr>
        <vertAlign val="subscript"/>
        <sz val="10"/>
        <rFont val="Arial"/>
        <family val="2"/>
      </rPr>
      <t>2</t>
    </r>
  </si>
  <si>
    <r>
      <t>NTE</t>
    </r>
    <r>
      <rPr>
        <vertAlign val="subscript"/>
        <sz val="10"/>
        <rFont val="Arial"/>
        <family val="2"/>
      </rPr>
      <t>3</t>
    </r>
  </si>
  <si>
    <r>
      <t>NTE</t>
    </r>
    <r>
      <rPr>
        <vertAlign val="subscript"/>
        <sz val="10"/>
        <rFont val="Arial"/>
        <family val="2"/>
      </rPr>
      <t>4</t>
    </r>
  </si>
  <si>
    <r>
      <t>TEA</t>
    </r>
    <r>
      <rPr>
        <vertAlign val="subscript"/>
        <sz val="10"/>
        <rFont val="Arial"/>
        <family val="2"/>
      </rPr>
      <t>4</t>
    </r>
  </si>
  <si>
    <r>
      <t>TEAY</t>
    </r>
    <r>
      <rPr>
        <vertAlign val="subscript"/>
        <sz val="10"/>
        <rFont val="Arial"/>
        <family val="2"/>
      </rPr>
      <t>4</t>
    </r>
  </si>
  <si>
    <r>
      <t>RE</t>
    </r>
    <r>
      <rPr>
        <vertAlign val="subscript"/>
        <sz val="10"/>
        <rFont val="Arial"/>
        <family val="2"/>
      </rPr>
      <t>4</t>
    </r>
  </si>
  <si>
    <r>
      <t>C</t>
    </r>
    <r>
      <rPr>
        <vertAlign val="subscript"/>
        <sz val="10"/>
        <rFont val="Arial"/>
        <family val="2"/>
      </rPr>
      <t>4</t>
    </r>
  </si>
  <si>
    <r>
      <t>F</t>
    </r>
    <r>
      <rPr>
        <vertAlign val="subscript"/>
        <sz val="10"/>
        <rFont val="Arial"/>
        <family val="2"/>
      </rPr>
      <t>4</t>
    </r>
  </si>
  <si>
    <t>EXPFT</t>
  </si>
  <si>
    <t>RTL_G</t>
  </si>
  <si>
    <t>RTO_G</t>
  </si>
  <si>
    <t>RT_G</t>
  </si>
  <si>
    <t>m</t>
  </si>
  <si>
    <t>Sea level rise with temperature</t>
  </si>
  <si>
    <t>m/degC</t>
  </si>
  <si>
    <t>Sea level asymptote</t>
  </si>
  <si>
    <t>Half-life of sea level rise</t>
  </si>
  <si>
    <t>Equilibrium sea level rise</t>
  </si>
  <si>
    <t>ES</t>
  </si>
  <si>
    <t>Exponential factor for sea level</t>
  </si>
  <si>
    <t>EXPFS</t>
  </si>
  <si>
    <t>Sea level rise</t>
  </si>
  <si>
    <t>S</t>
  </si>
  <si>
    <t>Sulphate flux (SFX)</t>
  </si>
  <si>
    <t>Direct sulphate forcing (FSD)</t>
  </si>
  <si>
    <t>Indirect sulphate forcing (FSI)</t>
  </si>
  <si>
    <t>Sulfate indirect (log) effect for a doubling of sulphates</t>
  </si>
  <si>
    <t>Transient climate response</t>
  </si>
  <si>
    <t>New adaptation</t>
  </si>
  <si>
    <t>Pstart</t>
  </si>
  <si>
    <t>Pyears</t>
  </si>
  <si>
    <t>Istart</t>
  </si>
  <si>
    <t>Iyears</t>
  </si>
  <si>
    <t>Plateau</t>
  </si>
  <si>
    <t>&gt;75%</t>
  </si>
  <si>
    <t>&lt;25%</t>
  </si>
  <si>
    <t>&gt;90%</t>
  </si>
  <si>
    <r>
      <t>ATL</t>
    </r>
    <r>
      <rPr>
        <vertAlign val="subscript"/>
        <sz val="10"/>
        <rFont val="Arial"/>
        <family val="2"/>
      </rPr>
      <t>s</t>
    </r>
  </si>
  <si>
    <r>
      <t>I</t>
    </r>
    <r>
      <rPr>
        <b/>
        <vertAlign val="subscript"/>
        <sz val="10"/>
        <rFont val="Arial"/>
        <family val="2"/>
      </rPr>
      <t>s</t>
    </r>
  </si>
  <si>
    <t>random</t>
  </si>
  <si>
    <t>occurs?</t>
  </si>
  <si>
    <t>Global</t>
  </si>
  <si>
    <t>Global growth rate</t>
  </si>
  <si>
    <t>Savings rate</t>
  </si>
  <si>
    <t>Calibration temperature</t>
  </si>
  <si>
    <t>Sea level impact at calibration sea level rise</t>
  </si>
  <si>
    <t>Calibration sea level rise</t>
  </si>
  <si>
    <t>%GDP per m</t>
  </si>
  <si>
    <t>Sea level exponent with income</t>
  </si>
  <si>
    <t>Sea level initial benefit</t>
  </si>
  <si>
    <t>%GDP per degC</t>
  </si>
  <si>
    <t>Impacts saturate beyond</t>
  </si>
  <si>
    <t>Discontinuity exponent with income</t>
  </si>
  <si>
    <t>Half-life of discontinuity</t>
  </si>
  <si>
    <t>Sea level impact function exponent</t>
  </si>
  <si>
    <t>Consumption/cap</t>
  </si>
  <si>
    <t>inc focus</t>
  </si>
  <si>
    <t>WINCF</t>
  </si>
  <si>
    <r>
      <t>IREF</t>
    </r>
    <r>
      <rPr>
        <b/>
        <vertAlign val="subscript"/>
        <sz val="10"/>
        <rFont val="Arial"/>
        <family val="2"/>
      </rPr>
      <t>s</t>
    </r>
  </si>
  <si>
    <t>Impact at actual GDP/cap</t>
  </si>
  <si>
    <t>Impact at focus GDP/cap</t>
  </si>
  <si>
    <r>
      <t>IGDP</t>
    </r>
    <r>
      <rPr>
        <b/>
        <vertAlign val="subscript"/>
        <sz val="10"/>
        <rFont val="Arial"/>
        <family val="2"/>
      </rPr>
      <t>s</t>
    </r>
  </si>
  <si>
    <r>
      <t>ISAT</t>
    </r>
    <r>
      <rPr>
        <b/>
        <vertAlign val="subscript"/>
        <sz val="10"/>
        <rFont val="Arial"/>
        <family val="2"/>
      </rPr>
      <t>s</t>
    </r>
  </si>
  <si>
    <t>Impact with saturation</t>
  </si>
  <si>
    <t>Impact with saturation/cap</t>
  </si>
  <si>
    <r>
      <t>ISAT</t>
    </r>
    <r>
      <rPr>
        <b/>
        <vertAlign val="subscript"/>
        <sz val="10"/>
        <rFont val="Arial"/>
        <family val="2"/>
      </rPr>
      <t xml:space="preserve">s </t>
    </r>
    <r>
      <rPr>
        <b/>
        <sz val="10"/>
        <rFont val="Arial"/>
        <family val="2"/>
      </rPr>
      <t>per cap</t>
    </r>
  </si>
  <si>
    <t>Remaining consumption/cap</t>
  </si>
  <si>
    <r>
      <t>RCONS</t>
    </r>
    <r>
      <rPr>
        <b/>
        <vertAlign val="subscript"/>
        <sz val="10"/>
        <rFont val="Arial"/>
        <family val="2"/>
      </rPr>
      <t xml:space="preserve">s </t>
    </r>
    <r>
      <rPr>
        <b/>
        <sz val="10"/>
        <rFont val="Arial"/>
        <family val="2"/>
      </rPr>
      <t>per cap</t>
    </r>
  </si>
  <si>
    <t>Remaining GDP/cap</t>
  </si>
  <si>
    <r>
      <t>RGDP</t>
    </r>
    <r>
      <rPr>
        <b/>
        <vertAlign val="subscript"/>
        <sz val="10"/>
        <rFont val="Arial"/>
        <family val="2"/>
      </rPr>
      <t xml:space="preserve">s </t>
    </r>
    <r>
      <rPr>
        <b/>
        <sz val="10"/>
        <rFont val="Arial"/>
        <family val="2"/>
      </rPr>
      <t>per cap</t>
    </r>
  </si>
  <si>
    <r>
      <rPr>
        <sz val="10"/>
        <rFont val="Arial"/>
        <family val="2"/>
      </rPr>
      <t>IMP</t>
    </r>
    <r>
      <rPr>
        <vertAlign val="subscript"/>
        <sz val="10"/>
        <rFont val="Arial"/>
        <family val="2"/>
      </rPr>
      <t>s</t>
    </r>
  </si>
  <si>
    <r>
      <rPr>
        <sz val="10"/>
        <rFont val="Arial"/>
        <family val="2"/>
      </rPr>
      <t>IMP</t>
    </r>
    <r>
      <rPr>
        <vertAlign val="subscript"/>
        <sz val="10"/>
        <rFont val="Arial"/>
        <family val="2"/>
      </rPr>
      <t>1</t>
    </r>
  </si>
  <si>
    <r>
      <rPr>
        <sz val="10"/>
        <rFont val="Arial"/>
        <family val="2"/>
      </rPr>
      <t>IMP</t>
    </r>
    <r>
      <rPr>
        <vertAlign val="subscript"/>
        <sz val="10"/>
        <rFont val="Arial"/>
        <family val="2"/>
      </rPr>
      <t>2</t>
    </r>
  </si>
  <si>
    <r>
      <t>IREF</t>
    </r>
    <r>
      <rPr>
        <b/>
        <vertAlign val="subscript"/>
        <sz val="10"/>
        <rFont val="Arial"/>
        <family val="2"/>
      </rPr>
      <t>1</t>
    </r>
  </si>
  <si>
    <r>
      <t>IGDP</t>
    </r>
    <r>
      <rPr>
        <b/>
        <vertAlign val="subscript"/>
        <sz val="10"/>
        <rFont val="Arial"/>
        <family val="2"/>
      </rPr>
      <t>1</t>
    </r>
  </si>
  <si>
    <r>
      <t>ISAT</t>
    </r>
    <r>
      <rPr>
        <b/>
        <vertAlign val="subscript"/>
        <sz val="10"/>
        <rFont val="Arial"/>
        <family val="2"/>
      </rPr>
      <t>1</t>
    </r>
  </si>
  <si>
    <r>
      <t>ISAT</t>
    </r>
    <r>
      <rPr>
        <b/>
        <vertAlign val="subscript"/>
        <sz val="10"/>
        <rFont val="Arial"/>
        <family val="2"/>
      </rPr>
      <t xml:space="preserve">1 </t>
    </r>
    <r>
      <rPr>
        <b/>
        <sz val="10"/>
        <rFont val="Arial"/>
        <family val="2"/>
      </rPr>
      <t>per cap</t>
    </r>
  </si>
  <si>
    <r>
      <t>RGDP</t>
    </r>
    <r>
      <rPr>
        <b/>
        <vertAlign val="subscript"/>
        <sz val="10"/>
        <rFont val="Arial"/>
        <family val="2"/>
      </rPr>
      <t xml:space="preserve">1 </t>
    </r>
    <r>
      <rPr>
        <b/>
        <sz val="10"/>
        <rFont val="Arial"/>
        <family val="2"/>
      </rPr>
      <t>per cap</t>
    </r>
  </si>
  <si>
    <r>
      <t>RCONS</t>
    </r>
    <r>
      <rPr>
        <b/>
        <vertAlign val="subscript"/>
        <sz val="10"/>
        <rFont val="Arial"/>
        <family val="2"/>
      </rPr>
      <t xml:space="preserve">1 </t>
    </r>
    <r>
      <rPr>
        <b/>
        <sz val="10"/>
        <rFont val="Arial"/>
        <family val="2"/>
      </rPr>
      <t>per cap</t>
    </r>
  </si>
  <si>
    <r>
      <t>IREF</t>
    </r>
    <r>
      <rPr>
        <b/>
        <vertAlign val="subscript"/>
        <sz val="10"/>
        <rFont val="Arial"/>
        <family val="2"/>
      </rPr>
      <t>2</t>
    </r>
  </si>
  <si>
    <r>
      <t>IGDP</t>
    </r>
    <r>
      <rPr>
        <b/>
        <vertAlign val="subscript"/>
        <sz val="10"/>
        <rFont val="Arial"/>
        <family val="2"/>
      </rPr>
      <t>2</t>
    </r>
  </si>
  <si>
    <r>
      <t>ISAT</t>
    </r>
    <r>
      <rPr>
        <b/>
        <vertAlign val="subscript"/>
        <sz val="10"/>
        <rFont val="Arial"/>
        <family val="2"/>
      </rPr>
      <t>2</t>
    </r>
  </si>
  <si>
    <r>
      <t>ISAT</t>
    </r>
    <r>
      <rPr>
        <b/>
        <vertAlign val="subscript"/>
        <sz val="10"/>
        <rFont val="Arial"/>
        <family val="2"/>
      </rPr>
      <t xml:space="preserve">2 </t>
    </r>
    <r>
      <rPr>
        <b/>
        <sz val="10"/>
        <rFont val="Arial"/>
        <family val="2"/>
      </rPr>
      <t>per cap</t>
    </r>
  </si>
  <si>
    <r>
      <t>RGDP</t>
    </r>
    <r>
      <rPr>
        <b/>
        <vertAlign val="subscript"/>
        <sz val="10"/>
        <rFont val="Arial"/>
        <family val="2"/>
      </rPr>
      <t xml:space="preserve">2 </t>
    </r>
    <r>
      <rPr>
        <b/>
        <sz val="10"/>
        <rFont val="Arial"/>
        <family val="2"/>
      </rPr>
      <t>per cap</t>
    </r>
  </si>
  <si>
    <r>
      <t>RCONS</t>
    </r>
    <r>
      <rPr>
        <b/>
        <vertAlign val="subscript"/>
        <sz val="10"/>
        <rFont val="Arial"/>
        <family val="2"/>
      </rPr>
      <t xml:space="preserve">2 </t>
    </r>
    <r>
      <rPr>
        <b/>
        <sz val="10"/>
        <rFont val="Arial"/>
        <family val="2"/>
      </rPr>
      <t>per cap</t>
    </r>
  </si>
  <si>
    <t>Eq Impact at focus GDP/cap</t>
  </si>
  <si>
    <r>
      <t>IREFEQ</t>
    </r>
    <r>
      <rPr>
        <b/>
        <vertAlign val="subscript"/>
        <sz val="10"/>
        <rFont val="Arial"/>
        <family val="2"/>
      </rPr>
      <t>dis</t>
    </r>
  </si>
  <si>
    <t>Eq Impact at actual GDP/cap</t>
  </si>
  <si>
    <r>
      <t>IGDPEQ</t>
    </r>
    <r>
      <rPr>
        <b/>
        <vertAlign val="subscript"/>
        <sz val="10"/>
        <rFont val="Arial"/>
        <family val="2"/>
      </rPr>
      <t>dis</t>
    </r>
  </si>
  <si>
    <r>
      <t>IGDP</t>
    </r>
    <r>
      <rPr>
        <b/>
        <vertAlign val="subscript"/>
        <sz val="10"/>
        <rFont val="Arial"/>
        <family val="2"/>
      </rPr>
      <t>dis</t>
    </r>
  </si>
  <si>
    <t>exponential factor</t>
  </si>
  <si>
    <r>
      <t>ISAT</t>
    </r>
    <r>
      <rPr>
        <b/>
        <vertAlign val="subscript"/>
        <sz val="10"/>
        <rFont val="Arial"/>
        <family val="2"/>
      </rPr>
      <t>dis</t>
    </r>
  </si>
  <si>
    <r>
      <t>ISAT</t>
    </r>
    <r>
      <rPr>
        <b/>
        <vertAlign val="subscript"/>
        <sz val="10"/>
        <rFont val="Arial"/>
        <family val="2"/>
      </rPr>
      <t xml:space="preserve">dis </t>
    </r>
    <r>
      <rPr>
        <b/>
        <sz val="10"/>
        <rFont val="Arial"/>
        <family val="2"/>
      </rPr>
      <t>per cap</t>
    </r>
  </si>
  <si>
    <r>
      <t>RGDP</t>
    </r>
    <r>
      <rPr>
        <b/>
        <vertAlign val="subscript"/>
        <sz val="10"/>
        <rFont val="Arial"/>
        <family val="2"/>
      </rPr>
      <t xml:space="preserve">dis </t>
    </r>
    <r>
      <rPr>
        <b/>
        <sz val="10"/>
        <rFont val="Arial"/>
        <family val="2"/>
      </rPr>
      <t>per cap</t>
    </r>
  </si>
  <si>
    <r>
      <t>RCONS</t>
    </r>
    <r>
      <rPr>
        <b/>
        <vertAlign val="subscript"/>
        <sz val="10"/>
        <rFont val="Arial"/>
        <family val="2"/>
      </rPr>
      <t xml:space="preserve">dis </t>
    </r>
    <r>
      <rPr>
        <b/>
        <sz val="10"/>
        <rFont val="Arial"/>
        <family val="2"/>
      </rPr>
      <t>per cap</t>
    </r>
  </si>
  <si>
    <r>
      <t>WI</t>
    </r>
    <r>
      <rPr>
        <b/>
        <vertAlign val="subscript"/>
        <sz val="10"/>
        <rFont val="Arial"/>
        <family val="2"/>
      </rPr>
      <t>T</t>
    </r>
  </si>
  <si>
    <r>
      <t>WID</t>
    </r>
    <r>
      <rPr>
        <b/>
        <vertAlign val="subscript"/>
        <sz val="10"/>
        <rFont val="Arial"/>
        <family val="2"/>
      </rPr>
      <t>T</t>
    </r>
  </si>
  <si>
    <t>Global total</t>
  </si>
  <si>
    <r>
      <t>ADD</t>
    </r>
    <r>
      <rPr>
        <b/>
        <vertAlign val="subscript"/>
        <sz val="10"/>
        <rFont val="Arial"/>
        <family val="2"/>
      </rPr>
      <t>T</t>
    </r>
  </si>
  <si>
    <t>%consumption</t>
  </si>
  <si>
    <t>ISATG</t>
  </si>
  <si>
    <t>difference</t>
  </si>
  <si>
    <r>
      <t>ZC</t>
    </r>
    <r>
      <rPr>
        <b/>
        <vertAlign val="subscript"/>
        <sz val="10"/>
        <rFont val="Arial"/>
        <family val="2"/>
      </rPr>
      <t>4</t>
    </r>
  </si>
  <si>
    <r>
      <t>CB</t>
    </r>
    <r>
      <rPr>
        <b/>
        <vertAlign val="subscript"/>
        <sz val="10"/>
        <rFont val="Arial"/>
        <family val="2"/>
      </rPr>
      <t>4</t>
    </r>
  </si>
  <si>
    <t>Cutbacks at negative cost</t>
  </si>
  <si>
    <t>% of emissions</t>
  </si>
  <si>
    <t>Most negative cost cutback</t>
  </si>
  <si>
    <t>Maximum cutbacks at positive cost</t>
  </si>
  <si>
    <t>Maximum cutback cost</t>
  </si>
  <si>
    <t>Initial experience stock</t>
  </si>
  <si>
    <t>Mtonne</t>
  </si>
  <si>
    <t>Business as usual emissions:</t>
  </si>
  <si>
    <t>Cutbacks at negative cost growth rate</t>
  </si>
  <si>
    <t>Maximum cutbacks growth rate</t>
  </si>
  <si>
    <t>Most negative cost growth rate</t>
  </si>
  <si>
    <t>Curvature below zero cost</t>
  </si>
  <si>
    <t>Curvature above zero cost</t>
  </si>
  <si>
    <t>Experience crossover ratio</t>
  </si>
  <si>
    <t>All costs</t>
  </si>
  <si>
    <t>Autonomous technical change</t>
  </si>
  <si>
    <t>Equity weights proportion</t>
  </si>
  <si>
    <t>Initial cutbacks at negative cost</t>
  </si>
  <si>
    <t>Initial maximum cost cutback</t>
  </si>
  <si>
    <r>
      <t>CMAXINIT</t>
    </r>
    <r>
      <rPr>
        <vertAlign val="subscript"/>
        <sz val="8"/>
        <rFont val="Arial"/>
        <family val="2"/>
      </rPr>
      <t>1</t>
    </r>
  </si>
  <si>
    <r>
      <t>CMAXINIT</t>
    </r>
    <r>
      <rPr>
        <vertAlign val="subscript"/>
        <sz val="8"/>
        <rFont val="Arial"/>
        <family val="2"/>
      </rPr>
      <t>2</t>
    </r>
  </si>
  <si>
    <r>
      <t>CMAXINIT</t>
    </r>
    <r>
      <rPr>
        <vertAlign val="subscript"/>
        <sz val="8"/>
        <rFont val="Arial"/>
        <family val="2"/>
      </rPr>
      <t>3</t>
    </r>
  </si>
  <si>
    <r>
      <t>CMAXINIT</t>
    </r>
    <r>
      <rPr>
        <vertAlign val="subscript"/>
        <sz val="8"/>
        <rFont val="Arial"/>
        <family val="2"/>
      </rPr>
      <t>4</t>
    </r>
  </si>
  <si>
    <r>
      <t>Q0PROPINIT</t>
    </r>
    <r>
      <rPr>
        <vertAlign val="subscript"/>
        <sz val="7"/>
        <rFont val="Arial"/>
        <family val="2"/>
      </rPr>
      <t>1</t>
    </r>
  </si>
  <si>
    <r>
      <t>Q0PROPINIT</t>
    </r>
    <r>
      <rPr>
        <vertAlign val="subscript"/>
        <sz val="7"/>
        <rFont val="Arial"/>
        <family val="2"/>
      </rPr>
      <t>2</t>
    </r>
  </si>
  <si>
    <r>
      <t>Q0PROPINIT</t>
    </r>
    <r>
      <rPr>
        <vertAlign val="subscript"/>
        <sz val="7"/>
        <rFont val="Arial"/>
        <family val="2"/>
      </rPr>
      <t>3</t>
    </r>
  </si>
  <si>
    <r>
      <t>Q0PROPINIT</t>
    </r>
    <r>
      <rPr>
        <vertAlign val="subscript"/>
        <sz val="7"/>
        <rFont val="Arial"/>
        <family val="2"/>
      </rPr>
      <t>4</t>
    </r>
  </si>
  <si>
    <t>Cumulative cutbacks</t>
  </si>
  <si>
    <r>
      <t>CBE</t>
    </r>
    <r>
      <rPr>
        <b/>
        <vertAlign val="subscript"/>
        <sz val="10"/>
        <rFont val="Arial"/>
        <family val="2"/>
      </rPr>
      <t>1</t>
    </r>
  </si>
  <si>
    <r>
      <t>CBE</t>
    </r>
    <r>
      <rPr>
        <b/>
        <vertAlign val="subscript"/>
        <sz val="10"/>
        <rFont val="Arial"/>
        <family val="2"/>
      </rPr>
      <t>2</t>
    </r>
  </si>
  <si>
    <r>
      <t>CBE</t>
    </r>
    <r>
      <rPr>
        <b/>
        <vertAlign val="subscript"/>
        <sz val="10"/>
        <rFont val="Arial"/>
        <family val="2"/>
      </rPr>
      <t>3</t>
    </r>
  </si>
  <si>
    <r>
      <t>CBE</t>
    </r>
    <r>
      <rPr>
        <b/>
        <vertAlign val="subscript"/>
        <sz val="10"/>
        <rFont val="Arial"/>
        <family val="2"/>
      </rPr>
      <t>4</t>
    </r>
  </si>
  <si>
    <r>
      <t>CUMCBE</t>
    </r>
    <r>
      <rPr>
        <b/>
        <vertAlign val="subscript"/>
        <sz val="10"/>
        <rFont val="Arial"/>
        <family val="2"/>
      </rPr>
      <t>1</t>
    </r>
  </si>
  <si>
    <r>
      <t>CUMCBE</t>
    </r>
    <r>
      <rPr>
        <b/>
        <vertAlign val="subscript"/>
        <sz val="10"/>
        <rFont val="Arial"/>
        <family val="2"/>
      </rPr>
      <t>2</t>
    </r>
  </si>
  <si>
    <r>
      <t>CUMCBE</t>
    </r>
    <r>
      <rPr>
        <b/>
        <vertAlign val="subscript"/>
        <sz val="10"/>
        <rFont val="Arial"/>
        <family val="2"/>
      </rPr>
      <t>3</t>
    </r>
  </si>
  <si>
    <r>
      <t>CUMCBE</t>
    </r>
    <r>
      <rPr>
        <b/>
        <vertAlign val="subscript"/>
        <sz val="10"/>
        <rFont val="Arial"/>
        <family val="2"/>
      </rPr>
      <t>4</t>
    </r>
  </si>
  <si>
    <t>Learning factors</t>
  </si>
  <si>
    <r>
      <t>LEARNFAC</t>
    </r>
    <r>
      <rPr>
        <b/>
        <vertAlign val="subscript"/>
        <sz val="10"/>
        <rFont val="Arial"/>
        <family val="2"/>
      </rPr>
      <t>1</t>
    </r>
  </si>
  <si>
    <r>
      <t>LEARNFAC</t>
    </r>
    <r>
      <rPr>
        <b/>
        <vertAlign val="subscript"/>
        <sz val="10"/>
        <rFont val="Arial"/>
        <family val="2"/>
      </rPr>
      <t>2</t>
    </r>
  </si>
  <si>
    <r>
      <t>LEARNFAC</t>
    </r>
    <r>
      <rPr>
        <b/>
        <vertAlign val="subscript"/>
        <sz val="10"/>
        <rFont val="Arial"/>
        <family val="2"/>
      </rPr>
      <t>3</t>
    </r>
  </si>
  <si>
    <r>
      <t>LEARNFAC</t>
    </r>
    <r>
      <rPr>
        <b/>
        <vertAlign val="subscript"/>
        <sz val="10"/>
        <rFont val="Arial"/>
        <family val="2"/>
      </rPr>
      <t>4</t>
    </r>
  </si>
  <si>
    <t>Autonomous factor</t>
  </si>
  <si>
    <t>AUTOFAC</t>
  </si>
  <si>
    <t>Negative cost cutbacks</t>
  </si>
  <si>
    <r>
      <t>Q0PROP</t>
    </r>
    <r>
      <rPr>
        <b/>
        <vertAlign val="subscript"/>
        <sz val="10"/>
        <rFont val="Arial"/>
        <family val="2"/>
      </rPr>
      <t>1</t>
    </r>
  </si>
  <si>
    <r>
      <t>Q0PROP</t>
    </r>
    <r>
      <rPr>
        <b/>
        <vertAlign val="subscript"/>
        <sz val="10"/>
        <rFont val="Arial"/>
        <family val="2"/>
      </rPr>
      <t>2</t>
    </r>
  </si>
  <si>
    <r>
      <t>Q0PROP</t>
    </r>
    <r>
      <rPr>
        <b/>
        <vertAlign val="subscript"/>
        <sz val="10"/>
        <rFont val="Arial"/>
        <family val="2"/>
      </rPr>
      <t>3</t>
    </r>
  </si>
  <si>
    <r>
      <t>Q0PROP</t>
    </r>
    <r>
      <rPr>
        <b/>
        <vertAlign val="subscript"/>
        <sz val="10"/>
        <rFont val="Arial"/>
        <family val="2"/>
      </rPr>
      <t>4</t>
    </r>
  </si>
  <si>
    <r>
      <t>Q0</t>
    </r>
    <r>
      <rPr>
        <b/>
        <vertAlign val="subscript"/>
        <sz val="10"/>
        <rFont val="Arial"/>
        <family val="2"/>
      </rPr>
      <t>1</t>
    </r>
  </si>
  <si>
    <r>
      <t>Q0</t>
    </r>
    <r>
      <rPr>
        <b/>
        <vertAlign val="subscript"/>
        <sz val="10"/>
        <rFont val="Arial"/>
        <family val="2"/>
      </rPr>
      <t>2</t>
    </r>
  </si>
  <si>
    <r>
      <t>Q0</t>
    </r>
    <r>
      <rPr>
        <b/>
        <vertAlign val="subscript"/>
        <sz val="10"/>
        <rFont val="Arial"/>
        <family val="2"/>
      </rPr>
      <t>3</t>
    </r>
  </si>
  <si>
    <r>
      <t>Q0</t>
    </r>
    <r>
      <rPr>
        <b/>
        <vertAlign val="subscript"/>
        <sz val="10"/>
        <rFont val="Arial"/>
        <family val="2"/>
      </rPr>
      <t>4</t>
    </r>
  </si>
  <si>
    <t>Most negative cost</t>
  </si>
  <si>
    <t>C0</t>
  </si>
  <si>
    <t>Positive cost cutbacks</t>
  </si>
  <si>
    <r>
      <t>Q0MAX-Q0PROP</t>
    </r>
    <r>
      <rPr>
        <b/>
        <vertAlign val="subscript"/>
        <sz val="10"/>
        <rFont val="Arial"/>
        <family val="2"/>
      </rPr>
      <t>1</t>
    </r>
  </si>
  <si>
    <t>Maximum reference cutbacks</t>
  </si>
  <si>
    <r>
      <t>QMAX</t>
    </r>
    <r>
      <rPr>
        <b/>
        <vertAlign val="subscript"/>
        <sz val="10"/>
        <rFont val="Arial"/>
        <family val="2"/>
      </rPr>
      <t>1</t>
    </r>
  </si>
  <si>
    <r>
      <t>QMAX</t>
    </r>
    <r>
      <rPr>
        <b/>
        <vertAlign val="subscript"/>
        <sz val="10"/>
        <rFont val="Arial"/>
        <family val="2"/>
      </rPr>
      <t>2</t>
    </r>
  </si>
  <si>
    <r>
      <t>QMAX</t>
    </r>
    <r>
      <rPr>
        <b/>
        <vertAlign val="subscript"/>
        <sz val="10"/>
        <rFont val="Arial"/>
        <family val="2"/>
      </rPr>
      <t>3</t>
    </r>
  </si>
  <si>
    <r>
      <t>QMAX</t>
    </r>
    <r>
      <rPr>
        <b/>
        <vertAlign val="subscript"/>
        <sz val="10"/>
        <rFont val="Arial"/>
        <family val="2"/>
      </rPr>
      <t>4</t>
    </r>
  </si>
  <si>
    <t>Maximum cost</t>
  </si>
  <si>
    <r>
      <t>CMAX</t>
    </r>
    <r>
      <rPr>
        <b/>
        <vertAlign val="subscript"/>
        <sz val="10"/>
        <rFont val="Arial"/>
        <family val="2"/>
      </rPr>
      <t>1</t>
    </r>
  </si>
  <si>
    <r>
      <t>CMAX</t>
    </r>
    <r>
      <rPr>
        <b/>
        <vertAlign val="subscript"/>
        <sz val="10"/>
        <rFont val="Arial"/>
        <family val="2"/>
      </rPr>
      <t>2</t>
    </r>
  </si>
  <si>
    <r>
      <t>CMAX</t>
    </r>
    <r>
      <rPr>
        <b/>
        <vertAlign val="subscript"/>
        <sz val="10"/>
        <rFont val="Arial"/>
        <family val="2"/>
      </rPr>
      <t>3</t>
    </r>
  </si>
  <si>
    <r>
      <t>CMAX</t>
    </r>
    <r>
      <rPr>
        <b/>
        <vertAlign val="subscript"/>
        <sz val="10"/>
        <rFont val="Arial"/>
        <family val="2"/>
      </rPr>
      <t>4</t>
    </r>
  </si>
  <si>
    <t>Scale below Q0</t>
  </si>
  <si>
    <t>Curve below Q0</t>
  </si>
  <si>
    <r>
      <t>Blo</t>
    </r>
    <r>
      <rPr>
        <b/>
        <vertAlign val="subscript"/>
        <sz val="10"/>
        <rFont val="Arial"/>
        <family val="2"/>
      </rPr>
      <t>1</t>
    </r>
  </si>
  <si>
    <r>
      <t>Blo</t>
    </r>
    <r>
      <rPr>
        <b/>
        <vertAlign val="subscript"/>
        <sz val="10"/>
        <rFont val="Arial"/>
        <family val="2"/>
      </rPr>
      <t>2</t>
    </r>
  </si>
  <si>
    <r>
      <t>Blo</t>
    </r>
    <r>
      <rPr>
        <b/>
        <vertAlign val="subscript"/>
        <sz val="10"/>
        <rFont val="Arial"/>
        <family val="2"/>
      </rPr>
      <t>3</t>
    </r>
  </si>
  <si>
    <r>
      <t>Blo</t>
    </r>
    <r>
      <rPr>
        <b/>
        <vertAlign val="subscript"/>
        <sz val="10"/>
        <rFont val="Arial"/>
        <family val="2"/>
      </rPr>
      <t>4</t>
    </r>
  </si>
  <si>
    <r>
      <t>Alo</t>
    </r>
    <r>
      <rPr>
        <b/>
        <vertAlign val="subscript"/>
        <sz val="10"/>
        <rFont val="Arial"/>
        <family val="2"/>
      </rPr>
      <t>1</t>
    </r>
  </si>
  <si>
    <r>
      <t>Alo</t>
    </r>
    <r>
      <rPr>
        <b/>
        <vertAlign val="subscript"/>
        <sz val="10"/>
        <rFont val="Arial"/>
        <family val="2"/>
      </rPr>
      <t>2</t>
    </r>
  </si>
  <si>
    <r>
      <t>Alo</t>
    </r>
    <r>
      <rPr>
        <b/>
        <vertAlign val="subscript"/>
        <sz val="10"/>
        <rFont val="Arial"/>
        <family val="2"/>
      </rPr>
      <t>3</t>
    </r>
  </si>
  <si>
    <r>
      <t>Alo</t>
    </r>
    <r>
      <rPr>
        <b/>
        <vertAlign val="subscript"/>
        <sz val="10"/>
        <rFont val="Arial"/>
        <family val="2"/>
      </rPr>
      <t>4</t>
    </r>
  </si>
  <si>
    <t>Curve above Q0</t>
  </si>
  <si>
    <r>
      <t>Bhi</t>
    </r>
    <r>
      <rPr>
        <b/>
        <vertAlign val="subscript"/>
        <sz val="10"/>
        <rFont val="Arial"/>
        <family val="2"/>
      </rPr>
      <t>1</t>
    </r>
  </si>
  <si>
    <r>
      <t>Bhi</t>
    </r>
    <r>
      <rPr>
        <b/>
        <vertAlign val="subscript"/>
        <sz val="10"/>
        <rFont val="Arial"/>
        <family val="2"/>
      </rPr>
      <t>2</t>
    </r>
  </si>
  <si>
    <r>
      <t>Bhi</t>
    </r>
    <r>
      <rPr>
        <b/>
        <vertAlign val="subscript"/>
        <sz val="10"/>
        <rFont val="Arial"/>
        <family val="2"/>
      </rPr>
      <t>3</t>
    </r>
  </si>
  <si>
    <r>
      <t>Bhi</t>
    </r>
    <r>
      <rPr>
        <b/>
        <vertAlign val="subscript"/>
        <sz val="10"/>
        <rFont val="Arial"/>
        <family val="2"/>
      </rPr>
      <t>4</t>
    </r>
  </si>
  <si>
    <t>Scale above Q0</t>
  </si>
  <si>
    <r>
      <t>Ahi</t>
    </r>
    <r>
      <rPr>
        <b/>
        <vertAlign val="subscript"/>
        <sz val="10"/>
        <rFont val="Arial"/>
        <family val="2"/>
      </rPr>
      <t>1</t>
    </r>
  </si>
  <si>
    <r>
      <t>Ahi</t>
    </r>
    <r>
      <rPr>
        <b/>
        <vertAlign val="subscript"/>
        <sz val="10"/>
        <rFont val="Arial"/>
        <family val="2"/>
      </rPr>
      <t>2</t>
    </r>
  </si>
  <si>
    <r>
      <t>Ahi</t>
    </r>
    <r>
      <rPr>
        <b/>
        <vertAlign val="subscript"/>
        <sz val="10"/>
        <rFont val="Arial"/>
        <family val="2"/>
      </rPr>
      <t>3</t>
    </r>
  </si>
  <si>
    <r>
      <t>Ahi</t>
    </r>
    <r>
      <rPr>
        <b/>
        <vertAlign val="subscript"/>
        <sz val="10"/>
        <rFont val="Arial"/>
        <family val="2"/>
      </rPr>
      <t>4</t>
    </r>
  </si>
  <si>
    <t>Total cost at Q0</t>
  </si>
  <si>
    <r>
      <t>TCQ0</t>
    </r>
    <r>
      <rPr>
        <b/>
        <vertAlign val="subscript"/>
        <sz val="10"/>
        <rFont val="Arial"/>
        <family val="2"/>
      </rPr>
      <t>1</t>
    </r>
  </si>
  <si>
    <r>
      <t>TCQ0</t>
    </r>
    <r>
      <rPr>
        <b/>
        <vertAlign val="subscript"/>
        <sz val="10"/>
        <rFont val="Arial"/>
        <family val="2"/>
      </rPr>
      <t>2</t>
    </r>
  </si>
  <si>
    <r>
      <t>TCQ0</t>
    </r>
    <r>
      <rPr>
        <b/>
        <vertAlign val="subscript"/>
        <sz val="10"/>
        <rFont val="Arial"/>
        <family val="2"/>
      </rPr>
      <t>3</t>
    </r>
  </si>
  <si>
    <r>
      <t>TCQ0</t>
    </r>
    <r>
      <rPr>
        <b/>
        <vertAlign val="subscript"/>
        <sz val="10"/>
        <rFont val="Arial"/>
        <family val="2"/>
      </rPr>
      <t>4</t>
    </r>
  </si>
  <si>
    <t>Marginal cost</t>
  </si>
  <si>
    <r>
      <t>MC</t>
    </r>
    <r>
      <rPr>
        <b/>
        <vertAlign val="subscript"/>
        <sz val="10"/>
        <rFont val="Arial"/>
        <family val="2"/>
      </rPr>
      <t>1</t>
    </r>
  </si>
  <si>
    <r>
      <t>MC</t>
    </r>
    <r>
      <rPr>
        <b/>
        <vertAlign val="subscript"/>
        <sz val="10"/>
        <rFont val="Arial"/>
        <family val="2"/>
      </rPr>
      <t>2</t>
    </r>
  </si>
  <si>
    <r>
      <t>MC</t>
    </r>
    <r>
      <rPr>
        <b/>
        <vertAlign val="subscript"/>
        <sz val="10"/>
        <rFont val="Arial"/>
        <family val="2"/>
      </rPr>
      <t>3</t>
    </r>
  </si>
  <si>
    <r>
      <t>MC</t>
    </r>
    <r>
      <rPr>
        <b/>
        <vertAlign val="subscript"/>
        <sz val="10"/>
        <rFont val="Arial"/>
        <family val="2"/>
      </rPr>
      <t>4</t>
    </r>
  </si>
  <si>
    <t>Total cost</t>
  </si>
  <si>
    <r>
      <t>TC</t>
    </r>
    <r>
      <rPr>
        <b/>
        <vertAlign val="subscript"/>
        <sz val="10"/>
        <rFont val="Arial"/>
        <family val="2"/>
      </rPr>
      <t>1</t>
    </r>
  </si>
  <si>
    <r>
      <t>TC</t>
    </r>
    <r>
      <rPr>
        <b/>
        <vertAlign val="subscript"/>
        <sz val="10"/>
        <rFont val="Arial"/>
        <family val="2"/>
      </rPr>
      <t>2</t>
    </r>
  </si>
  <si>
    <r>
      <t>TC</t>
    </r>
    <r>
      <rPr>
        <b/>
        <vertAlign val="subscript"/>
        <sz val="10"/>
        <rFont val="Arial"/>
        <family val="2"/>
      </rPr>
      <t>3</t>
    </r>
  </si>
  <si>
    <r>
      <t>TC</t>
    </r>
    <r>
      <rPr>
        <b/>
        <vertAlign val="subscript"/>
        <sz val="10"/>
        <rFont val="Arial"/>
        <family val="2"/>
      </rPr>
      <t>4</t>
    </r>
  </si>
  <si>
    <t>Total cost per capita</t>
  </si>
  <si>
    <t>Weighted cost per capita</t>
  </si>
  <si>
    <t>Cost per capita</t>
  </si>
  <si>
    <t>Discount factors if not equity weighted</t>
  </si>
  <si>
    <r>
      <t>PCD</t>
    </r>
    <r>
      <rPr>
        <b/>
        <vertAlign val="subscript"/>
        <sz val="10"/>
        <rFont val="Arial"/>
        <family val="2"/>
      </rPr>
      <t>T</t>
    </r>
  </si>
  <si>
    <r>
      <t>PC</t>
    </r>
    <r>
      <rPr>
        <b/>
        <vertAlign val="subscript"/>
        <sz val="10"/>
        <rFont val="Arial"/>
        <family val="2"/>
      </rPr>
      <t>T</t>
    </r>
  </si>
  <si>
    <r>
      <t>PCDA</t>
    </r>
    <r>
      <rPr>
        <b/>
        <vertAlign val="subscript"/>
        <sz val="10"/>
        <rFont val="Arial"/>
        <family val="2"/>
      </rPr>
      <t>T</t>
    </r>
  </si>
  <si>
    <t>Total prev costs</t>
  </si>
  <si>
    <t>%GDP per metre</t>
  </si>
  <si>
    <t>Sea level</t>
  </si>
  <si>
    <t>impact</t>
  </si>
  <si>
    <r>
      <t>CP</t>
    </r>
    <r>
      <rPr>
        <vertAlign val="subscript"/>
        <sz val="10"/>
        <rFont val="Arial"/>
        <family val="2"/>
      </rPr>
      <t>s</t>
    </r>
  </si>
  <si>
    <r>
      <t>CI</t>
    </r>
    <r>
      <rPr>
        <vertAlign val="subscript"/>
        <sz val="10"/>
        <rFont val="Arial"/>
        <family val="2"/>
      </rPr>
      <t>s</t>
    </r>
  </si>
  <si>
    <t>Plateau costs</t>
  </si>
  <si>
    <r>
      <t>ACP</t>
    </r>
    <r>
      <rPr>
        <b/>
        <vertAlign val="subscript"/>
        <sz val="10"/>
        <rFont val="Arial"/>
        <family val="2"/>
      </rPr>
      <t>s</t>
    </r>
  </si>
  <si>
    <t>Impact reduction costs</t>
  </si>
  <si>
    <r>
      <t>ACI</t>
    </r>
    <r>
      <rPr>
        <b/>
        <vertAlign val="subscript"/>
        <sz val="10"/>
        <rFont val="Arial"/>
        <family val="2"/>
      </rPr>
      <t>s</t>
    </r>
  </si>
  <si>
    <t>Global sea level</t>
  </si>
  <si>
    <r>
      <t>ACP</t>
    </r>
    <r>
      <rPr>
        <b/>
        <vertAlign val="subscript"/>
        <sz val="10"/>
        <rFont val="Arial"/>
        <family val="2"/>
      </rPr>
      <t>1</t>
    </r>
  </si>
  <si>
    <r>
      <t>ACI</t>
    </r>
    <r>
      <rPr>
        <b/>
        <vertAlign val="subscript"/>
        <sz val="10"/>
        <rFont val="Arial"/>
        <family val="2"/>
      </rPr>
      <t>1</t>
    </r>
  </si>
  <si>
    <r>
      <t>ACP</t>
    </r>
    <r>
      <rPr>
        <b/>
        <vertAlign val="subscript"/>
        <sz val="10"/>
        <rFont val="Arial"/>
        <family val="2"/>
      </rPr>
      <t>2</t>
    </r>
  </si>
  <si>
    <r>
      <t>ACI</t>
    </r>
    <r>
      <rPr>
        <b/>
        <vertAlign val="subscript"/>
        <sz val="10"/>
        <rFont val="Arial"/>
        <family val="2"/>
      </rPr>
      <t>2</t>
    </r>
  </si>
  <si>
    <r>
      <t>AC</t>
    </r>
    <r>
      <rPr>
        <b/>
        <vertAlign val="subscript"/>
        <sz val="10"/>
        <rFont val="Arial"/>
        <family val="2"/>
      </rPr>
      <t>s</t>
    </r>
  </si>
  <si>
    <r>
      <t>AC</t>
    </r>
    <r>
      <rPr>
        <b/>
        <vertAlign val="subscript"/>
        <sz val="10"/>
        <rFont val="Arial"/>
        <family val="2"/>
      </rPr>
      <t>T</t>
    </r>
  </si>
  <si>
    <t>Weighted adaptive costs</t>
  </si>
  <si>
    <t>Adaptive costs per capita</t>
  </si>
  <si>
    <t>Global mean</t>
  </si>
  <si>
    <r>
      <t>AC</t>
    </r>
    <r>
      <rPr>
        <b/>
        <vertAlign val="subscript"/>
        <sz val="10"/>
        <rFont val="Arial"/>
        <family val="2"/>
      </rPr>
      <t>T</t>
    </r>
    <r>
      <rPr>
        <b/>
        <sz val="10"/>
        <rFont val="Arial"/>
        <family val="2"/>
      </rPr>
      <t xml:space="preserve"> per cap</t>
    </r>
  </si>
  <si>
    <t>Weighted adaptive costs per cap</t>
  </si>
  <si>
    <r>
      <t>WAC</t>
    </r>
    <r>
      <rPr>
        <b/>
        <vertAlign val="subscript"/>
        <sz val="10"/>
        <rFont val="Arial"/>
        <family val="2"/>
      </rPr>
      <t>T</t>
    </r>
    <r>
      <rPr>
        <b/>
        <sz val="10"/>
        <rFont val="Arial"/>
        <family val="2"/>
      </rPr>
      <t xml:space="preserve"> per cap</t>
    </r>
  </si>
  <si>
    <r>
      <t>WAC</t>
    </r>
    <r>
      <rPr>
        <b/>
        <vertAlign val="subscript"/>
        <sz val="10"/>
        <rFont val="Arial"/>
        <family val="2"/>
      </rPr>
      <t>T</t>
    </r>
  </si>
  <si>
    <r>
      <t>WACD</t>
    </r>
    <r>
      <rPr>
        <b/>
        <vertAlign val="subscript"/>
        <sz val="10"/>
        <rFont val="Arial"/>
        <family val="2"/>
      </rPr>
      <t>T</t>
    </r>
  </si>
  <si>
    <r>
      <t>AAC</t>
    </r>
    <r>
      <rPr>
        <b/>
        <vertAlign val="subscript"/>
        <sz val="10"/>
        <rFont val="Arial"/>
        <family val="2"/>
      </rPr>
      <t>T</t>
    </r>
  </si>
  <si>
    <t>Policy A</t>
  </si>
  <si>
    <t>Aggregated discounted:</t>
  </si>
  <si>
    <r>
      <t>TC</t>
    </r>
    <r>
      <rPr>
        <b/>
        <vertAlign val="subscript"/>
        <sz val="10"/>
        <rFont val="Arial"/>
        <family val="2"/>
      </rPr>
      <t>T</t>
    </r>
  </si>
  <si>
    <t>Equity adaptive costs per cap</t>
  </si>
  <si>
    <r>
      <t>EAC</t>
    </r>
    <r>
      <rPr>
        <b/>
        <vertAlign val="subscript"/>
        <sz val="10"/>
        <rFont val="Arial"/>
        <family val="2"/>
      </rPr>
      <t>T</t>
    </r>
    <r>
      <rPr>
        <b/>
        <sz val="10"/>
        <rFont val="Arial"/>
        <family val="2"/>
      </rPr>
      <t xml:space="preserve"> per cap</t>
    </r>
  </si>
  <si>
    <t>Learning rate</t>
  </si>
  <si>
    <r>
      <t>TC</t>
    </r>
    <r>
      <rPr>
        <b/>
        <vertAlign val="subscript"/>
        <sz val="10"/>
        <rFont val="Arial"/>
        <family val="2"/>
      </rPr>
      <t>T</t>
    </r>
    <r>
      <rPr>
        <b/>
        <sz val="10"/>
        <rFont val="Arial"/>
        <family val="2"/>
      </rPr>
      <t xml:space="preserve"> per cap</t>
    </r>
  </si>
  <si>
    <r>
      <t>WTC</t>
    </r>
    <r>
      <rPr>
        <b/>
        <vertAlign val="subscript"/>
        <sz val="10"/>
        <rFont val="Arial"/>
        <family val="2"/>
      </rPr>
      <t>T</t>
    </r>
    <r>
      <rPr>
        <b/>
        <sz val="10"/>
        <rFont val="Arial"/>
        <family val="2"/>
      </rPr>
      <t xml:space="preserve"> per cap</t>
    </r>
  </si>
  <si>
    <r>
      <t>PC</t>
    </r>
    <r>
      <rPr>
        <b/>
        <vertAlign val="subscript"/>
        <sz val="10"/>
        <rFont val="Arial"/>
        <family val="2"/>
      </rPr>
      <t>T</t>
    </r>
    <r>
      <rPr>
        <b/>
        <sz val="10"/>
        <rFont val="Arial"/>
        <family val="2"/>
      </rPr>
      <t xml:space="preserve"> per cap</t>
    </r>
  </si>
  <si>
    <t>Policy B</t>
  </si>
  <si>
    <t>min</t>
  </si>
  <si>
    <t>mode</t>
  </si>
  <si>
    <t>max</t>
  </si>
  <si>
    <t>Science</t>
  </si>
  <si>
    <t>ptp rate</t>
  </si>
  <si>
    <t>Equity weighted costs</t>
  </si>
  <si>
    <t>Percent of CO2 emitted to air</t>
  </si>
  <si>
    <t>PAGE09</t>
  </si>
  <si>
    <t>Consumption/cap after costs</t>
  </si>
  <si>
    <t>GDP/cap after costs</t>
  </si>
  <si>
    <t>Statistical value of civilisation</t>
  </si>
  <si>
    <t>Total effect</t>
  </si>
  <si>
    <t>%GDP per %reduction per metre</t>
  </si>
  <si>
    <t>%GDP per %reduction per degC</t>
  </si>
  <si>
    <t>Impred</t>
  </si>
  <si>
    <t>Impmax</t>
  </si>
  <si>
    <t>Lin emit</t>
  </si>
  <si>
    <t>FSU &amp; ROE</t>
  </si>
  <si>
    <t>Lin</t>
  </si>
  <si>
    <t>Undiscount factors</t>
  </si>
  <si>
    <t>TD undisc</t>
  </si>
  <si>
    <t>x10^3</t>
  </si>
  <si>
    <t>TD undisc for SCCO2</t>
  </si>
  <si>
    <t>SCCO2 year</t>
  </si>
  <si>
    <t>SCCO2 drop</t>
  </si>
  <si>
    <t>%/year</t>
  </si>
  <si>
    <t>Carbon cycle feedback gain</t>
  </si>
  <si>
    <t>GAIN</t>
  </si>
  <si>
    <t>same as A</t>
  </si>
  <si>
    <t>Land excess temperature ratio to ocean</t>
  </si>
  <si>
    <t>drop</t>
  </si>
  <si>
    <t>GF1_rK0qDwEACACiAAwjACYAPwBKAFMAVABgAGwAgAApAJwALQD//wAAAAABAQEAAQQAAAAACDAuMDBFKzAwAAAAAQVTQ0NPMgEAAQEFAAEAAQMBAQD/AQEBAQEAAQEBAAIAAQEBAQEAAQEBAAIAAXAAAgwABVNDQ08yAAAvAQIAAgCIAJIAAQECAZqZmZmZmak/AABmZmZmZmbuPwAABQABAQEA</t>
  </si>
  <si>
    <t>aact</t>
  </si>
  <si>
    <t>='Adaptive costs A'!$B$170:$K$177</t>
  </si>
  <si>
    <t>aact_b</t>
  </si>
  <si>
    <t>='Adaptive costs B'!$B$170:$K$177</t>
  </si>
  <si>
    <t>aact_g</t>
  </si>
  <si>
    <t>='Adaptive costs A'!$B$178:$K$178</t>
  </si>
  <si>
    <t>aact_g_ab</t>
  </si>
  <si>
    <t>='Adaptive costs A-B'!$B$178:$K$178</t>
  </si>
  <si>
    <t>aact_g_b</t>
  </si>
  <si>
    <t>='Adaptive costs B'!$B$178:$K$178</t>
  </si>
  <si>
    <t>aact_gt</t>
  </si>
  <si>
    <t>='Adaptive costs A'!$L$178</t>
  </si>
  <si>
    <t>aact_gt_b</t>
  </si>
  <si>
    <t>='Adaptive costs B'!$L$178</t>
  </si>
  <si>
    <t>ac_1</t>
  </si>
  <si>
    <t>='Adaptive costs A'!$B$72:$K$79</t>
  </si>
  <si>
    <t>ac_1_b</t>
  </si>
  <si>
    <t>='Adaptive costs B'!$B$72:$K$79</t>
  </si>
  <si>
    <t>ac_1_g</t>
  </si>
  <si>
    <t>='Adaptive costs A'!$B$80:$K$80</t>
  </si>
  <si>
    <t>ac_1_g_b</t>
  </si>
  <si>
    <t>='Adaptive costs B'!$B$80:$K$80</t>
  </si>
  <si>
    <t>ac_2</t>
  </si>
  <si>
    <t>='Adaptive costs A'!$B$102:$K$109</t>
  </si>
  <si>
    <t>ac_2_b</t>
  </si>
  <si>
    <t>='Adaptive costs B'!$B$102:$K$109</t>
  </si>
  <si>
    <t>ac_2_g</t>
  </si>
  <si>
    <t>='Adaptive costs A'!$B$110:$K$110</t>
  </si>
  <si>
    <t>ac_2_g_b</t>
  </si>
  <si>
    <t>='Adaptive costs B'!$B$110:$K$110</t>
  </si>
  <si>
    <t>ac_s</t>
  </si>
  <si>
    <t>='Adaptive costs A'!$B$42:$K$49</t>
  </si>
  <si>
    <t>ac_s_b</t>
  </si>
  <si>
    <t>='Adaptive costs B'!$B$42:$K$49</t>
  </si>
  <si>
    <t>ac_s_g</t>
  </si>
  <si>
    <t>='Adaptive costs A'!$B$50:$K$50</t>
  </si>
  <si>
    <t>ac_s_g_b</t>
  </si>
  <si>
    <t>='Adaptive costs B'!$B$50:$K$50</t>
  </si>
  <si>
    <t>aci_1</t>
  </si>
  <si>
    <t>='Adaptive costs A'!$B$62:$K$69</t>
  </si>
  <si>
    <t>aci_1_b</t>
  </si>
  <si>
    <t>='Adaptive costs B'!$B$62:$K$69</t>
  </si>
  <si>
    <t>aci_1_g</t>
  </si>
  <si>
    <t>='Adaptive costs A'!$B$70:$K$70</t>
  </si>
  <si>
    <t>aci_1_g_b</t>
  </si>
  <si>
    <t>='Adaptive costs B'!$B$70:$K$70</t>
  </si>
  <si>
    <t>aci_2</t>
  </si>
  <si>
    <t>='Adaptive costs A'!$B$92:$K$99</t>
  </si>
  <si>
    <t>aci_2_b</t>
  </si>
  <si>
    <t>='Adaptive costs B'!$B$92:$K$99</t>
  </si>
  <si>
    <t>aci_2_g</t>
  </si>
  <si>
    <t>='Adaptive costs A'!$B$100:$K$100</t>
  </si>
  <si>
    <t>aci_2_g_b</t>
  </si>
  <si>
    <t>='Adaptive costs B'!$B$100:$K$100</t>
  </si>
  <si>
    <t>aci_s</t>
  </si>
  <si>
    <t>='Adaptive costs A'!$B$32:$K$39</t>
  </si>
  <si>
    <t>aci_s_b</t>
  </si>
  <si>
    <t>='Adaptive costs B'!$B$32:$K$39</t>
  </si>
  <si>
    <t>aci_s_g</t>
  </si>
  <si>
    <t>='Adaptive costs A'!$B$40:$K$40</t>
  </si>
  <si>
    <t>aci_s_g_b</t>
  </si>
  <si>
    <t>='Adaptive costs B'!$B$40:$K$40</t>
  </si>
  <si>
    <t>acp_1</t>
  </si>
  <si>
    <t>='Adaptive costs A'!$B$52:$K$59</t>
  </si>
  <si>
    <t>acp_1_b</t>
  </si>
  <si>
    <t>='Adaptive costs B'!$B$52:$K$59</t>
  </si>
  <si>
    <t>acp_1_g</t>
  </si>
  <si>
    <t>='Adaptive costs A'!$B$60:$K$60</t>
  </si>
  <si>
    <t>acp_1_g_b</t>
  </si>
  <si>
    <t>='Adaptive costs B'!$B$60:$K$60</t>
  </si>
  <si>
    <t>acp_2</t>
  </si>
  <si>
    <t>='Adaptive costs A'!$B$82:$K$89</t>
  </si>
  <si>
    <t>acp_2_b</t>
  </si>
  <si>
    <t>='Adaptive costs B'!$B$82:$K$89</t>
  </si>
  <si>
    <t>acp_2_g</t>
  </si>
  <si>
    <t>='Adaptive costs A'!$B$90:$K$90</t>
  </si>
  <si>
    <t>acp_2_g_b</t>
  </si>
  <si>
    <t>='Adaptive costs B'!$B$90:$K$90</t>
  </si>
  <si>
    <t>acp_s</t>
  </si>
  <si>
    <t>='Adaptive costs A'!$B$22:$K$29</t>
  </si>
  <si>
    <t>acp_s_b</t>
  </si>
  <si>
    <t>='Adaptive costs B'!$B$22:$K$29</t>
  </si>
  <si>
    <t>acp_s_g</t>
  </si>
  <si>
    <t>='Adaptive costs A'!$B$30:$K$30</t>
  </si>
  <si>
    <t>acp_s_g_b</t>
  </si>
  <si>
    <t>='Adaptive costs B'!$B$30:$K$30</t>
  </si>
  <si>
    <t>act</t>
  </si>
  <si>
    <t>='Adaptive costs A'!$B$112:$K$119</t>
  </si>
  <si>
    <t>act_b</t>
  </si>
  <si>
    <t>='Adaptive costs B'!$B$112:$K$119</t>
  </si>
  <si>
    <t>act_g</t>
  </si>
  <si>
    <t>='Adaptive costs A'!$B$120:$K$120</t>
  </si>
  <si>
    <t>act_g_b</t>
  </si>
  <si>
    <t>='Adaptive costs B'!$B$120:$K$120</t>
  </si>
  <si>
    <t>act_per_cap</t>
  </si>
  <si>
    <t>='Adaptive costs A'!$B$122:$K$129</t>
  </si>
  <si>
    <t>act_per_cap_b</t>
  </si>
  <si>
    <t>='Adaptive costs B'!$B$122:$K$129</t>
  </si>
  <si>
    <t>act_per_cap_g</t>
  </si>
  <si>
    <t>='Adaptive costs A'!$B$130:$K$130</t>
  </si>
  <si>
    <t>act_per_cap_g_b</t>
  </si>
  <si>
    <t>='Adaptive costs B'!$B$130:$K$130</t>
  </si>
  <si>
    <t>addt</t>
  </si>
  <si>
    <t>='Impacts A'!$C$436:$L$443</t>
  </si>
  <si>
    <t>addt_b</t>
  </si>
  <si>
    <t>='Impacts B'!$C$436:$L$443</t>
  </si>
  <si>
    <t>addt_g</t>
  </si>
  <si>
    <t>='Impacts A'!$C$444:$L$444</t>
  </si>
  <si>
    <t>addt_g_ab</t>
  </si>
  <si>
    <t>='Impacts A-B'!$C$444:$L$444</t>
  </si>
  <si>
    <t>addt_g_b</t>
  </si>
  <si>
    <t>='Impacts B'!$C$444:$L$444</t>
  </si>
  <si>
    <t>addt_gt</t>
  </si>
  <si>
    <t>='Impacts A'!$M$444</t>
  </si>
  <si>
    <t>addt_gt_b</t>
  </si>
  <si>
    <t>='Impacts B'!$M$444</t>
  </si>
  <si>
    <t>addtt</t>
  </si>
  <si>
    <t>='Impacts A'!$M$436:$M$443</t>
  </si>
  <si>
    <t>addtt_b</t>
  </si>
  <si>
    <t>='Impacts B'!$M$436:$M$443</t>
  </si>
  <si>
    <t>ahi_ch4</t>
  </si>
  <si>
    <t>='Preventative costs A'!$B$506:$K$513</t>
  </si>
  <si>
    <t>ahi_ch4_b</t>
  </si>
  <si>
    <t>='Preventative costs B'!$B$506:$K$513</t>
  </si>
  <si>
    <t>ahi_co2</t>
  </si>
  <si>
    <t>='Preventative costs A'!$B$497:$K$504</t>
  </si>
  <si>
    <t>ahi_co2_b</t>
  </si>
  <si>
    <t>='Preventative costs B'!$B$497:$K$504</t>
  </si>
  <si>
    <t>ahi_glin</t>
  </si>
  <si>
    <t>='Preventative costs A'!$B$524:$K$531</t>
  </si>
  <si>
    <t>ahi_glin_b</t>
  </si>
  <si>
    <t>='Preventative costs B'!$B$524:$K$531</t>
  </si>
  <si>
    <t>ahi_n2o</t>
  </si>
  <si>
    <t>='Preventative costs A'!$B$515:$K$522</t>
  </si>
  <si>
    <t>ahi_n2o_b</t>
  </si>
  <si>
    <t>='Preventative costs B'!$B$515:$K$522</t>
  </si>
  <si>
    <t>AIR_CH4</t>
  </si>
  <si>
    <t>='Base data'!$C$17</t>
  </si>
  <si>
    <t>AIR_CO2</t>
  </si>
  <si>
    <t>='Library data'!$C$4</t>
  </si>
  <si>
    <t>AIR_GLIN</t>
  </si>
  <si>
    <t>='Base data'!$E$17</t>
  </si>
  <si>
    <t>AIR_N2O</t>
  </si>
  <si>
    <t>='Base data'!$D$17</t>
  </si>
  <si>
    <t>ALO_CH4</t>
  </si>
  <si>
    <t>='Preventative costs A'!$B$434:$K$441</t>
  </si>
  <si>
    <t>ALO_CO2</t>
  </si>
  <si>
    <t>='Preventative costs A'!$B$425:$K$432</t>
  </si>
  <si>
    <t>ALO_GLIN</t>
  </si>
  <si>
    <t>='Preventative costs A'!$B$452:$K$459</t>
  </si>
  <si>
    <t>ALO_N2O</t>
  </si>
  <si>
    <t>='Preventative costs A'!$B$443:$K$450</t>
  </si>
  <si>
    <t>AREA</t>
  </si>
  <si>
    <t>='Base data'!$C$24:$C$31</t>
  </si>
  <si>
    <t>AREA_G</t>
  </si>
  <si>
    <t>='Climate A'!$D$3</t>
  </si>
  <si>
    <t>asympf_co2</t>
  </si>
  <si>
    <t>='Climate A'!$D$19:$M$19</t>
  </si>
  <si>
    <t>asympf_co2_b</t>
  </si>
  <si>
    <t>='Climate B'!$D$19:$M$19</t>
  </si>
  <si>
    <t>atl_1</t>
  </si>
  <si>
    <t>='Impacts A'!$C$32:$L$39</t>
  </si>
  <si>
    <t>atl_1_b</t>
  </si>
  <si>
    <t>='Impacts B'!$C$32:$L$39</t>
  </si>
  <si>
    <t>atl_2</t>
  </si>
  <si>
    <t>='Impacts A'!$C$41:$L$48</t>
  </si>
  <si>
    <t>atl_2_b</t>
  </si>
  <si>
    <t>='Impacts B'!$C$41:$L$48</t>
  </si>
  <si>
    <t>atl_s</t>
  </si>
  <si>
    <t>='Impacts A'!$C$23:$L$30</t>
  </si>
  <si>
    <t>atl_s_b</t>
  </si>
  <si>
    <t>='Impacts B'!$C$23:$L$30</t>
  </si>
  <si>
    <t>AUTO</t>
  </si>
  <si>
    <t>='Library data'!$C$134</t>
  </si>
  <si>
    <t>='Preventative costs A'!$B$233:$K$233</t>
  </si>
  <si>
    <t>AUTOMULT</t>
  </si>
  <si>
    <t>='Library data'!$C$133</t>
  </si>
  <si>
    <t>BAU_CH4</t>
  </si>
  <si>
    <t>='Base data'!$C$77:$L$84</t>
  </si>
  <si>
    <t>BAU_CO2</t>
  </si>
  <si>
    <t>='Base data'!$C$68:$L$75</t>
  </si>
  <si>
    <t>BAU_GLIN</t>
  </si>
  <si>
    <t>='Base data'!$C$95:$L$102</t>
  </si>
  <si>
    <t>BAU_N2O</t>
  </si>
  <si>
    <t>='Base data'!$C$86:$L$93</t>
  </si>
  <si>
    <t>BHI_CH4</t>
  </si>
  <si>
    <t>='Preventative costs A'!$B$470:$K$477</t>
  </si>
  <si>
    <t>BHI_CO2</t>
  </si>
  <si>
    <t>='Preventative costs A'!$B$461:$K$468</t>
  </si>
  <si>
    <t>BHI_GLIN</t>
  </si>
  <si>
    <t>='Preventative costs A'!$B$488:$K$495</t>
  </si>
  <si>
    <t>BHI_N2O</t>
  </si>
  <si>
    <t>='Preventative costs A'!$B$479:$K$486</t>
  </si>
  <si>
    <t>BLO_CH4</t>
  </si>
  <si>
    <t>='Preventative costs A'!$B$398:$K$405</t>
  </si>
  <si>
    <t>BLO_CO2</t>
  </si>
  <si>
    <t>='Preventative costs A'!$B$389:$K$396</t>
  </si>
  <si>
    <t>BLO_GLIN</t>
  </si>
  <si>
    <t>='Preventative costs A'!$B$416:$K$423</t>
  </si>
  <si>
    <t>BLO_N2O</t>
  </si>
  <si>
    <t>='Preventative costs A'!$B$407:$K$414</t>
  </si>
  <si>
    <t>C_0</t>
  </si>
  <si>
    <t>='Base data'!$B$19:$E$19</t>
  </si>
  <si>
    <t>c_ch4</t>
  </si>
  <si>
    <t>='Climate A'!$D$36:$M$36</t>
  </si>
  <si>
    <t>C_CH4_0</t>
  </si>
  <si>
    <t>='Base data'!$C$19</t>
  </si>
  <si>
    <t>c_ch4_b</t>
  </si>
  <si>
    <t>='Climate B'!$D$36:$M$36</t>
  </si>
  <si>
    <t>c_co2</t>
  </si>
  <si>
    <t>='Climate A'!$D$26:$M$26</t>
  </si>
  <si>
    <t>C_CO2_0</t>
  </si>
  <si>
    <t>='Base data'!$B$19</t>
  </si>
  <si>
    <t>c_co2_b</t>
  </si>
  <si>
    <t>='Climate B'!$D$26:$M$26</t>
  </si>
  <si>
    <t>c_co2_no_ccf</t>
  </si>
  <si>
    <t>='Climate A'!$D$23:$M$23</t>
  </si>
  <si>
    <t>c_co2_no_ccf_b</t>
  </si>
  <si>
    <t>='Climate B'!$D$23:$M$23</t>
  </si>
  <si>
    <t>c_glin</t>
  </si>
  <si>
    <t>='Climate A'!$D$60:$M$60</t>
  </si>
  <si>
    <t>C_GLIN_0</t>
  </si>
  <si>
    <t>='Base data'!$E$19</t>
  </si>
  <si>
    <t>c_glin_b</t>
  </si>
  <si>
    <t>='Climate B'!$D$60:$M$60</t>
  </si>
  <si>
    <t>c_n2o</t>
  </si>
  <si>
    <t>='Climate A'!$D$46:$M$46</t>
  </si>
  <si>
    <t>C_N2O_0</t>
  </si>
  <si>
    <t>='Base data'!$D$19</t>
  </si>
  <si>
    <t>c_n2o_b</t>
  </si>
  <si>
    <t>='Climate B'!$D$46:$M$46</t>
  </si>
  <si>
    <t>C0_CH4</t>
  </si>
  <si>
    <t>='Preventative costs A'!$B$236:$K$236</t>
  </si>
  <si>
    <t>C0_CO2</t>
  </si>
  <si>
    <t>='Preventative costs A'!$B$235:$K$235</t>
  </si>
  <si>
    <t>C0_GLIN</t>
  </si>
  <si>
    <t>='Preventative costs A'!$B$238:$K$238</t>
  </si>
  <si>
    <t>C0_INIT_CH4</t>
  </si>
  <si>
    <t>='Library data'!$C$79</t>
  </si>
  <si>
    <t>C0_INIT_CO2</t>
  </si>
  <si>
    <t>='Library data'!$C$72</t>
  </si>
  <si>
    <t>C0_INIT_GLIN</t>
  </si>
  <si>
    <t>='Library data'!$C$93</t>
  </si>
  <si>
    <t>C0_INIT_N2O</t>
  </si>
  <si>
    <t>='Library data'!$C$86</t>
  </si>
  <si>
    <t>C0_N2O</t>
  </si>
  <si>
    <t>='Preventative costs A'!$B$237:$K$237</t>
  </si>
  <si>
    <t>C0G</t>
  </si>
  <si>
    <t>='Library data'!$C$127</t>
  </si>
  <si>
    <t>C0MULT</t>
  </si>
  <si>
    <t>='Library data'!$C$126</t>
  </si>
  <si>
    <t>cb_ch4</t>
  </si>
  <si>
    <t>='Preventative costs A'!$B$94:$K$101</t>
  </si>
  <si>
    <t>cb_ch4_b</t>
  </si>
  <si>
    <t>='Preventative costs B'!$B$94:$K$101</t>
  </si>
  <si>
    <t>cb_co2</t>
  </si>
  <si>
    <t>='Preventative costs A'!$B$85:$K$92</t>
  </si>
  <si>
    <t>cb_co2_b</t>
  </si>
  <si>
    <t>='Preventative costs B'!$B$85:$K$92</t>
  </si>
  <si>
    <t>cb_glin</t>
  </si>
  <si>
    <t>='Preventative costs A'!$B$112:$K$119</t>
  </si>
  <si>
    <t>cb_glin_b</t>
  </si>
  <si>
    <t>='Preventative costs B'!$B$112:$K$119</t>
  </si>
  <si>
    <t>cb_n2o</t>
  </si>
  <si>
    <t>='Preventative costs A'!$B$103:$K$110</t>
  </si>
  <si>
    <t>cb_n2o_b</t>
  </si>
  <si>
    <t>='Preventative costs B'!$B$103:$K$110</t>
  </si>
  <si>
    <t>cbe_ch4</t>
  </si>
  <si>
    <t>='Preventative costs A'!$B$130:$K$137</t>
  </si>
  <si>
    <t>cbe_ch4_b</t>
  </si>
  <si>
    <t>='Preventative costs B'!$B$130:$K$137</t>
  </si>
  <si>
    <t>cbe_co2</t>
  </si>
  <si>
    <t>='Preventative costs A'!$B$121:$K$128</t>
  </si>
  <si>
    <t>cbe_co2_b</t>
  </si>
  <si>
    <t>='Preventative costs B'!$B$121:$K$128</t>
  </si>
  <si>
    <t>cbe_glin</t>
  </si>
  <si>
    <t>='Preventative costs A'!$B$148:$K$155</t>
  </si>
  <si>
    <t>cbe_glin_b</t>
  </si>
  <si>
    <t>='Preventative costs B'!$B$148:$K$155</t>
  </si>
  <si>
    <t>cbe_n2o</t>
  </si>
  <si>
    <t>='Preventative costs A'!$B$139:$K$146</t>
  </si>
  <si>
    <t>cbe_n2o_b</t>
  </si>
  <si>
    <t>='Preventative costs B'!$B$139:$K$146</t>
  </si>
  <si>
    <t>CCF</t>
  </si>
  <si>
    <t>='Library data'!$C$7</t>
  </si>
  <si>
    <t>ccff</t>
  </si>
  <si>
    <t>='Climate A'!$D$25:$M$25</t>
  </si>
  <si>
    <t>ccff_b</t>
  </si>
  <si>
    <t>='Climate B'!$D$25:$M$25</t>
  </si>
  <si>
    <t>CCFFMAX</t>
  </si>
  <si>
    <t>='Library data'!$C$8</t>
  </si>
  <si>
    <t>CE_CO2_0</t>
  </si>
  <si>
    <t>='Base data'!$B$20</t>
  </si>
  <si>
    <t>cea_co2</t>
  </si>
  <si>
    <t>='Climate A'!$D$16:$M$16</t>
  </si>
  <si>
    <t>CEA_CO2_0</t>
  </si>
  <si>
    <t>='Climate A'!$C$16</t>
  </si>
  <si>
    <t>cea_co2_b</t>
  </si>
  <si>
    <t>='Climate B'!$D$16:$M$16</t>
  </si>
  <si>
    <t>CF</t>
  </si>
  <si>
    <t>='Library data'!$C$60:$C$66</t>
  </si>
  <si>
    <t>CI_1</t>
  </si>
  <si>
    <t>='Adaptive costs A'!$E$5:$E$12</t>
  </si>
  <si>
    <t>CI_1_1</t>
  </si>
  <si>
    <t>='Library data'!$C$57</t>
  </si>
  <si>
    <t>CI_2</t>
  </si>
  <si>
    <t>='Adaptive costs A'!$G$5:$G$12</t>
  </si>
  <si>
    <t>CI_2_1</t>
  </si>
  <si>
    <t>='Library data'!$C$59</t>
  </si>
  <si>
    <t>CI_S</t>
  </si>
  <si>
    <t>='Adaptive costs A'!$C$5:$C$12</t>
  </si>
  <si>
    <t>CI_S_1</t>
  </si>
  <si>
    <t>='Library data'!$C$55</t>
  </si>
  <si>
    <t>CIV_VALUE</t>
  </si>
  <si>
    <t>='Library data'!$C$44</t>
  </si>
  <si>
    <t>cmax_ch4</t>
  </si>
  <si>
    <t>='Preventative costs A'!$B$362:$K$369</t>
  </si>
  <si>
    <t>cmax_ch4_b</t>
  </si>
  <si>
    <t>='Preventative costs B'!$B$362:$K$369</t>
  </si>
  <si>
    <t>cmax_co2</t>
  </si>
  <si>
    <t>='Preventative costs A'!$B$353:$K$360</t>
  </si>
  <si>
    <t>cmax_co2_b</t>
  </si>
  <si>
    <t>='Preventative costs B'!$B$353:$K$360</t>
  </si>
  <si>
    <t>cmax_glin</t>
  </si>
  <si>
    <t>='Preventative costs A'!$B$380:$K$387</t>
  </si>
  <si>
    <t>cmax_glin_b</t>
  </si>
  <si>
    <t>='Preventative costs B'!$B$380:$K$387</t>
  </si>
  <si>
    <t>CMAX_INIT_CH4</t>
  </si>
  <si>
    <t>='Preventative costs A'!$C$31:$C$38</t>
  </si>
  <si>
    <t>CMAX_INIT_CH4_1</t>
  </si>
  <si>
    <t>='Library data'!$C$81</t>
  </si>
  <si>
    <t>CMAX_INIT_CO2</t>
  </si>
  <si>
    <t>='Preventative costs A'!$B$31:$B$38</t>
  </si>
  <si>
    <t>CMAX_INIT_CO2_1</t>
  </si>
  <si>
    <t>='Library data'!$C$74</t>
  </si>
  <si>
    <t>CMAX_INIT_GLIN</t>
  </si>
  <si>
    <t>='Preventative costs A'!$E$31:$E$38</t>
  </si>
  <si>
    <t>CMAX_INIT_GLIN_1</t>
  </si>
  <si>
    <t>='Library data'!$C$95</t>
  </si>
  <si>
    <t>CMAX_INIT_N2O</t>
  </si>
  <si>
    <t>='Preventative costs A'!$D$31:$D$38</t>
  </si>
  <si>
    <t>CMAX_INIT_N2O_1</t>
  </si>
  <si>
    <t>='Library data'!$C$88</t>
  </si>
  <si>
    <t>cmax_n2o</t>
  </si>
  <si>
    <t>='Preventative costs A'!$B$371:$K$378</t>
  </si>
  <si>
    <t>cmax_n2o_b</t>
  </si>
  <si>
    <t>='Preventative costs B'!$B$371:$K$378</t>
  </si>
  <si>
    <t>CMAXF</t>
  </si>
  <si>
    <t>='Library data'!$C$114:$C$120</t>
  </si>
  <si>
    <t>CONS_PER_CAP</t>
  </si>
  <si>
    <t>='Impacts A'!$C$143:$L$150</t>
  </si>
  <si>
    <t>CONS_PER_CAP_0</t>
  </si>
  <si>
    <t>='Impacts A'!$B$143:$B$150</t>
  </si>
  <si>
    <t>cons_per_cap_after_costs</t>
  </si>
  <si>
    <t>='Impacts A'!$C$173:$L$180</t>
  </si>
  <si>
    <t>cons_per_cap_after_costs_b</t>
  </si>
  <si>
    <t>='Impacts B'!$C$173:$L$180</t>
  </si>
  <si>
    <t>CONS_PER_CAP_FOCUS</t>
  </si>
  <si>
    <t>='Impacts A'!$C$143:$L$143</t>
  </si>
  <si>
    <t>CONS_PER_CAP_FOCUS_0</t>
  </si>
  <si>
    <t>='Impacts A'!$B$143</t>
  </si>
  <si>
    <t>CONS_PER_CAP_G</t>
  </si>
  <si>
    <t>='Impacts A'!$C$151:$L$151</t>
  </si>
  <si>
    <t>CONS_PER_CAP_G_0</t>
  </si>
  <si>
    <t>='Impacts A'!$B$151</t>
  </si>
  <si>
    <t>CONS_PER_CAP_G_1</t>
  </si>
  <si>
    <t>='Impacts A'!$C$151</t>
  </si>
  <si>
    <t>CONS_PER_CAP_G_NOT_1</t>
  </si>
  <si>
    <t>='Impacts A'!$D$151:$L$151</t>
  </si>
  <si>
    <t>CP_1</t>
  </si>
  <si>
    <t>='Adaptive costs A'!$D$5:$D$12</t>
  </si>
  <si>
    <t>CP_1_1</t>
  </si>
  <si>
    <t>='Library data'!$C$56</t>
  </si>
  <si>
    <t>CP_2</t>
  </si>
  <si>
    <t>='Adaptive costs A'!$F$5:$F$12</t>
  </si>
  <si>
    <t>CP_2_1</t>
  </si>
  <si>
    <t>='Library data'!$C$58</t>
  </si>
  <si>
    <t>CP_S</t>
  </si>
  <si>
    <t>='Adaptive costs A'!$B$5:$B$12</t>
  </si>
  <si>
    <t>CP_S_1</t>
  </si>
  <si>
    <t>='Library data'!$C$54</t>
  </si>
  <si>
    <t>CROSS</t>
  </si>
  <si>
    <t>='Library data'!$C$130</t>
  </si>
  <si>
    <t>cumcbe_ch4</t>
  </si>
  <si>
    <t>='Preventative costs A'!$B$167:$K$174</t>
  </si>
  <si>
    <t>cumcbe_ch4_b</t>
  </si>
  <si>
    <t>='Preventative costs B'!$B$167:$K$174</t>
  </si>
  <si>
    <t>cumcbe_ch4_g</t>
  </si>
  <si>
    <t>='Preventative costs A'!$B$175:$K$175</t>
  </si>
  <si>
    <t>cumcbe_ch4_g_b</t>
  </si>
  <si>
    <t>='Preventative costs B'!$B$175:$K$175</t>
  </si>
  <si>
    <t>cumcbe_co2</t>
  </si>
  <si>
    <t>='Preventative costs A'!$B$157:$K$164</t>
  </si>
  <si>
    <t>cumcbe_co2_b</t>
  </si>
  <si>
    <t>='Preventative costs B'!$B$157:$K$164</t>
  </si>
  <si>
    <t>cumcbe_co2_g</t>
  </si>
  <si>
    <t>='Preventative costs A'!$B$165:$K$165</t>
  </si>
  <si>
    <t>cumcbe_co2_g_b</t>
  </si>
  <si>
    <t>='Preventative costs B'!$B$165:$K$165</t>
  </si>
  <si>
    <t>cumcbe_glin</t>
  </si>
  <si>
    <t>='Preventative costs A'!$B$187:$K$194</t>
  </si>
  <si>
    <t>cumcbe_glin_b</t>
  </si>
  <si>
    <t>='Preventative costs B'!$B$187:$K$194</t>
  </si>
  <si>
    <t>cumcbe_glin_g</t>
  </si>
  <si>
    <t>='Preventative costs A'!$B$195:$K$195</t>
  </si>
  <si>
    <t>cumcbe_glin_g_b</t>
  </si>
  <si>
    <t>='Preventative costs B'!$B$195:$K$195</t>
  </si>
  <si>
    <t>cumcbe_n2o</t>
  </si>
  <si>
    <t>='Preventative costs A'!$B$177:$K$184</t>
  </si>
  <si>
    <t>cumcbe_n2o_b</t>
  </si>
  <si>
    <t>='Preventative costs B'!$B$177:$K$184</t>
  </si>
  <si>
    <t>cumcbe_n2o_g</t>
  </si>
  <si>
    <t>='Preventative costs A'!$B$185:$K$185</t>
  </si>
  <si>
    <t>cumcbe_n2o_g_b</t>
  </si>
  <si>
    <t>='Preventative costs B'!$B$185:$K$185</t>
  </si>
  <si>
    <t>CURRENCY_NAME</t>
  </si>
  <si>
    <t>='Base data'!$D$32</t>
  </si>
  <si>
    <t>CURVE_ABOVE</t>
  </si>
  <si>
    <t>='Library data'!$C$129</t>
  </si>
  <si>
    <t>CURVE_BELOW</t>
  </si>
  <si>
    <t>='Library data'!$C$128</t>
  </si>
  <si>
    <t>D</t>
  </si>
  <si>
    <t>='Library data'!$C$11</t>
  </si>
  <si>
    <t>DEN</t>
  </si>
  <si>
    <t>='Base data'!$B$13:$E$13</t>
  </si>
  <si>
    <t>DEN_CH4</t>
  </si>
  <si>
    <t>='Base data'!$C$13</t>
  </si>
  <si>
    <t>DEN_CO2</t>
  </si>
  <si>
    <t>='Base data'!$B$13</t>
  </si>
  <si>
    <t>DEN_GLIN</t>
  </si>
  <si>
    <t>='Base data'!$E$13</t>
  </si>
  <si>
    <t>DEN_N2O</t>
  </si>
  <si>
    <t>='Base data'!$D$13</t>
  </si>
  <si>
    <t>DF</t>
  </si>
  <si>
    <t>='Impacts A'!$C$154:$L$161</t>
  </si>
  <si>
    <t>DFC</t>
  </si>
  <si>
    <t>='Preventative costs A'!$B$687:$K$694</t>
  </si>
  <si>
    <t>DISTAU</t>
  </si>
  <si>
    <t>='Library data'!$C$42</t>
  </si>
  <si>
    <t>DR</t>
  </si>
  <si>
    <t>='Base data'!$C$58:$L$65</t>
  </si>
  <si>
    <t>DR_1</t>
  </si>
  <si>
    <t>='Base data'!$C$58:$C$65</t>
  </si>
  <si>
    <t>DR_NOT_1</t>
  </si>
  <si>
    <t>='Base data'!$D$58:$L$65</t>
  </si>
  <si>
    <t>DROP</t>
  </si>
  <si>
    <t>='Base data'!$M$4</t>
  </si>
  <si>
    <t>e_ch4</t>
  </si>
  <si>
    <t>='Emissions A'!$C$35:$L$42</t>
  </si>
  <si>
    <t>E_CH4_0</t>
  </si>
  <si>
    <t>='Base data'!$G$24:$G$31</t>
  </si>
  <si>
    <t>e_ch4_b</t>
  </si>
  <si>
    <t>='Emissions B'!$C$35:$L$42</t>
  </si>
  <si>
    <t>e_ch4_g</t>
  </si>
  <si>
    <t>='Emissions A'!$C$43:$L$43</t>
  </si>
  <si>
    <t>E_CH4_G_0</t>
  </si>
  <si>
    <t>='Emissions A'!$B$43</t>
  </si>
  <si>
    <t>e_ch4_g_b</t>
  </si>
  <si>
    <t>='Emissions B'!$C$43:$L$43</t>
  </si>
  <si>
    <t>e_co2</t>
  </si>
  <si>
    <t>='Emissions A'!$C$4:$L$11</t>
  </si>
  <si>
    <t>E_CO2_0</t>
  </si>
  <si>
    <t>='Base data'!$F$24:$F$31</t>
  </si>
  <si>
    <t>e_co2_b</t>
  </si>
  <si>
    <t>='Emissions B'!$C$4:$L$11</t>
  </si>
  <si>
    <t>e_co2_g</t>
  </si>
  <si>
    <t>='Emissions A'!$C$12:$L$12</t>
  </si>
  <si>
    <t>E_CO2_G_0</t>
  </si>
  <si>
    <t>='Emissions A'!$B$12</t>
  </si>
  <si>
    <t>e_co2_g_b</t>
  </si>
  <si>
    <t>='Emissions B'!$C$12:$L$12</t>
  </si>
  <si>
    <t>E_GLIN_0</t>
  </si>
  <si>
    <t>='Base data'!$I$24:$I$31</t>
  </si>
  <si>
    <t>e_glin_g</t>
  </si>
  <si>
    <t>='Emissions A'!$C$105:$L$105</t>
  </si>
  <si>
    <t>E_GLIN_G_0</t>
  </si>
  <si>
    <t>='Emissions A'!$B$105</t>
  </si>
  <si>
    <t>e_glin_g_b</t>
  </si>
  <si>
    <t>='Emissions B'!$C$105:$L$105</t>
  </si>
  <si>
    <t>e_n2o</t>
  </si>
  <si>
    <t>='Emissions A'!$C$66:$L$73</t>
  </si>
  <si>
    <t>E_N2O_0</t>
  </si>
  <si>
    <t>='Base data'!$H$24:$H$31</t>
  </si>
  <si>
    <t>e_n2o_b</t>
  </si>
  <si>
    <t>='Emissions B'!$C$66:$L$73</t>
  </si>
  <si>
    <t>e_n2o_g</t>
  </si>
  <si>
    <t>='Emissions A'!$C$74:$L$74</t>
  </si>
  <si>
    <t>E_N2O_G_0</t>
  </si>
  <si>
    <t>='Emissions A'!$B$74</t>
  </si>
  <si>
    <t>e_n2o_g_b</t>
  </si>
  <si>
    <t>='Emissions B'!$C$74:$L$74</t>
  </si>
  <si>
    <t>eact_per_cap</t>
  </si>
  <si>
    <t>='Adaptive costs A'!$B$132:$K$139</t>
  </si>
  <si>
    <t>eact_per_cap_b</t>
  </si>
  <si>
    <t>='Adaptive costs B'!$B$132:$K$139</t>
  </si>
  <si>
    <t>EMIT_CH4</t>
  </si>
  <si>
    <t>='Preventative costs A'!$C$5:$C$12</t>
  </si>
  <si>
    <t>EMIT_CH4_1</t>
  </si>
  <si>
    <t>='Library data'!$C$77</t>
  </si>
  <si>
    <t>EMIT_CO2</t>
  </si>
  <si>
    <t>='Preventative costs A'!$B$5:$B$12</t>
  </si>
  <si>
    <t>EMIT_CO2_1</t>
  </si>
  <si>
    <t>='Library data'!$C$70</t>
  </si>
  <si>
    <t>EMIT_GLIN</t>
  </si>
  <si>
    <t>='Preventative costs A'!$E$5:$E$12</t>
  </si>
  <si>
    <t>EMIT_GLIN_1</t>
  </si>
  <si>
    <t>='Library data'!$C$91</t>
  </si>
  <si>
    <t>EMIT_N2O</t>
  </si>
  <si>
    <t>='Preventative costs A'!$D$5:$D$12</t>
  </si>
  <si>
    <t>EMIT_N2O_1</t>
  </si>
  <si>
    <t>='Library data'!$C$84</t>
  </si>
  <si>
    <t>EMIT_NAME</t>
  </si>
  <si>
    <t>='Base data'!$F$32</t>
  </si>
  <si>
    <t>EMITF</t>
  </si>
  <si>
    <t>='Library data'!$C$98:$C$104</t>
  </si>
  <si>
    <t>EMUC</t>
  </si>
  <si>
    <t>='Base data'!$B$10</t>
  </si>
  <si>
    <t>EQUITY</t>
  </si>
  <si>
    <t>='Impacts A'!$C$163:$L$170</t>
  </si>
  <si>
    <t>EQUITY_0</t>
  </si>
  <si>
    <t>='Impacts A'!$B$163:$B$170</t>
  </si>
  <si>
    <t>EQUITY_COSTS</t>
  </si>
  <si>
    <t>='Base data'!$B$9</t>
  </si>
  <si>
    <t>EQUITY_G</t>
  </si>
  <si>
    <t>='Impacts A'!$C$171:$L$171</t>
  </si>
  <si>
    <t>EQUITY_G_0</t>
  </si>
  <si>
    <t>='Impacts A'!$B$171</t>
  </si>
  <si>
    <t>EQUITY_PROP</t>
  </si>
  <si>
    <t>='Library data'!$C$135</t>
  </si>
  <si>
    <t>er_ch4_1_a</t>
  </si>
  <si>
    <t>='Policy A'!$B$14:$B$21</t>
  </si>
  <si>
    <t>er_ch4_1_b</t>
  </si>
  <si>
    <t>='Policy B'!$B$14:$B$21</t>
  </si>
  <si>
    <t>er_ch4_a</t>
  </si>
  <si>
    <t>='Policy A'!$B$14:$K$21</t>
  </si>
  <si>
    <t>er_ch4_b</t>
  </si>
  <si>
    <t>='Policy B'!$B$14:$K$21</t>
  </si>
  <si>
    <t>er_ch4_not_1_a</t>
  </si>
  <si>
    <t>='Policy A'!$C$14:$K$21</t>
  </si>
  <si>
    <t>er_ch4_not_1_b</t>
  </si>
  <si>
    <t>='Policy B'!$C$14:$K$21</t>
  </si>
  <si>
    <t>er_co2_1_a</t>
  </si>
  <si>
    <t>='Policy A'!$B$5:$B$12</t>
  </si>
  <si>
    <t>er_co2_1_b</t>
  </si>
  <si>
    <t>='Policy B'!$B$5:$B$12</t>
  </si>
  <si>
    <t>er_co2_a</t>
  </si>
  <si>
    <t>='Policy A'!$B$5:$K$12</t>
  </si>
  <si>
    <t>er_co2_b</t>
  </si>
  <si>
    <t>='Policy B'!$B$5:$K$12</t>
  </si>
  <si>
    <t>er_co2_not_1_a</t>
  </si>
  <si>
    <t>='Policy A'!$C$5:$K$12</t>
  </si>
  <si>
    <t>er_co2_not_1_b</t>
  </si>
  <si>
    <t>='Policy B'!$C$5:$K$12</t>
  </si>
  <si>
    <t>er_glin_1_a</t>
  </si>
  <si>
    <t>='Policy A'!$B$32:$B$39</t>
  </si>
  <si>
    <t>er_glin_1_b</t>
  </si>
  <si>
    <t>='Policy B'!$B$32:$B$39</t>
  </si>
  <si>
    <t>er_glin_a</t>
  </si>
  <si>
    <t>='Policy A'!$B$32:$K$39</t>
  </si>
  <si>
    <t>er_glin_b</t>
  </si>
  <si>
    <t>='Policy B'!$B$32:$K$39</t>
  </si>
  <si>
    <t>er_glin_not_1_a</t>
  </si>
  <si>
    <t>='Policy A'!$C$32:$K$39</t>
  </si>
  <si>
    <t>er_glin_not_1_b</t>
  </si>
  <si>
    <t>='Policy B'!$C$32:$K$39</t>
  </si>
  <si>
    <t>er_n2o_1_a</t>
  </si>
  <si>
    <t>='Policy A'!$B$23:$B$30</t>
  </si>
  <si>
    <t>er_n2o_1_b</t>
  </si>
  <si>
    <t>='Policy B'!$B$23:$B$30</t>
  </si>
  <si>
    <t>er_n2o_a</t>
  </si>
  <si>
    <t>='Policy A'!$B$23:$K$30</t>
  </si>
  <si>
    <t>er_n2o_b</t>
  </si>
  <si>
    <t>='Policy B'!$B$23:$K$30</t>
  </si>
  <si>
    <t>er_n2o_not_1_a</t>
  </si>
  <si>
    <t>='Policy A'!$C$23:$K$30</t>
  </si>
  <si>
    <t>er_n2o_not_1_b</t>
  </si>
  <si>
    <t>='Policy B'!$C$23:$K$30</t>
  </si>
  <si>
    <t>ER_SCC</t>
  </si>
  <si>
    <t>='Policy B'!$B$2:$K$2</t>
  </si>
  <si>
    <t>es</t>
  </si>
  <si>
    <t>='Climate A'!$D$137:$M$137</t>
  </si>
  <si>
    <t>ES_0</t>
  </si>
  <si>
    <t>='Climate A'!$C$137</t>
  </si>
  <si>
    <t>es_b</t>
  </si>
  <si>
    <t>='Climate B'!$D$137:$M$137</t>
  </si>
  <si>
    <t>es_not_1</t>
  </si>
  <si>
    <t>='Climate A'!$E$137:$M$137</t>
  </si>
  <si>
    <t>es_not_1_b</t>
  </si>
  <si>
    <t>='Climate B'!$E$137:$M$137</t>
  </si>
  <si>
    <t>et</t>
  </si>
  <si>
    <t>='Climate A'!$D$101:$M$108</t>
  </si>
  <si>
    <t>et_1</t>
  </si>
  <si>
    <t>='Climate A'!$D$101:$D$108</t>
  </si>
  <si>
    <t>et_1_b</t>
  </si>
  <si>
    <t>='Climate B'!$D$101:$D$108</t>
  </si>
  <si>
    <t>et_b</t>
  </si>
  <si>
    <t>='Climate B'!$D$101:$M$108</t>
  </si>
  <si>
    <t>et_not_1</t>
  </si>
  <si>
    <t>='Climate A'!$E$101:$M$108</t>
  </si>
  <si>
    <t>et_not_1_b</t>
  </si>
  <si>
    <t>='Climate B'!$E$101:$M$108</t>
  </si>
  <si>
    <t>='Climate A'!$D$9:$G$9</t>
  </si>
  <si>
    <t>EXC_CH4</t>
  </si>
  <si>
    <t>='Climate A'!$E$9</t>
  </si>
  <si>
    <t>EXC_CO2</t>
  </si>
  <si>
    <t>='Climate A'!$D$9</t>
  </si>
  <si>
    <t>EXC_GLIN</t>
  </si>
  <si>
    <t>='Climate A'!$G$9</t>
  </si>
  <si>
    <t>EXC_N2O</t>
  </si>
  <si>
    <t>='Climate A'!$F$9</t>
  </si>
  <si>
    <t>EXF_0</t>
  </si>
  <si>
    <t>='Base data'!$B$104</t>
  </si>
  <si>
    <t>exf_a</t>
  </si>
  <si>
    <t>='Policy A'!$B$50:$K$50</t>
  </si>
  <si>
    <t>exf_b</t>
  </si>
  <si>
    <t>='Policy B'!$B$50:$K$50</t>
  </si>
  <si>
    <t>EXPF_CH4</t>
  </si>
  <si>
    <t>='Climate A'!$D$32:$M$32</t>
  </si>
  <si>
    <t>EXPF_CH4_NOT_1</t>
  </si>
  <si>
    <t>='Climate A'!$E$32:$M$32</t>
  </si>
  <si>
    <t>EXPF_GLIN</t>
  </si>
  <si>
    <t>='Climate A'!$D$56:$M$56</t>
  </si>
  <si>
    <t>EXPF_GLIN_NOT_1</t>
  </si>
  <si>
    <t>='Climate A'!$E$56:$M$56</t>
  </si>
  <si>
    <t>EXPF_N2O</t>
  </si>
  <si>
    <t>='Climate A'!$D$42:$M$42</t>
  </si>
  <si>
    <t>EXPF_N2O_NOT_1</t>
  </si>
  <si>
    <t>='Climate A'!$E$42:$M$42</t>
  </si>
  <si>
    <t>EXPF1_CO2</t>
  </si>
  <si>
    <t>='Climate A'!$D$17:$M$17</t>
  </si>
  <si>
    <t>EXPF1_CO2_NOT_1</t>
  </si>
  <si>
    <t>='Climate A'!$E$17:$M$17</t>
  </si>
  <si>
    <t>EXPF2_CO2</t>
  </si>
  <si>
    <t>='Climate A'!$D$18:$M$18</t>
  </si>
  <si>
    <t>EXPFDIS</t>
  </si>
  <si>
    <t>='Impacts A'!$C$106:$L$106</t>
  </si>
  <si>
    <t>EXPFDIS_1</t>
  </si>
  <si>
    <t>='Impacts A'!$C$106</t>
  </si>
  <si>
    <t>EXPFDIS_NOT_1</t>
  </si>
  <si>
    <t>='Impacts A'!$D$106:$L$106</t>
  </si>
  <si>
    <t>='Climate A'!$D$138:$M$138</t>
  </si>
  <si>
    <t>EXPFS_1</t>
  </si>
  <si>
    <t>='Climate A'!$D$138</t>
  </si>
  <si>
    <t>EXPFS_NOT_1</t>
  </si>
  <si>
    <t>='Climate A'!$E$138:$M$138</t>
  </si>
  <si>
    <t>='Climate A'!$D$109:$M$109</t>
  </si>
  <si>
    <t>EXPFT_NOT_1</t>
  </si>
  <si>
    <t>='Climate A'!$E$109:$M$109</t>
  </si>
  <si>
    <t>f_ch4</t>
  </si>
  <si>
    <t>='Climate A'!$D$50:$M$50</t>
  </si>
  <si>
    <t>F_CH4_0</t>
  </si>
  <si>
    <t>='Base data'!$C$21</t>
  </si>
  <si>
    <t>f_ch4_b</t>
  </si>
  <si>
    <t>='Climate B'!$D$50:$M$50</t>
  </si>
  <si>
    <t>f_ch4_no_over</t>
  </si>
  <si>
    <t>='Climate A'!$D$37:$M$37</t>
  </si>
  <si>
    <t>f_ch4_no_over_b</t>
  </si>
  <si>
    <t>='Climate B'!$D$37:$M$37</t>
  </si>
  <si>
    <t>f_co2</t>
  </si>
  <si>
    <t>='Climate A'!$D$27:$M$27</t>
  </si>
  <si>
    <t>F_CO2_0</t>
  </si>
  <si>
    <t>='Base data'!$B$21</t>
  </si>
  <si>
    <t>f_co2_b</t>
  </si>
  <si>
    <t>='Climate B'!$D$27:$M$27</t>
  </si>
  <si>
    <t>f_glin</t>
  </si>
  <si>
    <t>='Climate A'!$D$61:$M$61</t>
  </si>
  <si>
    <t>F_GLIN_0</t>
  </si>
  <si>
    <t>='Base data'!$E$21</t>
  </si>
  <si>
    <t>f_glin_b</t>
  </si>
  <si>
    <t>='Climate B'!$D$61:$M$61</t>
  </si>
  <si>
    <t>f_n2o</t>
  </si>
  <si>
    <t>='Climate A'!$D$51:$M$51</t>
  </si>
  <si>
    <t>F_N2O_0</t>
  </si>
  <si>
    <t>='Base data'!$D$21</t>
  </si>
  <si>
    <t>f_n2o_b</t>
  </si>
  <si>
    <t>='Climate B'!$D$51:$M$51</t>
  </si>
  <si>
    <t>f_n2o_no_over</t>
  </si>
  <si>
    <t>='Climate A'!$D$47:$M$47</t>
  </si>
  <si>
    <t>f_n2o_no_over_b</t>
  </si>
  <si>
    <t>='Climate B'!$D$47:$M$47</t>
  </si>
  <si>
    <t>FRT</t>
  </si>
  <si>
    <t>='Library data'!$C$17</t>
  </si>
  <si>
    <t>fs</t>
  </si>
  <si>
    <t>='Climate A'!$D$91:$M$98</t>
  </si>
  <si>
    <t>fs_b</t>
  </si>
  <si>
    <t>='Climate B'!$D$91:$M$98</t>
  </si>
  <si>
    <t>fs_g</t>
  </si>
  <si>
    <t>='Climate A'!$D$99:$M$99</t>
  </si>
  <si>
    <t>fs_g_b</t>
  </si>
  <si>
    <t>='Climate B'!$D$99:$M$99</t>
  </si>
  <si>
    <t>fsd</t>
  </si>
  <si>
    <t>='Climate A'!$D$73:$M$80</t>
  </si>
  <si>
    <t>FSD_0</t>
  </si>
  <si>
    <t>='Climate A'!$C$73:$C$80</t>
  </si>
  <si>
    <t>fsd_b</t>
  </si>
  <si>
    <t>='Climate B'!$D$73:$M$80</t>
  </si>
  <si>
    <t>fsd_g</t>
  </si>
  <si>
    <t>='Climate A'!$D$81:$M$81</t>
  </si>
  <si>
    <t>fsd_g_b</t>
  </si>
  <si>
    <t>='Climate B'!$D$81:$M$81</t>
  </si>
  <si>
    <t>fsi</t>
  </si>
  <si>
    <t>='Climate A'!$D$82:$M$89</t>
  </si>
  <si>
    <t>fsi_b</t>
  </si>
  <si>
    <t>='Climate B'!$D$82:$M$89</t>
  </si>
  <si>
    <t>fsi_g</t>
  </si>
  <si>
    <t>='Climate A'!$D$90:$M$90</t>
  </si>
  <si>
    <t>fsi_g_b</t>
  </si>
  <si>
    <t>='Climate B'!$D$90:$M$90</t>
  </si>
  <si>
    <t>FSLOPE_CH4</t>
  </si>
  <si>
    <t>='Base data'!$C$14</t>
  </si>
  <si>
    <t>FSLOPE_CO2</t>
  </si>
  <si>
    <t>='Base data'!$B$14</t>
  </si>
  <si>
    <t>FSLOPE_GLIN</t>
  </si>
  <si>
    <t>='Base data'!$E$14</t>
  </si>
  <si>
    <t>FSLOPE_N2O</t>
  </si>
  <si>
    <t>='Base data'!$D$14</t>
  </si>
  <si>
    <t>ft</t>
  </si>
  <si>
    <t>='Climate A'!$D$62:$M$62</t>
  </si>
  <si>
    <t>FT_0</t>
  </si>
  <si>
    <t>='Climate A'!$C$62</t>
  </si>
  <si>
    <t>ft_b</t>
  </si>
  <si>
    <t>='Climate B'!$D$62:$M$62</t>
  </si>
  <si>
    <t>gain</t>
  </si>
  <si>
    <t>='Climate A'!$D$24:$M$24</t>
  </si>
  <si>
    <t>gain_b</t>
  </si>
  <si>
    <t>='Climate B'!$D$24:$M$24</t>
  </si>
  <si>
    <t>='Impacts A'!$C$110:$L$117</t>
  </si>
  <si>
    <t>GDP_0</t>
  </si>
  <si>
    <t>='Base data'!$D$24:$D$31</t>
  </si>
  <si>
    <t>GDP_G</t>
  </si>
  <si>
    <t>='Impacts A'!$C$118:$L$118</t>
  </si>
  <si>
    <t>GDP_G_0</t>
  </si>
  <si>
    <t>='Impacts A'!$B$118</t>
  </si>
  <si>
    <t>GDP_G_1</t>
  </si>
  <si>
    <t>='Impacts A'!$C$118</t>
  </si>
  <si>
    <t>GDP_G_NOT_1</t>
  </si>
  <si>
    <t>='Impacts A'!$D$118:$L$118</t>
  </si>
  <si>
    <t>GDP_NOT_1</t>
  </si>
  <si>
    <t>='Impacts A'!$D$110:$L$117</t>
  </si>
  <si>
    <t>GDP_PER_CAP</t>
  </si>
  <si>
    <t>='Impacts A'!$C$132:$L$139</t>
  </si>
  <si>
    <t>GDP_PER_CAP_0</t>
  </si>
  <si>
    <t>='Impacts A'!$B$132:$B$139</t>
  </si>
  <si>
    <t>gdp_per_cap_after_costs</t>
  </si>
  <si>
    <t>='Impacts A'!$C$182:$L$189</t>
  </si>
  <si>
    <t>gdp_per_cap_after_costs_b</t>
  </si>
  <si>
    <t>='Impacts B'!$C$182:$L$189</t>
  </si>
  <si>
    <t>GDP_PER_CAP_FOCUS_0</t>
  </si>
  <si>
    <t>='Impacts A'!$B$132</t>
  </si>
  <si>
    <t>GDP_PER_CAP_G</t>
  </si>
  <si>
    <t>='Impacts A'!$C$140:$L$140</t>
  </si>
  <si>
    <t>GDP_PER_CAP_G_0</t>
  </si>
  <si>
    <t>='Impacts A'!$B$140</t>
  </si>
  <si>
    <t>GLIN_NAME</t>
  </si>
  <si>
    <t>='Base data'!$E$11</t>
  </si>
  <si>
    <t>GRW</t>
  </si>
  <si>
    <t>='Base data'!$C$36:$L$43</t>
  </si>
  <si>
    <t>GRW_1</t>
  </si>
  <si>
    <t>='Base data'!$C$36:$C$43</t>
  </si>
  <si>
    <t>GRW_G</t>
  </si>
  <si>
    <t>='Impacts A'!$C$119:$L$119</t>
  </si>
  <si>
    <t>GRW_NOT_1</t>
  </si>
  <si>
    <t>='Base data'!$D$36:$L$43</t>
  </si>
  <si>
    <t>i_1</t>
  </si>
  <si>
    <t>='Impacts A'!$C$86:$L$93</t>
  </si>
  <si>
    <t>i_1_b</t>
  </si>
  <si>
    <t>='Impacts B'!$C$86:$L$93</t>
  </si>
  <si>
    <t>I_1_NAME</t>
  </si>
  <si>
    <t>='Base data'!$B$6</t>
  </si>
  <si>
    <t>i_2</t>
  </si>
  <si>
    <t>='Impacts A'!$C$95:$L$102</t>
  </si>
  <si>
    <t>i_2_b</t>
  </si>
  <si>
    <t>='Impacts B'!$C$95:$L$102</t>
  </si>
  <si>
    <t>I_2_NAME</t>
  </si>
  <si>
    <t>='Base data'!$B$7</t>
  </si>
  <si>
    <t>i_dis</t>
  </si>
  <si>
    <t>='Impacts A'!$C$104:$L$104</t>
  </si>
  <si>
    <t>i_dis_b</t>
  </si>
  <si>
    <t>='Impacts B'!$C$104:$L$104</t>
  </si>
  <si>
    <t>i_s</t>
  </si>
  <si>
    <t>='Impacts A'!$C$77:$L$84</t>
  </si>
  <si>
    <t>i_s_b</t>
  </si>
  <si>
    <t>='Impacts B'!$C$77:$L$84</t>
  </si>
  <si>
    <t>IBEN_1</t>
  </si>
  <si>
    <t>='Library data'!$C$32</t>
  </si>
  <si>
    <t>IBEN_2</t>
  </si>
  <si>
    <t>='Library data'!$C$36</t>
  </si>
  <si>
    <t>IBEN_S</t>
  </si>
  <si>
    <t>='Library data'!$C$28</t>
  </si>
  <si>
    <t>IES_CH4</t>
  </si>
  <si>
    <t>='Library data'!$C$82</t>
  </si>
  <si>
    <t>IES_CO2</t>
  </si>
  <si>
    <t>='Library data'!$C$75</t>
  </si>
  <si>
    <t>IES_GLIN</t>
  </si>
  <si>
    <t>='Library data'!$C$96</t>
  </si>
  <si>
    <t>IES_N2O</t>
  </si>
  <si>
    <t>='Library data'!$C$89</t>
  </si>
  <si>
    <t>igdp_1</t>
  </si>
  <si>
    <t>='Impacts A'!$C$254:$L$261</t>
  </si>
  <si>
    <t>igdp_1_b</t>
  </si>
  <si>
    <t>='Impacts B'!$C$254:$L$261</t>
  </si>
  <si>
    <t>igdp_2</t>
  </si>
  <si>
    <t>='Impacts A'!$C$308:$L$315</t>
  </si>
  <si>
    <t>igdp_2_b</t>
  </si>
  <si>
    <t>='Impacts B'!$C$308:$L$315</t>
  </si>
  <si>
    <t>igdp_s</t>
  </si>
  <si>
    <t>='Impacts A'!$C$200:$L$207</t>
  </si>
  <si>
    <t>igdp_s_b</t>
  </si>
  <si>
    <t>='Impacts B'!$C$200:$L$207</t>
  </si>
  <si>
    <t>igdpdis</t>
  </si>
  <si>
    <t>='Impacts A'!$C$371:$L$378</t>
  </si>
  <si>
    <t>igdpdis_1</t>
  </si>
  <si>
    <t>='Impacts A'!$C$371:$C$378</t>
  </si>
  <si>
    <t>igdpdis_1_b</t>
  </si>
  <si>
    <t>='Impacts B'!$C$371:$C$378</t>
  </si>
  <si>
    <t>igdpdis_b</t>
  </si>
  <si>
    <t>='Impacts B'!$C$371:$L$378</t>
  </si>
  <si>
    <t>igdpdis_not_1</t>
  </si>
  <si>
    <t>='Impacts A'!$D$371:$L$378</t>
  </si>
  <si>
    <t>igdpdis_not_1_b</t>
  </si>
  <si>
    <t>='Impacts B'!$D$371:$L$378</t>
  </si>
  <si>
    <t>igdpeqdis</t>
  </si>
  <si>
    <t>='Impacts A'!$C$362:$L$369</t>
  </si>
  <si>
    <t>igdpeqdis_1</t>
  </si>
  <si>
    <t>='Impacts A'!$C$362:$C$369</t>
  </si>
  <si>
    <t>igdpeqdis_1_b</t>
  </si>
  <si>
    <t>='Impacts B'!$C$362:$C$369</t>
  </si>
  <si>
    <t>igdpeqdis_b</t>
  </si>
  <si>
    <t>='Impacts B'!$C$362:$L$369</t>
  </si>
  <si>
    <t>igdpeqdis_not_1</t>
  </si>
  <si>
    <t>='Impacts A'!$D$362:$L$369</t>
  </si>
  <si>
    <t>igdpeqdis_not_1_b</t>
  </si>
  <si>
    <t>='Impacts B'!$D$362:$L$369</t>
  </si>
  <si>
    <t>imp_1</t>
  </si>
  <si>
    <t>='Impacts A'!$C$59:$L$66</t>
  </si>
  <si>
    <t>imp_1_b</t>
  </si>
  <si>
    <t>='Impacts B'!$C$59:$L$66</t>
  </si>
  <si>
    <t>imp_2</t>
  </si>
  <si>
    <t>='Impacts A'!$C$68:$L$75</t>
  </si>
  <si>
    <t>imp_2_b</t>
  </si>
  <si>
    <t>='Impacts B'!$C$68:$L$75</t>
  </si>
  <si>
    <t>imp_s</t>
  </si>
  <si>
    <t>='Impacts A'!$C$50:$L$57</t>
  </si>
  <si>
    <t>imp_s_b</t>
  </si>
  <si>
    <t>='Impacts B'!$C$50:$L$57</t>
  </si>
  <si>
    <t>impmax_1_a</t>
  </si>
  <si>
    <t>='Policy A'!$I$64:$I$71</t>
  </si>
  <si>
    <t>impmax_1_b</t>
  </si>
  <si>
    <t>='Policy B'!$I$64:$I$71</t>
  </si>
  <si>
    <t>impmax_2_a</t>
  </si>
  <si>
    <t>='Policy A'!$I$74:$I$81</t>
  </si>
  <si>
    <t>impmax_2_b</t>
  </si>
  <si>
    <t>='Policy B'!$I$74:$I$81</t>
  </si>
  <si>
    <t>impmax_s_a</t>
  </si>
  <si>
    <t>='Policy A'!$I$54:$I$61</t>
  </si>
  <si>
    <t>impmax_s_b</t>
  </si>
  <si>
    <t>='Policy B'!$I$54:$I$61</t>
  </si>
  <si>
    <t>impred_1_a</t>
  </si>
  <si>
    <t>='Policy A'!$F$64:$F$71</t>
  </si>
  <si>
    <t>impred_1_b</t>
  </si>
  <si>
    <t>='Policy B'!$F$64:$F$71</t>
  </si>
  <si>
    <t>impred_2_a</t>
  </si>
  <si>
    <t>='Policy A'!$F$74:$F$81</t>
  </si>
  <si>
    <t>impred_2_b</t>
  </si>
  <si>
    <t>='Policy B'!$F$74:$F$81</t>
  </si>
  <si>
    <t>impred_s_a</t>
  </si>
  <si>
    <t>='Policy A'!$F$54:$F$61</t>
  </si>
  <si>
    <t>impred_s_b</t>
  </si>
  <si>
    <t>='Policy B'!$F$54:$F$61</t>
  </si>
  <si>
    <t>IND</t>
  </si>
  <si>
    <t>='Library data'!$C$12</t>
  </si>
  <si>
    <t>IPOW_1</t>
  </si>
  <si>
    <t>='Library data'!$C$35</t>
  </si>
  <si>
    <t>IPOW_2</t>
  </si>
  <si>
    <t>='Library data'!$C$39</t>
  </si>
  <si>
    <t>IPOW_S</t>
  </si>
  <si>
    <t>='Library data'!$C$31</t>
  </si>
  <si>
    <t>IPOWDIS</t>
  </si>
  <si>
    <t>='Library data'!$C$41</t>
  </si>
  <si>
    <t>iref_1</t>
  </si>
  <si>
    <t>='Impacts A'!$C$245:$L$252</t>
  </si>
  <si>
    <t>iref_1_b</t>
  </si>
  <si>
    <t>='Impacts B'!$C$245:$L$252</t>
  </si>
  <si>
    <t>iref_2</t>
  </si>
  <si>
    <t>='Impacts A'!$C$299:$L$306</t>
  </si>
  <si>
    <t>iref_2_b</t>
  </si>
  <si>
    <t>='Impacts B'!$C$299:$L$306</t>
  </si>
  <si>
    <t>iref_s</t>
  </si>
  <si>
    <t>='Impacts A'!$C$191:$L$198</t>
  </si>
  <si>
    <t>iref_s_b</t>
  </si>
  <si>
    <t>='Impacts B'!$C$191:$L$198</t>
  </si>
  <si>
    <t>IREFEQDIS</t>
  </si>
  <si>
    <t>='Impacts A'!$C$353:$L$360</t>
  </si>
  <si>
    <t>ISAT</t>
  </si>
  <si>
    <t>='Library data'!$C$43</t>
  </si>
  <si>
    <t>isat_1</t>
  </si>
  <si>
    <t>='Impacts A'!$C$263:$L$270</t>
  </si>
  <si>
    <t>isat_1_b</t>
  </si>
  <si>
    <t>='Impacts B'!$C$263:$L$270</t>
  </si>
  <si>
    <t>isat_1_per_cap</t>
  </si>
  <si>
    <t>='Impacts A'!$C$272:$L$279</t>
  </si>
  <si>
    <t>isat_1_per_cap_b</t>
  </si>
  <si>
    <t>='Impacts B'!$C$272:$L$279</t>
  </si>
  <si>
    <t>isat_2</t>
  </si>
  <si>
    <t>='Impacts A'!$C$317:$L$324</t>
  </si>
  <si>
    <t>isat_2_b</t>
  </si>
  <si>
    <t>='Impacts B'!$C$317:$L$324</t>
  </si>
  <si>
    <t>isat_2_per_cap</t>
  </si>
  <si>
    <t>='Impacts A'!$C$326:$L$333</t>
  </si>
  <si>
    <t>isat_2_per_cap_b</t>
  </si>
  <si>
    <t>='Impacts B'!$C$326:$L$333</t>
  </si>
  <si>
    <t>isat_s</t>
  </si>
  <si>
    <t>='Impacts A'!$C$209:$L$216</t>
  </si>
  <si>
    <t>isat_s_b</t>
  </si>
  <si>
    <t>='Impacts B'!$C$209:$L$216</t>
  </si>
  <si>
    <t>isat_s_per_cap</t>
  </si>
  <si>
    <t>='Impacts A'!$C$218:$L$225</t>
  </si>
  <si>
    <t>isat_s_per_cap_b</t>
  </si>
  <si>
    <t>='Impacts B'!$C$218:$L$225</t>
  </si>
  <si>
    <t>isatdis</t>
  </si>
  <si>
    <t>='Impacts A'!$C$380:$L$387</t>
  </si>
  <si>
    <t>isatdis_b</t>
  </si>
  <si>
    <t>='Impacts B'!$C$380:$L$387</t>
  </si>
  <si>
    <t>isatdis_per_cap</t>
  </si>
  <si>
    <t>='Impacts A'!$C$389:$L$396</t>
  </si>
  <si>
    <t>isatdis_per_cap_b</t>
  </si>
  <si>
    <t>='Impacts B'!$C$389:$L$396</t>
  </si>
  <si>
    <t>='Impacts A'!$C$13</t>
  </si>
  <si>
    <t>istart_1_a</t>
  </si>
  <si>
    <t>='Policy A'!$G$64:$G$71</t>
  </si>
  <si>
    <t>istart_1_b</t>
  </si>
  <si>
    <t>='Policy B'!$G$64:$G$71</t>
  </si>
  <si>
    <t>istart_2_a</t>
  </si>
  <si>
    <t>='Policy A'!$G$74:$G$81</t>
  </si>
  <si>
    <t>istart_2_b</t>
  </si>
  <si>
    <t>='Policy B'!$G$74:$G$81</t>
  </si>
  <si>
    <t>istart_s_a</t>
  </si>
  <si>
    <t>='Policy A'!$G$54:$G$61</t>
  </si>
  <si>
    <t>istart_s_b</t>
  </si>
  <si>
    <t>='Policy B'!$G$54:$G$61</t>
  </si>
  <si>
    <t>iyears_1_a</t>
  </si>
  <si>
    <t>='Policy A'!$H$64:$H$71</t>
  </si>
  <si>
    <t>iyears_1_b</t>
  </si>
  <si>
    <t>='Policy B'!$H$64:$H$71</t>
  </si>
  <si>
    <t>iyears_2_a</t>
  </si>
  <si>
    <t>='Policy A'!$H$74:$H$81</t>
  </si>
  <si>
    <t>iyears_2_b</t>
  </si>
  <si>
    <t>='Policy B'!$H$74:$H$81</t>
  </si>
  <si>
    <t>iyears_s_a</t>
  </si>
  <si>
    <t>='Policy A'!$H$54:$H$61</t>
  </si>
  <si>
    <t>iyears_s_b</t>
  </si>
  <si>
    <t>='Policy B'!$H$54:$H$61</t>
  </si>
  <si>
    <t>LAT</t>
  </si>
  <si>
    <t>='Base data'!$M$24:$M$31</t>
  </si>
  <si>
    <t>LAT_G</t>
  </si>
  <si>
    <t>='Climate A'!$D$5</t>
  </si>
  <si>
    <t>LEARN</t>
  </si>
  <si>
    <t>='Library data'!$C$131</t>
  </si>
  <si>
    <t>learnfac_ch4</t>
  </si>
  <si>
    <t>='Preventative costs A'!$B$206:$K$213</t>
  </si>
  <si>
    <t>learnfac_ch4_b</t>
  </si>
  <si>
    <t>='Preventative costs B'!$B$206:$K$213</t>
  </si>
  <si>
    <t>learnfac_co2</t>
  </si>
  <si>
    <t>='Preventative costs A'!$B$197:$K$204</t>
  </si>
  <si>
    <t>learnfac_co2_b</t>
  </si>
  <si>
    <t>='Preventative costs B'!$B$197:$K$204</t>
  </si>
  <si>
    <t>learnfac_glin</t>
  </si>
  <si>
    <t>='Preventative costs A'!$B$224:$K$231</t>
  </si>
  <si>
    <t>learnfac_glin_b</t>
  </si>
  <si>
    <t>='Preventative costs B'!$B$224:$K$231</t>
  </si>
  <si>
    <t>learnfac_n2o</t>
  </si>
  <si>
    <t>='Preventative costs A'!$B$215:$K$222</t>
  </si>
  <si>
    <t>learnfac_n2o_b</t>
  </si>
  <si>
    <t>='Preventative costs B'!$B$215:$K$222</t>
  </si>
  <si>
    <t>mc_ch4</t>
  </si>
  <si>
    <t>='Preventative costs A'!$B$578:$K$585</t>
  </si>
  <si>
    <t>mc_ch4_b</t>
  </si>
  <si>
    <t>='Preventative costs B'!$B$578:$K$585</t>
  </si>
  <si>
    <t>mc_co2</t>
  </si>
  <si>
    <t>='Preventative costs A'!$B$569:$K$576</t>
  </si>
  <si>
    <t>mc_co2_b</t>
  </si>
  <si>
    <t>='Preventative costs B'!$B$569:$K$576</t>
  </si>
  <si>
    <t>mc_glin</t>
  </si>
  <si>
    <t>='Preventative costs A'!$B$596:$K$603</t>
  </si>
  <si>
    <t>mc_glin_b</t>
  </si>
  <si>
    <t>='Preventative costs B'!$B$596:$K$603</t>
  </si>
  <si>
    <t>mc_n2o</t>
  </si>
  <si>
    <t>='Preventative costs A'!$B$587:$K$594</t>
  </si>
  <si>
    <t>mc_n2o_b</t>
  </si>
  <si>
    <t>='Preventative costs B'!$B$587:$K$594</t>
  </si>
  <si>
    <t>MODEL_NAME</t>
  </si>
  <si>
    <t>='Base data'!$A$1</t>
  </si>
  <si>
    <t>NF_0</t>
  </si>
  <si>
    <t>='Base data'!$K$24:$K$31</t>
  </si>
  <si>
    <t>nte_ch4</t>
  </si>
  <si>
    <t>='Climate A'!$D$29:$M$29</t>
  </si>
  <si>
    <t>NTE_CH4_0</t>
  </si>
  <si>
    <t>='Climate A'!$C$29</t>
  </si>
  <si>
    <t>nte_ch4_b</t>
  </si>
  <si>
    <t>='Climate B'!$D$29:$M$29</t>
  </si>
  <si>
    <t>nte_glin</t>
  </si>
  <si>
    <t>='Climate A'!$D$53:$M$53</t>
  </si>
  <si>
    <t>NTE_GLIN_0</t>
  </si>
  <si>
    <t>='Climate A'!$C$53</t>
  </si>
  <si>
    <t>nte_glin_b</t>
  </si>
  <si>
    <t>='Climate B'!$D$53:$M$53</t>
  </si>
  <si>
    <t>nte_n2o</t>
  </si>
  <si>
    <t>='Climate A'!$D$39:$M$39</t>
  </si>
  <si>
    <t>NTE_N2O_0</t>
  </si>
  <si>
    <t>='Climate A'!$C$39</t>
  </si>
  <si>
    <t>nte_n2o_b</t>
  </si>
  <si>
    <t>='Climate B'!$D$39:$M$39</t>
  </si>
  <si>
    <t>occur_dis</t>
  </si>
  <si>
    <t>='Impacts A'!$C$108:$L$108</t>
  </si>
  <si>
    <t>occur_dis_1</t>
  </si>
  <si>
    <t>='Impacts A'!$C$108</t>
  </si>
  <si>
    <t>occur_dis_1_b</t>
  </si>
  <si>
    <t>='Impacts B'!$C$108</t>
  </si>
  <si>
    <t>occur_dis_b</t>
  </si>
  <si>
    <t>='Impacts B'!$C$108:$L$108</t>
  </si>
  <si>
    <t>occur_dis_not_1</t>
  </si>
  <si>
    <t>='Impacts A'!$D$108:$L$108</t>
  </si>
  <si>
    <t>occur_dis_not_1_b</t>
  </si>
  <si>
    <t>='Impacts B'!$D$108:$L$108</t>
  </si>
  <si>
    <t>OCCUR_SCC</t>
  </si>
  <si>
    <t>='Base data'!$C$4:$L$4</t>
  </si>
  <si>
    <t>OCEAN_PROP</t>
  </si>
  <si>
    <t>='Climate A'!$D$4</t>
  </si>
  <si>
    <t>over_ch4</t>
  </si>
  <si>
    <t>='Climate A'!$D$48:$M$48</t>
  </si>
  <si>
    <t>over_ch4_b</t>
  </si>
  <si>
    <t>='Climate B'!$D$48:$M$48</t>
  </si>
  <si>
    <t>over_n2o</t>
  </si>
  <si>
    <t>='Climate A'!$D$49:$M$49</t>
  </si>
  <si>
    <t>over_n2o_b</t>
  </si>
  <si>
    <t>='Climate B'!$D$49:$M$49</t>
  </si>
  <si>
    <t>pcdat</t>
  </si>
  <si>
    <t>='Preventative costs A'!$B$706:$K$713</t>
  </si>
  <si>
    <t>pcdat_b</t>
  </si>
  <si>
    <t>='Preventative costs B'!$B$706:$K$713</t>
  </si>
  <si>
    <t>pcdat_g</t>
  </si>
  <si>
    <t>='Preventative costs A'!$B$714:$K$714</t>
  </si>
  <si>
    <t>pcdat_g_ab</t>
  </si>
  <si>
    <t>='Preventative costs A-B'!$B$714:$K$714</t>
  </si>
  <si>
    <t>pcdat_g_b</t>
  </si>
  <si>
    <t>='Preventative costs B'!$B$714:$K$714</t>
  </si>
  <si>
    <t>pcdat_gt</t>
  </si>
  <si>
    <t>='Preventative costs A'!$L$714</t>
  </si>
  <si>
    <t>pcdat_gt_b</t>
  </si>
  <si>
    <t>='Preventative costs B'!$L$714</t>
  </si>
  <si>
    <t>pcdt</t>
  </si>
  <si>
    <t>='Preventative costs A'!$B$696:$K$703</t>
  </si>
  <si>
    <t>pcdt_b</t>
  </si>
  <si>
    <t>='Preventative costs B'!$B$696:$K$703</t>
  </si>
  <si>
    <t>pcdt_g</t>
  </si>
  <si>
    <t>='Preventative costs A'!$B$704:$K$704</t>
  </si>
  <si>
    <t>pcdt_g_ab</t>
  </si>
  <si>
    <t>='Preventative costs A-B'!$B$704:$K$704</t>
  </si>
  <si>
    <t>pcdt_g_b</t>
  </si>
  <si>
    <t>='Preventative costs B'!$B$704:$K$704</t>
  </si>
  <si>
    <t>pct</t>
  </si>
  <si>
    <t>='Preventative costs A'!$B$677:$K$684</t>
  </si>
  <si>
    <t>pct_b</t>
  </si>
  <si>
    <t>='Preventative costs B'!$B$677:$K$684</t>
  </si>
  <si>
    <t>pct_g</t>
  </si>
  <si>
    <t>='Preventative costs A'!$B$685:$K$685</t>
  </si>
  <si>
    <t>pct_g_ab</t>
  </si>
  <si>
    <t>='Preventative costs A-B'!$B$685:$K$685</t>
  </si>
  <si>
    <t>pct_g_b</t>
  </si>
  <si>
    <t>='Preventative costs B'!$B$685:$K$685</t>
  </si>
  <si>
    <t>pct_per_cap</t>
  </si>
  <si>
    <t>='Preventative costs A'!$B$668:$K$675</t>
  </si>
  <si>
    <t>pct_per_cap_b</t>
  </si>
  <si>
    <t>='Preventative costs B'!$B$668:$K$675</t>
  </si>
  <si>
    <t>PDIS</t>
  </si>
  <si>
    <t>='Library data'!$C$22</t>
  </si>
  <si>
    <t>PIC</t>
  </si>
  <si>
    <t>='Base data'!$B$12:$E$12</t>
  </si>
  <si>
    <t>PIC_CH4</t>
  </si>
  <si>
    <t>='Base data'!$C$12</t>
  </si>
  <si>
    <t>PIC_CO2</t>
  </si>
  <si>
    <t>='Base data'!$B$12</t>
  </si>
  <si>
    <t>PIC_GLIN</t>
  </si>
  <si>
    <t>='Base data'!$E$12</t>
  </si>
  <si>
    <t>PIC_N2O</t>
  </si>
  <si>
    <t>='Base data'!$D$12</t>
  </si>
  <si>
    <t>plateau_1_a</t>
  </si>
  <si>
    <t>='Policy A'!$B$64:$B$71</t>
  </si>
  <si>
    <t>plateau_1_b</t>
  </si>
  <si>
    <t>='Policy B'!$B$64:$B$71</t>
  </si>
  <si>
    <t>plateau_2_a</t>
  </si>
  <si>
    <t>='Policy A'!$B$74:$B$81</t>
  </si>
  <si>
    <t>plateau_2_b</t>
  </si>
  <si>
    <t>='Policy B'!$B$74:$B$81</t>
  </si>
  <si>
    <t>plateau_s_a</t>
  </si>
  <si>
    <t>='Policy A'!$B$54:$B$61</t>
  </si>
  <si>
    <t>plateau_s_b</t>
  </si>
  <si>
    <t>='Policy B'!$B$54:$B$61</t>
  </si>
  <si>
    <t>POLE</t>
  </si>
  <si>
    <t>='Library data'!$C$10</t>
  </si>
  <si>
    <t>POP</t>
  </si>
  <si>
    <t>='Impacts A'!$C$121:$L$128</t>
  </si>
  <si>
    <t>POP_0</t>
  </si>
  <si>
    <t>='Base data'!$E$24:$E$31</t>
  </si>
  <si>
    <t>POP_G</t>
  </si>
  <si>
    <t>='Impacts A'!$C$129:$L$129</t>
  </si>
  <si>
    <t>POP_G_0</t>
  </si>
  <si>
    <t>='Impacts A'!$B$129</t>
  </si>
  <si>
    <t>POP_G_1</t>
  </si>
  <si>
    <t>='Impacts A'!$C$129</t>
  </si>
  <si>
    <t>POP_G_NOT_1</t>
  </si>
  <si>
    <t>='Impacts A'!$D$129:$L$129</t>
  </si>
  <si>
    <t>POP_GRW</t>
  </si>
  <si>
    <t>='Base data'!$C$47:$L$54</t>
  </si>
  <si>
    <t>POP_GRW_1</t>
  </si>
  <si>
    <t>='Base data'!$C$47:$C$54</t>
  </si>
  <si>
    <t>POP_GRW_G</t>
  </si>
  <si>
    <t>='Impacts A'!$C$130:$L$130</t>
  </si>
  <si>
    <t>POP_GRW_NOT_1</t>
  </si>
  <si>
    <t>='Base data'!$D$47:$L$54</t>
  </si>
  <si>
    <t>POP_NOT_1</t>
  </si>
  <si>
    <t>='Impacts A'!$D$121:$L$128</t>
  </si>
  <si>
    <t>POP_UNIT_NAME</t>
  </si>
  <si>
    <t>='Base data'!$E$32</t>
  </si>
  <si>
    <t>POW_1</t>
  </si>
  <si>
    <t>='Library data'!$C$34</t>
  </si>
  <si>
    <t>POW_2</t>
  </si>
  <si>
    <t>='Library data'!$C$38</t>
  </si>
  <si>
    <t>POW_S</t>
  </si>
  <si>
    <t>='Library data'!$C$30</t>
  </si>
  <si>
    <t>prob_dis</t>
  </si>
  <si>
    <t>='Impacts A'!$C$105:$L$105</t>
  </si>
  <si>
    <t>prob_dis_b</t>
  </si>
  <si>
    <t>='Impacts B'!$C$105:$L$105</t>
  </si>
  <si>
    <t>pse_a</t>
  </si>
  <si>
    <t>='Policy A'!$B$41:$K$48</t>
  </si>
  <si>
    <t>pse_b</t>
  </si>
  <si>
    <t>='Policy B'!$B$41:$K$48</t>
  </si>
  <si>
    <t>pstart_1_a</t>
  </si>
  <si>
    <t>='Policy A'!$C$64:$C$71</t>
  </si>
  <si>
    <t>pstart_1_b</t>
  </si>
  <si>
    <t>='Policy B'!$C$64:$C$71</t>
  </si>
  <si>
    <t>pstart_2_a</t>
  </si>
  <si>
    <t>='Policy A'!$C$74:$C$81</t>
  </si>
  <si>
    <t>pstart_2_b</t>
  </si>
  <si>
    <t>='Policy B'!$C$74:$C$81</t>
  </si>
  <si>
    <t>pstart_s_a</t>
  </si>
  <si>
    <t>='Policy A'!$C$54:$C$61</t>
  </si>
  <si>
    <t>pstart_s_b</t>
  </si>
  <si>
    <t>='Policy B'!$C$54:$C$61</t>
  </si>
  <si>
    <t>PTP</t>
  </si>
  <si>
    <t>='Base data'!$B$8</t>
  </si>
  <si>
    <t>pyears_1_a</t>
  </si>
  <si>
    <t>='Policy A'!$D$64:$D$71</t>
  </si>
  <si>
    <t>pyears_1_b</t>
  </si>
  <si>
    <t>='Policy B'!$D$64:$D$71</t>
  </si>
  <si>
    <t>pyears_2_a</t>
  </si>
  <si>
    <t>='Policy A'!$D$74:$D$81</t>
  </si>
  <si>
    <t>pyears_2_b</t>
  </si>
  <si>
    <t>='Policy B'!$D$74:$D$81</t>
  </si>
  <si>
    <t>pyears_s_a</t>
  </si>
  <si>
    <t>='Policy A'!$D$54:$D$61</t>
  </si>
  <si>
    <t>pyears_s_b</t>
  </si>
  <si>
    <t>='Policy B'!$D$54:$D$61</t>
  </si>
  <si>
    <t>Q0_CH4</t>
  </si>
  <si>
    <t>='Preventative costs A'!$B$290:$K$297</t>
  </si>
  <si>
    <t>Q0_CO2</t>
  </si>
  <si>
    <t>='Preventative costs A'!$B$281:$K$288</t>
  </si>
  <si>
    <t>Q0_GLIN</t>
  </si>
  <si>
    <t>='Preventative costs A'!$B$308:$K$315</t>
  </si>
  <si>
    <t>Q0_N2O</t>
  </si>
  <si>
    <t>='Preventative costs A'!$B$299:$K$306</t>
  </si>
  <si>
    <t>Q0_PROP_CH4</t>
  </si>
  <si>
    <t>='Preventative costs A'!$B$254:$K$261</t>
  </si>
  <si>
    <t>Q0_PROP_CO2</t>
  </si>
  <si>
    <t>='Preventative costs A'!$B$245:$K$252</t>
  </si>
  <si>
    <t>Q0_PROP_GLIN</t>
  </si>
  <si>
    <t>='Preventative costs A'!$B$272:$K$279</t>
  </si>
  <si>
    <t>Q0_PROP_INIT_CH4</t>
  </si>
  <si>
    <t>='Preventative costs A'!$C$18:$C$25</t>
  </si>
  <si>
    <t>Q0_PROP_INIT_CH4_1</t>
  </si>
  <si>
    <t>='Library data'!$C$78</t>
  </si>
  <si>
    <t>Q0_PROP_INIT_CO2</t>
  </si>
  <si>
    <t>='Preventative costs A'!$B$18:$B$25</t>
  </si>
  <si>
    <t>Q0_PROP_INIT_CO2_1</t>
  </si>
  <si>
    <t>='Library data'!$C$71</t>
  </si>
  <si>
    <t>Q0_PROP_INIT_GLIN</t>
  </si>
  <si>
    <t>='Preventative costs A'!$E$18:$E$25</t>
  </si>
  <si>
    <t>Q0_PROP_INIT_GLIN_1</t>
  </si>
  <si>
    <t>='Library data'!$C$92</t>
  </si>
  <si>
    <t>Q0_PROP_INIT_N2O</t>
  </si>
  <si>
    <t>='Preventative costs A'!$D$18:$D$25</t>
  </si>
  <si>
    <t>Q0_PROP_INIT_N2O_1</t>
  </si>
  <si>
    <t>='Library data'!$C$85</t>
  </si>
  <si>
    <t>Q0_PROP_N2O</t>
  </si>
  <si>
    <t>='Preventative costs A'!$B$263:$K$270</t>
  </si>
  <si>
    <t>Q0F</t>
  </si>
  <si>
    <t>='Library data'!$C$106:$C$112</t>
  </si>
  <si>
    <t>Q0PROPG</t>
  </si>
  <si>
    <t>='Library data'!$C$123</t>
  </si>
  <si>
    <t>Q0PROPMULT</t>
  </si>
  <si>
    <t>='Library data'!$C$122</t>
  </si>
  <si>
    <t>QMAX_CH4</t>
  </si>
  <si>
    <t>='Preventative costs A'!$B$326:$K$333</t>
  </si>
  <si>
    <t>QMAX_CO2</t>
  </si>
  <si>
    <t>='Preventative costs A'!$B$317:$K$324</t>
  </si>
  <si>
    <t>QMAX_GLIN</t>
  </si>
  <si>
    <t>='Preventative costs A'!$B$344:$K$351</t>
  </si>
  <si>
    <t>QMAX_MINUS_Q0_PROP_CH4</t>
  </si>
  <si>
    <t>='Preventative costs A'!$B$241:$K$241</t>
  </si>
  <si>
    <t>QMAX_MINUS_Q0_PROP_CO2</t>
  </si>
  <si>
    <t>='Preventative costs A'!$B$240:$K$240</t>
  </si>
  <si>
    <t>QMAX_MINUS_Q0_PROP_GLIN</t>
  </si>
  <si>
    <t>='Preventative costs A'!$B$243:$K$243</t>
  </si>
  <si>
    <t>QMAX_MINUS_Q0_PROP_INIT_CH4</t>
  </si>
  <si>
    <t>='Library data'!$C$80</t>
  </si>
  <si>
    <t>QMAX_MINUS_Q0_PROP_INIT_CO2</t>
  </si>
  <si>
    <t>='Library data'!$C$73</t>
  </si>
  <si>
    <t>QMAX_MINUS_Q0_PROP_INIT_GLIN</t>
  </si>
  <si>
    <t>='Library data'!$C$94</t>
  </si>
  <si>
    <t>QMAX_MINUS_Q0_PROP_INIT_N2O</t>
  </si>
  <si>
    <t>='Library data'!$C$87</t>
  </si>
  <si>
    <t>QMAX_MINUS_Q0_PROP_N2O</t>
  </si>
  <si>
    <t>='Preventative costs A'!$B$242:$K$242</t>
  </si>
  <si>
    <t>QMAX_MINUS_Q0_PROPG</t>
  </si>
  <si>
    <t>='Library data'!$C$125</t>
  </si>
  <si>
    <t>QMAX_MINUS_Q0_PROPMULT</t>
  </si>
  <si>
    <t>='Library data'!$C$124</t>
  </si>
  <si>
    <t>QMAX_N2O</t>
  </si>
  <si>
    <t>='Preventative costs A'!$B$335:$K$342</t>
  </si>
  <si>
    <t>R_CODE</t>
  </si>
  <si>
    <t>='Base data'!$B$24:$B$31</t>
  </si>
  <si>
    <t>R_CODE_1</t>
  </si>
  <si>
    <t>='Base data'!$B$24</t>
  </si>
  <si>
    <t>R_CODE_NOT_1</t>
  </si>
  <si>
    <t>='Base data'!$B$25:$B$31</t>
  </si>
  <si>
    <t>R_NAME</t>
  </si>
  <si>
    <t>='Base data'!$A$24:$A$31</t>
  </si>
  <si>
    <t>R_NAME_1</t>
  </si>
  <si>
    <t>='Base data'!$A$24</t>
  </si>
  <si>
    <t>RAND_DIS</t>
  </si>
  <si>
    <t>='Impacts A'!$B$107</t>
  </si>
  <si>
    <t>rcons_1_per_cap</t>
  </si>
  <si>
    <t>='Impacts A'!$C$281:$L$288</t>
  </si>
  <si>
    <t>rcons_1_per_cap_b</t>
  </si>
  <si>
    <t>='Impacts B'!$C$281:$L$288</t>
  </si>
  <si>
    <t>rcons_2_per_cap</t>
  </si>
  <si>
    <t>='Impacts A'!$C$335:$L$342</t>
  </si>
  <si>
    <t>rcons_2_per_cap_b</t>
  </si>
  <si>
    <t>='Impacts B'!$C$335:$L$342</t>
  </si>
  <si>
    <t>rcons_s_per_cap</t>
  </si>
  <si>
    <t>='Impacts A'!$C$227:$L$234</t>
  </si>
  <si>
    <t>rcons_s_per_cap_b</t>
  </si>
  <si>
    <t>='Impacts B'!$C$227:$L$234</t>
  </si>
  <si>
    <t>rconsdis_per_cap</t>
  </si>
  <si>
    <t>='Impacts A'!$C$398:$L$405</t>
  </si>
  <si>
    <t>rconsdis_per_cap_b</t>
  </si>
  <si>
    <t>='Impacts B'!$C$398:$L$405</t>
  </si>
  <si>
    <t>re_ch4</t>
  </si>
  <si>
    <t>='Climate A'!$D$35:$M$35</t>
  </si>
  <si>
    <t>RE_CH4_0</t>
  </si>
  <si>
    <t>='Climate A'!$E$10</t>
  </si>
  <si>
    <t>re_ch4_b</t>
  </si>
  <si>
    <t>='Climate B'!$D$35:$M$35</t>
  </si>
  <si>
    <t>re_co2</t>
  </si>
  <si>
    <t>RE_CO2_0</t>
  </si>
  <si>
    <t>='Climate A'!$D$10</t>
  </si>
  <si>
    <t>re_co2_b</t>
  </si>
  <si>
    <t>RE_CO2_NO_CCF_0</t>
  </si>
  <si>
    <t>='Climate A'!$C$22</t>
  </si>
  <si>
    <t>re_co2_no_ccff</t>
  </si>
  <si>
    <t>='Climate A'!$D$22:$M$22</t>
  </si>
  <si>
    <t>re_co2_no_ccff_b</t>
  </si>
  <si>
    <t>='Climate B'!$D$22:$M$22</t>
  </si>
  <si>
    <t>re_glin</t>
  </si>
  <si>
    <t>='Climate A'!$D$59:$M$59</t>
  </si>
  <si>
    <t>RE_GLIN_0</t>
  </si>
  <si>
    <t>='Climate A'!$G$10</t>
  </si>
  <si>
    <t>re_glin_b</t>
  </si>
  <si>
    <t>='Climate B'!$D$59:$M$59</t>
  </si>
  <si>
    <t>re_n2o</t>
  </si>
  <si>
    <t>='Climate A'!$D$45:$M$45</t>
  </si>
  <si>
    <t>RE_N2O_0</t>
  </si>
  <si>
    <t>='Climate A'!$F$10</t>
  </si>
  <si>
    <t>re_n2o_b</t>
  </si>
  <si>
    <t>='Climate B'!$D$45:$M$45</t>
  </si>
  <si>
    <t>ref_ch4</t>
  </si>
  <si>
    <t>='Climate A'!$D$33:$M$33</t>
  </si>
  <si>
    <t>ref_ch4_b</t>
  </si>
  <si>
    <t>='Climate B'!$D$33:$M$33</t>
  </si>
  <si>
    <t>ref_co2</t>
  </si>
  <si>
    <t>='Climate A'!$D$20:$M$20</t>
  </si>
  <si>
    <t>ref_co2_b</t>
  </si>
  <si>
    <t>='Climate B'!$D$20:$M$20</t>
  </si>
  <si>
    <t>ref_glin</t>
  </si>
  <si>
    <t>='Climate A'!$D$57:$M$57</t>
  </si>
  <si>
    <t>ref_glin_b</t>
  </si>
  <si>
    <t>='Climate B'!$D$57:$M$57</t>
  </si>
  <si>
    <t>ref_n2o</t>
  </si>
  <si>
    <t>='Climate A'!$D$43:$M$43</t>
  </si>
  <si>
    <t>ref_n2o_b</t>
  </si>
  <si>
    <t>='Climate B'!$D$43:$M$43</t>
  </si>
  <si>
    <t>RES_CH4</t>
  </si>
  <si>
    <t>='Base data'!$C$18</t>
  </si>
  <si>
    <t>RES_CO2</t>
  </si>
  <si>
    <t>='Library data'!$C$5</t>
  </si>
  <si>
    <t>RES_GLIN</t>
  </si>
  <si>
    <t>='Base data'!$E$18</t>
  </si>
  <si>
    <t>RES_N2O</t>
  </si>
  <si>
    <t>='Base data'!$D$18</t>
  </si>
  <si>
    <t>rgdp_1_per_cap</t>
  </si>
  <si>
    <t>='Impacts A'!$C$290:$L$297</t>
  </si>
  <si>
    <t>rgdp_1_per_cap_b</t>
  </si>
  <si>
    <t>='Impacts B'!$C$290:$L$297</t>
  </si>
  <si>
    <t>rgdp_2_per_cap</t>
  </si>
  <si>
    <t>='Impacts A'!$C$344:$L$351</t>
  </si>
  <si>
    <t>rgdp_2_per_cap_b</t>
  </si>
  <si>
    <t>='Impacts B'!$C$344:$L$351</t>
  </si>
  <si>
    <t>rgdp_s_per_cap</t>
  </si>
  <si>
    <t>='Impacts A'!$C$236:$L$243</t>
  </si>
  <si>
    <t>rgdp_s_per_cap_b</t>
  </si>
  <si>
    <t>='Impacts B'!$C$236:$L$243</t>
  </si>
  <si>
    <t>rgdpdis_per_cap</t>
  </si>
  <si>
    <t>='Impacts A'!$C$407:$L$414</t>
  </si>
  <si>
    <t>rgdpdis_per_cap_b</t>
  </si>
  <si>
    <t>='Impacts B'!$C$407:$L$414</t>
  </si>
  <si>
    <t>RLO</t>
  </si>
  <si>
    <t>='Library data'!$C$9</t>
  </si>
  <si>
    <t>rt</t>
  </si>
  <si>
    <t>='Climate A'!$D$118:$M$125</t>
  </si>
  <si>
    <t>='Climate A'!$D$110:$M$117</t>
  </si>
  <si>
    <t>RT_ADJ_1</t>
  </si>
  <si>
    <t>='Climate A'!$D$110:$D$117</t>
  </si>
  <si>
    <t>rt_b</t>
  </si>
  <si>
    <t>='Climate B'!$D$118:$M$125</t>
  </si>
  <si>
    <t>rt_g</t>
  </si>
  <si>
    <t>='Climate A'!$D$136:$M$136</t>
  </si>
  <si>
    <t>RT_G_0</t>
  </si>
  <si>
    <t>='Climate A'!$C$136</t>
  </si>
  <si>
    <t>rt_g_b</t>
  </si>
  <si>
    <t>='Climate B'!$D$136:$M$136</t>
  </si>
  <si>
    <t>rtl</t>
  </si>
  <si>
    <t>='Climate A'!$D$126:$M$133</t>
  </si>
  <si>
    <t>RTL_0</t>
  </si>
  <si>
    <t>='Base data'!$L$24:$L$31</t>
  </si>
  <si>
    <t>rtl_b</t>
  </si>
  <si>
    <t>='Climate B'!$D$126:$M$133</t>
  </si>
  <si>
    <t>rtl_g</t>
  </si>
  <si>
    <t>='Climate A'!$D$134:$M$134</t>
  </si>
  <si>
    <t>RTL_G_0</t>
  </si>
  <si>
    <t>='Climate A'!$D$6</t>
  </si>
  <si>
    <t>rtl_g_b</t>
  </si>
  <si>
    <t>='Climate B'!$D$134:$M$134</t>
  </si>
  <si>
    <t>rto_g</t>
  </si>
  <si>
    <t>='Climate A'!$D$135:$M$135</t>
  </si>
  <si>
    <t>RTO_G_0</t>
  </si>
  <si>
    <t>='Climate A'!$C$135</t>
  </si>
  <si>
    <t>rto_g_b</t>
  </si>
  <si>
    <t>='Climate B'!$D$135:$M$135</t>
  </si>
  <si>
    <t>s</t>
  </si>
  <si>
    <t>='Climate A'!$D$139:$M$139</t>
  </si>
  <si>
    <t>S_0</t>
  </si>
  <si>
    <t>='Library data'!$C$13</t>
  </si>
  <si>
    <t>s_b</t>
  </si>
  <si>
    <t>='Climate B'!$D$139:$M$139</t>
  </si>
  <si>
    <t>SAVE</t>
  </si>
  <si>
    <t>='Library data'!$C$25</t>
  </si>
  <si>
    <t>SCAL</t>
  </si>
  <si>
    <t>='Library data'!$C$26</t>
  </si>
  <si>
    <t>SCCO2</t>
  </si>
  <si>
    <t>='Impacts A-B'!#REF!</t>
  </si>
  <si>
    <t>SE_0</t>
  </si>
  <si>
    <t>='Base data'!$J$24:$J$31</t>
  </si>
  <si>
    <t>SENS</t>
  </si>
  <si>
    <t>='Library data'!$C$18</t>
  </si>
  <si>
    <t>sfx</t>
  </si>
  <si>
    <t>='Climate A'!$D$64:$M$71</t>
  </si>
  <si>
    <t>SFX_0</t>
  </si>
  <si>
    <t>='Climate A'!$C$64:$C$71</t>
  </si>
  <si>
    <t>sfx_b</t>
  </si>
  <si>
    <t>='Climate B'!$D$64:$M$71</t>
  </si>
  <si>
    <t>sfx_g</t>
  </si>
  <si>
    <t>='Climate A'!$D$72:$M$72</t>
  </si>
  <si>
    <t>SFX_G_0</t>
  </si>
  <si>
    <t>='Climate A'!$C$72</t>
  </si>
  <si>
    <t>sfx_g_b</t>
  </si>
  <si>
    <t>='Climate B'!$D$72:$M$72</t>
  </si>
  <si>
    <t>SLA</t>
  </si>
  <si>
    <t>='Library data'!$C$15</t>
  </si>
  <si>
    <t>SLTAU</t>
  </si>
  <si>
    <t>='Library data'!$C$16</t>
  </si>
  <si>
    <t>SLTEMP</t>
  </si>
  <si>
    <t>='Library data'!$C$14</t>
  </si>
  <si>
    <t>STAY_CO2</t>
  </si>
  <si>
    <t>='Base data'!$B$16</t>
  </si>
  <si>
    <t>STIM_CH4</t>
  </si>
  <si>
    <t>='Base data'!$C$15</t>
  </si>
  <si>
    <t>STIM_GLIN</t>
  </si>
  <si>
    <t>='Base data'!$E$15</t>
  </si>
  <si>
    <t>STIM_N2O</t>
  </si>
  <si>
    <t>='Base data'!$D$15</t>
  </si>
  <si>
    <t>tac</t>
  </si>
  <si>
    <t>='Adaptive costs A'!$L$179</t>
  </si>
  <si>
    <t>tac_ab</t>
  </si>
  <si>
    <t>='Adaptive costs A-B'!$L$179</t>
  </si>
  <si>
    <t>tac_b</t>
  </si>
  <si>
    <t>='Adaptive costs B'!$L$179</t>
  </si>
  <si>
    <t>tc_ch4</t>
  </si>
  <si>
    <t>='Preventative costs A'!$B$614:$K$621</t>
  </si>
  <si>
    <t>tc_ch4_b</t>
  </si>
  <si>
    <t>='Preventative costs B'!$B$614:$K$621</t>
  </si>
  <si>
    <t>tc_co2</t>
  </si>
  <si>
    <t>='Preventative costs A'!$B$605:$K$612</t>
  </si>
  <si>
    <t>tc_co2_b</t>
  </si>
  <si>
    <t>='Preventative costs B'!$B$605:$K$612</t>
  </si>
  <si>
    <t>tc_glin</t>
  </si>
  <si>
    <t>='Preventative costs A'!$B$632:$K$639</t>
  </si>
  <si>
    <t>tc_glin_b</t>
  </si>
  <si>
    <t>='Preventative costs B'!$B$632:$K$639</t>
  </si>
  <si>
    <t>tc_n2o</t>
  </si>
  <si>
    <t>='Preventative costs A'!$B$623:$K$630</t>
  </si>
  <si>
    <t>tc_n2o_b</t>
  </si>
  <si>
    <t>='Preventative costs B'!$B$623:$K$630</t>
  </si>
  <si>
    <t>TCAL</t>
  </si>
  <si>
    <t>='Library data'!$C$27</t>
  </si>
  <si>
    <t>TCQ0_CH4</t>
  </si>
  <si>
    <t>='Preventative costs A'!$B$542:$K$549</t>
  </si>
  <si>
    <t>TCQ0_CO2</t>
  </si>
  <si>
    <t>='Preventative costs A'!$B$533:$K$540</t>
  </si>
  <si>
    <t>TCQ0_GLIN</t>
  </si>
  <si>
    <t>='Preventative costs A'!$B$560:$K$567</t>
  </si>
  <si>
    <t>TCQ0_N2O</t>
  </si>
  <si>
    <t>='Preventative costs A'!$B$551:$K$558</t>
  </si>
  <si>
    <t>TCR</t>
  </si>
  <si>
    <t>='Library data'!$C$6</t>
  </si>
  <si>
    <t>tct</t>
  </si>
  <si>
    <t>='Preventative costs A'!$B$641:$K$648</t>
  </si>
  <si>
    <t>tct_b</t>
  </si>
  <si>
    <t>='Preventative costs B'!$B$641:$K$648</t>
  </si>
  <si>
    <t>tct_per_cap</t>
  </si>
  <si>
    <t>='Preventative costs A'!$B$650:$K$657</t>
  </si>
  <si>
    <t>tct_per_cap_b</t>
  </si>
  <si>
    <t>='Preventative costs B'!$B$650:$K$657</t>
  </si>
  <si>
    <t>td</t>
  </si>
  <si>
    <t>='Impacts A'!$M$445</t>
  </si>
  <si>
    <t>td_ab</t>
  </si>
  <si>
    <t>='Impacts A-B'!$M$445</t>
  </si>
  <si>
    <t>td_b</t>
  </si>
  <si>
    <t>='Impacts B'!$M$445</t>
  </si>
  <si>
    <t>TDIS</t>
  </si>
  <si>
    <t>='Library data'!$C$21</t>
  </si>
  <si>
    <t>tdu</t>
  </si>
  <si>
    <t>='Impacts A'!$M$449</t>
  </si>
  <si>
    <t>tdu_b</t>
  </si>
  <si>
    <t>='Impacts B'!$M$449</t>
  </si>
  <si>
    <t>te_a</t>
  </si>
  <si>
    <t>=Totals!$L$12</t>
  </si>
  <si>
    <t>te_ab</t>
  </si>
  <si>
    <t>=Totals!$L$34</t>
  </si>
  <si>
    <t>te_b</t>
  </si>
  <si>
    <t>=Totals!$L$23</t>
  </si>
  <si>
    <t>tea_ch4</t>
  </si>
  <si>
    <t>='Climate A'!$D$30:$M$30</t>
  </si>
  <si>
    <t>TEA_CH4_0</t>
  </si>
  <si>
    <t>='Climate A'!$C$30</t>
  </si>
  <si>
    <t>tea_ch4_b</t>
  </si>
  <si>
    <t>='Climate B'!$D$30:$M$30</t>
  </si>
  <si>
    <t>tea_ch4_not_1</t>
  </si>
  <si>
    <t>='Climate A'!$E$30:$M$30</t>
  </si>
  <si>
    <t>tea_ch4_not_1_b</t>
  </si>
  <si>
    <t>='Climate B'!$E$30:$M$30</t>
  </si>
  <si>
    <t>tea_co2</t>
  </si>
  <si>
    <t>='Climate A'!$D$14:$M$14</t>
  </si>
  <si>
    <t>TEA_CO2_0</t>
  </si>
  <si>
    <t>='Climate A'!$C$14</t>
  </si>
  <si>
    <t>tea_co2_b</t>
  </si>
  <si>
    <t>='Climate B'!$D$14:$M$14</t>
  </si>
  <si>
    <t>tea_co2_not_1</t>
  </si>
  <si>
    <t>='Climate A'!$E$14:$M$14</t>
  </si>
  <si>
    <t>tea_co2_not_1_b</t>
  </si>
  <si>
    <t>='Climate B'!$E$14:$M$14</t>
  </si>
  <si>
    <t>tea_glin</t>
  </si>
  <si>
    <t>='Climate A'!$D$54:$M$54</t>
  </si>
  <si>
    <t>TEA_GLIN_0</t>
  </si>
  <si>
    <t>='Climate A'!$C$54</t>
  </si>
  <si>
    <t>tea_glin_b</t>
  </si>
  <si>
    <t>='Climate B'!$D$54:$M$54</t>
  </si>
  <si>
    <t>tea_glin_not_1</t>
  </si>
  <si>
    <t>='Climate A'!$E$54:$M$54</t>
  </si>
  <si>
    <t>tea_glin_not_1_b</t>
  </si>
  <si>
    <t>='Climate B'!$E$54:$M$54</t>
  </si>
  <si>
    <t>tea_n2o</t>
  </si>
  <si>
    <t>='Climate A'!$D$40:$M$40</t>
  </si>
  <si>
    <t>TEA_N2O_0</t>
  </si>
  <si>
    <t>='Climate A'!$C$40</t>
  </si>
  <si>
    <t>tea_n2o_b</t>
  </si>
  <si>
    <t>='Climate B'!$D$40:$M$40</t>
  </si>
  <si>
    <t>tea_n2o_not_1</t>
  </si>
  <si>
    <t>='Climate A'!$E$40:$M$40</t>
  </si>
  <si>
    <t>tea_n2o_not_1_b</t>
  </si>
  <si>
    <t>='Climate B'!$E$40:$M$40</t>
  </si>
  <si>
    <t>teay_ch4</t>
  </si>
  <si>
    <t>='Climate A'!$D$31:$M$31</t>
  </si>
  <si>
    <t>teay_ch4_b</t>
  </si>
  <si>
    <t>='Climate B'!$D$31:$M$31</t>
  </si>
  <si>
    <t>teay_co2</t>
  </si>
  <si>
    <t>='Climate A'!$D$15:$M$15</t>
  </si>
  <si>
    <t>teay_co2_b</t>
  </si>
  <si>
    <t>='Climate B'!$D$15:$M$15</t>
  </si>
  <si>
    <t>teay_co2_not_1</t>
  </si>
  <si>
    <t>='Climate A'!$E$15:$M$15</t>
  </si>
  <si>
    <t>teay_co2_not_1_b</t>
  </si>
  <si>
    <t>='Climate B'!$E$15:$M$15</t>
  </si>
  <si>
    <t>teay_glin</t>
  </si>
  <si>
    <t>='Climate A'!$D$55:$M$55</t>
  </si>
  <si>
    <t>teay_glin_b</t>
  </si>
  <si>
    <t>='Climate B'!$D$55:$M$55</t>
  </si>
  <si>
    <t>teay_n2o</t>
  </si>
  <si>
    <t>='Climate A'!$D$41:$M$41</t>
  </si>
  <si>
    <t>teay_n2o_b</t>
  </si>
  <si>
    <t>='Climate B'!$D$41:$M$41</t>
  </si>
  <si>
    <t>thipf_ch4_b</t>
  </si>
  <si>
    <t>='Climate B'!$D$34:$M$34</t>
  </si>
  <si>
    <t>thispf_ch4</t>
  </si>
  <si>
    <t>='Climate A'!$D$34:$M$34</t>
  </si>
  <si>
    <t>thispf_co2</t>
  </si>
  <si>
    <t>='Climate A'!$D$21:$M$21</t>
  </si>
  <si>
    <t>thispf_co2_b</t>
  </si>
  <si>
    <t>='Climate B'!$D$21:$M$21</t>
  </si>
  <si>
    <t>thispf_glin</t>
  </si>
  <si>
    <t>='Climate A'!$D$58:$M$58</t>
  </si>
  <si>
    <t>thispf_glin_b</t>
  </si>
  <si>
    <t>='Climate B'!$D$58:$M$58</t>
  </si>
  <si>
    <t>thispf_n2o</t>
  </si>
  <si>
    <t>='Climate A'!$D$44:$M$44</t>
  </si>
  <si>
    <t>thispf_n2o_b</t>
  </si>
  <si>
    <t>='Climate B'!$D$44:$M$44</t>
  </si>
  <si>
    <t>tpc</t>
  </si>
  <si>
    <t>='Preventative costs A'!$L$715</t>
  </si>
  <si>
    <t>tpc_ab</t>
  </si>
  <si>
    <t>='Preventative costs A-B'!$L$715</t>
  </si>
  <si>
    <t>tpc_b</t>
  </si>
  <si>
    <t>='Preventative costs B'!$L$715</t>
  </si>
  <si>
    <t>UDF</t>
  </si>
  <si>
    <t>='Impacts A'!$C$447:$L$447</t>
  </si>
  <si>
    <t>UDFT</t>
  </si>
  <si>
    <t>='Impacts A'!$M$447:$M$447</t>
  </si>
  <si>
    <t>VERSION</t>
  </si>
  <si>
    <t>='Base data'!$C$1</t>
  </si>
  <si>
    <t>W_1</t>
  </si>
  <si>
    <t>='Library data'!$C$33</t>
  </si>
  <si>
    <t>W_2</t>
  </si>
  <si>
    <t>='Library data'!$C$37</t>
  </si>
  <si>
    <t>W_S</t>
  </si>
  <si>
    <t>='Library data'!$C$29</t>
  </si>
  <si>
    <t>wacdt</t>
  </si>
  <si>
    <t>='Adaptive costs A'!$B$160:$K$167</t>
  </si>
  <si>
    <t>wacdt_b</t>
  </si>
  <si>
    <t>='Adaptive costs B'!$B$160:$K$167</t>
  </si>
  <si>
    <t>wacdt_g</t>
  </si>
  <si>
    <t>='Adaptive costs A'!$B$168:$K$168</t>
  </si>
  <si>
    <t>wacdt_g_ab</t>
  </si>
  <si>
    <t>='Adaptive costs A-B'!$B$168:$K$168</t>
  </si>
  <si>
    <t>wacdt_g_b</t>
  </si>
  <si>
    <t>='Adaptive costs B'!$B$168:$K$168</t>
  </si>
  <si>
    <t>wact</t>
  </si>
  <si>
    <t>='Adaptive costs A'!$B$150:$K$157</t>
  </si>
  <si>
    <t>wact_b</t>
  </si>
  <si>
    <t>='Adaptive costs B'!$B$150:$K$157</t>
  </si>
  <si>
    <t>wact_g</t>
  </si>
  <si>
    <t>='Adaptive costs A'!$B$158:$K$158</t>
  </si>
  <si>
    <t>wact_g_ab</t>
  </si>
  <si>
    <t>='Adaptive costs A-B'!$B$158:$K$158</t>
  </si>
  <si>
    <t>wact_g_b</t>
  </si>
  <si>
    <t>='Adaptive costs B'!$B$158:$K$158</t>
  </si>
  <si>
    <t>wact_per_cap</t>
  </si>
  <si>
    <t>='Adaptive costs A'!$B$141:$K$148</t>
  </si>
  <si>
    <t>wact_per_cap_b</t>
  </si>
  <si>
    <t>='Adaptive costs B'!$B$141:$K$148</t>
  </si>
  <si>
    <t>WDIS</t>
  </si>
  <si>
    <t>='Library data'!$C$40</t>
  </si>
  <si>
    <t>WF</t>
  </si>
  <si>
    <t>='Library data'!$C$45:$C$51</t>
  </si>
  <si>
    <t>widt</t>
  </si>
  <si>
    <t>='Impacts A'!$C$426:$L$433</t>
  </si>
  <si>
    <t>widt_b</t>
  </si>
  <si>
    <t>='Impacts B'!$C$426:$L$433</t>
  </si>
  <si>
    <t>widt_g</t>
  </si>
  <si>
    <t>='Impacts A'!$C$434:$L$434</t>
  </si>
  <si>
    <t>widt_g_ab</t>
  </si>
  <si>
    <t>='Impacts A-B'!$C$434:$L$434</t>
  </si>
  <si>
    <t>widt_g_b</t>
  </si>
  <si>
    <t>='Impacts B'!$C$434:$L$434</t>
  </si>
  <si>
    <t>='Impacts A'!$C$5:$C$12</t>
  </si>
  <si>
    <t>wit</t>
  </si>
  <si>
    <t>='Impacts A'!$C$416:$L$423</t>
  </si>
  <si>
    <t>wit_b</t>
  </si>
  <si>
    <t>='Impacts B'!$C$416:$L$423</t>
  </si>
  <si>
    <t>wit_g</t>
  </si>
  <si>
    <t>='Impacts A'!$C$424:$L$424</t>
  </si>
  <si>
    <t>wit_g_ab</t>
  </si>
  <si>
    <t>='Impacts A-B'!$C$424:$L$424</t>
  </si>
  <si>
    <t>wit_g_b</t>
  </si>
  <si>
    <t>='Impacts B'!$C$424:$L$424</t>
  </si>
  <si>
    <t>wtct_per_cap</t>
  </si>
  <si>
    <t>='Preventative costs A'!$B$659:$K$666</t>
  </si>
  <si>
    <t>wtct_per_cap_b</t>
  </si>
  <si>
    <t>='Preventative costs B'!$B$659:$K$666</t>
  </si>
  <si>
    <t>Y</t>
  </si>
  <si>
    <t>='Base data'!$C$3:$L$3</t>
  </si>
  <si>
    <t>Y_0</t>
  </si>
  <si>
    <t>='Base data'!$B$2</t>
  </si>
  <si>
    <t>Y_1</t>
  </si>
  <si>
    <t>='Base data'!$C$3</t>
  </si>
  <si>
    <t>Y_HI</t>
  </si>
  <si>
    <t>='Impacts A'!$C$17:$L$17</t>
  </si>
  <si>
    <t>Y_LAST</t>
  </si>
  <si>
    <t>='Base data'!$L$3</t>
  </si>
  <si>
    <t>Y_LO</t>
  </si>
  <si>
    <t>='Impacts A'!$C$18:$L$18</t>
  </si>
  <si>
    <t>Y_NOT_1</t>
  </si>
  <si>
    <t>='Base data'!$D$3:$L$3</t>
  </si>
  <si>
    <t>Y_SCC</t>
  </si>
  <si>
    <t>='Base data'!$B$4</t>
  </si>
  <si>
    <t>YAGG</t>
  </si>
  <si>
    <t>='Impacts A'!$C$19:$L$19</t>
  </si>
  <si>
    <t>YMINUSY0</t>
  </si>
  <si>
    <t>='Preventative costs A'!$B$46:$K$46</t>
  </si>
  <si>
    <t>YMINUSY0_LAST</t>
  </si>
  <si>
    <t>='Preventative costs A'!$K$46</t>
  </si>
  <si>
    <t>YP</t>
  </si>
  <si>
    <t>='Climate A'!$D$13:$M$13</t>
  </si>
  <si>
    <t>YP_1</t>
  </si>
  <si>
    <t>='Climate A'!$D$13</t>
  </si>
  <si>
    <t>YP_NOT_1</t>
  </si>
  <si>
    <t>='Climate A'!$E$13:$M$13</t>
  </si>
  <si>
    <t>ZC_CH4</t>
  </si>
  <si>
    <t>='Preventative costs A'!$B$58:$K$65</t>
  </si>
  <si>
    <t>ZC_CH4_1</t>
  </si>
  <si>
    <t>='Preventative costs A'!$B$58:$B$65</t>
  </si>
  <si>
    <t>ZC_CH4_NOT_1</t>
  </si>
  <si>
    <t>='Preventative costs A'!$C$58:$K$65</t>
  </si>
  <si>
    <t>ZC_CO2</t>
  </si>
  <si>
    <t>='Preventative costs A'!$B$49:$K$56</t>
  </si>
  <si>
    <t>ZC_CO2_1</t>
  </si>
  <si>
    <t>='Preventative costs A'!$B$49:$B$56</t>
  </si>
  <si>
    <t>ZC_CO2_NOT_1</t>
  </si>
  <si>
    <t>='Preventative costs A'!$C$49:$K$56</t>
  </si>
  <si>
    <t>ZC_GLIN</t>
  </si>
  <si>
    <t>='Preventative costs A'!$B$76:$K$83</t>
  </si>
  <si>
    <t>ZC_GLIN_1</t>
  </si>
  <si>
    <t>='Preventative costs A'!$B$76:$B$83</t>
  </si>
  <si>
    <t>ZC_GLIN_NOT_1</t>
  </si>
  <si>
    <t>='Preventative costs A'!$C$76:$K$83</t>
  </si>
  <si>
    <t>ZC_N2O</t>
  </si>
  <si>
    <t>='Preventative costs A'!$B$67:$K$74</t>
  </si>
  <si>
    <t>ZC_N2O_1</t>
  </si>
  <si>
    <t>='Preventative costs A'!$B$67:$B$74</t>
  </si>
  <si>
    <t>ZC_N2O_NOT_1</t>
  </si>
  <si>
    <t>='Preventative costs A'!$C$67:$K$74</t>
  </si>
  <si>
    <t>Name</t>
  </si>
  <si>
    <t>Reference</t>
  </si>
  <si>
    <t>Spreadsheet</t>
  </si>
  <si>
    <t>Cells</t>
  </si>
  <si>
    <t>CWG</t>
  </si>
  <si>
    <t>CS</t>
  </si>
  <si>
    <t>p(CS)</t>
  </si>
  <si>
    <t>EMF-22 (MiniCAM) Scenario</t>
  </si>
  <si>
    <t>EMF-22 (550 Avg)</t>
  </si>
  <si>
    <t>Shock</t>
  </si>
  <si>
    <t>Social Cost of a non-CO2 Gas</t>
  </si>
  <si>
    <t>Global GDP growth rate</t>
  </si>
  <si>
    <t>Global GDP/pop growth rate</t>
  </si>
  <si>
    <t>Weighted Damages</t>
  </si>
  <si>
    <t>N20</t>
  </si>
  <si>
    <t>SCC in  2020 ($2000)</t>
  </si>
  <si>
    <t>RiskUniform(0,1)</t>
  </si>
  <si>
    <t>B107</t>
  </si>
  <si>
    <t>Impacts A</t>
  </si>
  <si>
    <t>RiskTriang(D135,E135,F135)</t>
  </si>
  <si>
    <t>C135</t>
  </si>
  <si>
    <t>Library data</t>
  </si>
  <si>
    <t>RiskTriang(D133,E133,F133)</t>
  </si>
  <si>
    <t>C133</t>
  </si>
  <si>
    <t>RiskTriang(D131,E131,F131)</t>
  </si>
  <si>
    <t>C131</t>
  </si>
  <si>
    <t>RiskTriang(D130,E130,F130)</t>
  </si>
  <si>
    <t>C130</t>
  </si>
  <si>
    <t>RiskTriang(D129,E129,F129)</t>
  </si>
  <si>
    <t>C129</t>
  </si>
  <si>
    <t>RiskTriang(D128,E128,F128)</t>
  </si>
  <si>
    <t>C128</t>
  </si>
  <si>
    <t>RiskTriang(D126,E126,F126)</t>
  </si>
  <si>
    <t>C126</t>
  </si>
  <si>
    <t>RiskTriang(D124,E124,F124)</t>
  </si>
  <si>
    <t>C124</t>
  </si>
  <si>
    <t>RiskTriang(D122,E122,F122)</t>
  </si>
  <si>
    <t>C122</t>
  </si>
  <si>
    <t>RiskTriang(D120,E120,F120)</t>
  </si>
  <si>
    <t>C120</t>
  </si>
  <si>
    <t>RiskTriang(D119,E119,F119)</t>
  </si>
  <si>
    <t>C119</t>
  </si>
  <si>
    <t>RiskTriang(D118,E118,F118)</t>
  </si>
  <si>
    <t>C118</t>
  </si>
  <si>
    <t>RiskTriang(D117,E117,F117)</t>
  </si>
  <si>
    <t>C117</t>
  </si>
  <si>
    <t>RiskTriang(D116,E116,F116)</t>
  </si>
  <si>
    <t>C116</t>
  </si>
  <si>
    <t>RiskTriang(D115,E115,F115)</t>
  </si>
  <si>
    <t>C115</t>
  </si>
  <si>
    <t>RiskTriang(D114,E114,F114)</t>
  </si>
  <si>
    <t>C114</t>
  </si>
  <si>
    <t>RiskTriang(D112,E112,F112)</t>
  </si>
  <si>
    <t>C112</t>
  </si>
  <si>
    <t>RiskTriang(D111,E111,F111)</t>
  </si>
  <si>
    <t>C111</t>
  </si>
  <si>
    <t>RiskTriang(D110,E110,F110)</t>
  </si>
  <si>
    <t>C110</t>
  </si>
  <si>
    <t>RiskTriang(D109,E109,F109)</t>
  </si>
  <si>
    <t>C109</t>
  </si>
  <si>
    <t>RiskTriang(D108,E108,F108)</t>
  </si>
  <si>
    <t>C108</t>
  </si>
  <si>
    <t>RiskTriang(D107,E107,F107)</t>
  </si>
  <si>
    <t>C107</t>
  </si>
  <si>
    <t>RiskTriang(D106,E106,F106)</t>
  </si>
  <si>
    <t>C106</t>
  </si>
  <si>
    <t>RiskTriang(D104,E104,F104)</t>
  </si>
  <si>
    <t>C104</t>
  </si>
  <si>
    <t>RiskTriang(D103,E103,F103)</t>
  </si>
  <si>
    <t>C103</t>
  </si>
  <si>
    <t>RiskTriang(D102,E102,F102)</t>
  </si>
  <si>
    <t>C102</t>
  </si>
  <si>
    <t>RiskTriang(D101,E101,F101)</t>
  </si>
  <si>
    <t>C101</t>
  </si>
  <si>
    <t>RiskTriang(D100,E100,F100)</t>
  </si>
  <si>
    <t>C100</t>
  </si>
  <si>
    <t>RiskTriang(D99,E99,F99)</t>
  </si>
  <si>
    <t>C99</t>
  </si>
  <si>
    <t>RiskTriang(D98,E98,F98)</t>
  </si>
  <si>
    <t>C98</t>
  </si>
  <si>
    <t>RiskTriang(D96,E96,F96)</t>
  </si>
  <si>
    <t>C96</t>
  </si>
  <si>
    <t>RiskTriang(D95,E95,F95)</t>
  </si>
  <si>
    <t>C95</t>
  </si>
  <si>
    <t>RiskTriang(D94,E94,F94)</t>
  </si>
  <si>
    <t>C94</t>
  </si>
  <si>
    <t>RiskTriang(D93,E93,F93)</t>
  </si>
  <si>
    <t>C93</t>
  </si>
  <si>
    <t>RiskTriang(D92,E92,F92)</t>
  </si>
  <si>
    <t>C92</t>
  </si>
  <si>
    <t>RiskTriang(D91,E91,F91)</t>
  </si>
  <si>
    <t>C91</t>
  </si>
  <si>
    <t>RiskTriang(D89,E89,F89)</t>
  </si>
  <si>
    <t>C89</t>
  </si>
  <si>
    <t>RiskTriang(D88,E88,F88)</t>
  </si>
  <si>
    <t>C88</t>
  </si>
  <si>
    <t>RiskTriang(D87,E87,F87)</t>
  </si>
  <si>
    <t>C87</t>
  </si>
  <si>
    <t>RiskTriang(D86,E86,F86)</t>
  </si>
  <si>
    <t>C86</t>
  </si>
  <si>
    <t>RiskTriang(D85,E85,F85)</t>
  </si>
  <si>
    <t>C85</t>
  </si>
  <si>
    <t>RiskTriang(D84,E84,F84)</t>
  </si>
  <si>
    <t>C84</t>
  </si>
  <si>
    <t>RiskTriang(D82,E82,F82)</t>
  </si>
  <si>
    <t>C82</t>
  </si>
  <si>
    <t>RiskTriang(D81,E81,F81)</t>
  </si>
  <si>
    <t>C81</t>
  </si>
  <si>
    <t>RiskTriang(D80,E80,F80)</t>
  </si>
  <si>
    <t>C80</t>
  </si>
  <si>
    <t>RiskTriang(D79,E79,F79)</t>
  </si>
  <si>
    <t>C79</t>
  </si>
  <si>
    <t>RiskTriang(D78,E78,F78)</t>
  </si>
  <si>
    <t>C78</t>
  </si>
  <si>
    <t>RiskTriang(D77,E77,F77)</t>
  </si>
  <si>
    <t>C77</t>
  </si>
  <si>
    <t>RiskTriang(D75,E75,F75)</t>
  </si>
  <si>
    <t>C75</t>
  </si>
  <si>
    <t>RiskTriang(D74,E74,F74)</t>
  </si>
  <si>
    <t>C74</t>
  </si>
  <si>
    <t>RiskTriang(D73,E73,F73)</t>
  </si>
  <si>
    <t>C73</t>
  </si>
  <si>
    <t>RiskTriang(D72,E72,F72)</t>
  </si>
  <si>
    <t>C72</t>
  </si>
  <si>
    <t>RiskTriang(D71,E71,F71)</t>
  </si>
  <si>
    <t>C71</t>
  </si>
  <si>
    <t>RiskTriang(D70,E70,F70)</t>
  </si>
  <si>
    <t>C70</t>
  </si>
  <si>
    <t>RiskTriang(D66,E66,F66)</t>
  </si>
  <si>
    <t>C66</t>
  </si>
  <si>
    <t>RiskTriang(D65,E65,F65)</t>
  </si>
  <si>
    <t>C65</t>
  </si>
  <si>
    <t>RiskTriang(D64,E64,F64)</t>
  </si>
  <si>
    <t>C64</t>
  </si>
  <si>
    <t>RiskTriang(D63,E63,F63)</t>
  </si>
  <si>
    <t>C63</t>
  </si>
  <si>
    <t>RiskTriang(D62,E62,F62)</t>
  </si>
  <si>
    <t>C62</t>
  </si>
  <si>
    <t>RiskTriang(D61,E61,F61)</t>
  </si>
  <si>
    <t>C61</t>
  </si>
  <si>
    <t>RiskTriang(D60,E60,F60)</t>
  </si>
  <si>
    <t>C60</t>
  </si>
  <si>
    <t>RiskTriang(D59,E59,F59)</t>
  </si>
  <si>
    <t>C59</t>
  </si>
  <si>
    <t>RiskTriang(D58,E58,F58)</t>
  </si>
  <si>
    <t>C58</t>
  </si>
  <si>
    <t>RiskTriang(D57,E57,F57)</t>
  </si>
  <si>
    <t>C57</t>
  </si>
  <si>
    <t>RiskTriang(D56,E56,F56)</t>
  </si>
  <si>
    <t>C56</t>
  </si>
  <si>
    <t>RiskTriang(D55,E55,F55)</t>
  </si>
  <si>
    <t>C55</t>
  </si>
  <si>
    <t>RiskTriang(D54,E54,F54)</t>
  </si>
  <si>
    <t>C54</t>
  </si>
  <si>
    <t>RiskTriang(D51,E51,F51)</t>
  </si>
  <si>
    <t>C51</t>
  </si>
  <si>
    <t>RiskTriang(D50,E50,F50)</t>
  </si>
  <si>
    <t>C50</t>
  </si>
  <si>
    <t>RiskTriang(D49,E49,F49)</t>
  </si>
  <si>
    <t>C49</t>
  </si>
  <si>
    <t>RiskTriang(D48,E48,F48)</t>
  </si>
  <si>
    <t>C48</t>
  </si>
  <si>
    <t>RiskTriang(D47,E47,F47)</t>
  </si>
  <si>
    <t>C47</t>
  </si>
  <si>
    <t>RiskTriang(D46,E46,F46)</t>
  </si>
  <si>
    <t>C46</t>
  </si>
  <si>
    <t>RiskTriang(D45,E45,F45)</t>
  </si>
  <si>
    <t>C45</t>
  </si>
  <si>
    <t>RiskTriang(D44,E44,F44)</t>
  </si>
  <si>
    <t>C44</t>
  </si>
  <si>
    <t>RiskTriang(D43,E43,F43)</t>
  </si>
  <si>
    <t>C43</t>
  </si>
  <si>
    <t>RiskTriang(D42,E42,F42)</t>
  </si>
  <si>
    <t>C42</t>
  </si>
  <si>
    <t>RiskTriang(D41,E41,F41)</t>
  </si>
  <si>
    <t>C41</t>
  </si>
  <si>
    <t>RiskTriang(D40,E40,F40)</t>
  </si>
  <si>
    <t>C40</t>
  </si>
  <si>
    <t>RiskTriang(D39,E39,F39)</t>
  </si>
  <si>
    <t>C39</t>
  </si>
  <si>
    <t>RiskTriang(D38,E38,F38)</t>
  </si>
  <si>
    <t>C38</t>
  </si>
  <si>
    <t>RiskTriang(D37,E37,F37)</t>
  </si>
  <si>
    <t>C37</t>
  </si>
  <si>
    <t>RiskTriang(D36,E36,F36)</t>
  </si>
  <si>
    <t>C36</t>
  </si>
  <si>
    <t>RiskTriang(D35,E35,F35)</t>
  </si>
  <si>
    <t>C35</t>
  </si>
  <si>
    <t>RiskTriang(D34,E34,F34)</t>
  </si>
  <si>
    <t>C34</t>
  </si>
  <si>
    <t>RiskTriang(D33,E33,F33)</t>
  </si>
  <si>
    <t>C33</t>
  </si>
  <si>
    <t>RiskTriang(D32,E32,F32)</t>
  </si>
  <si>
    <t>C32</t>
  </si>
  <si>
    <t>RiskTriang(D31,E31,F31)</t>
  </si>
  <si>
    <t>C31</t>
  </si>
  <si>
    <t>RiskTriang(D30,E30,F30)</t>
  </si>
  <si>
    <t>C30</t>
  </si>
  <si>
    <t>RiskTriang(D29,E29,F29)</t>
  </si>
  <si>
    <t>C29</t>
  </si>
  <si>
    <t>RiskTriang(D28,E28,F28)</t>
  </si>
  <si>
    <t>C28</t>
  </si>
  <si>
    <t>RiskTriang(D27,E27,F27)</t>
  </si>
  <si>
    <t>C27</t>
  </si>
  <si>
    <t>RiskTriang(D26,E26,F26)</t>
  </si>
  <si>
    <t>C26</t>
  </si>
  <si>
    <t>RiskTriang(D25,E25,F25)</t>
  </si>
  <si>
    <t>C25</t>
  </si>
  <si>
    <t>RiskTriang(D22,E22,F22)</t>
  </si>
  <si>
    <t>C22</t>
  </si>
  <si>
    <t>RiskTriang(D21,E21,F21)</t>
  </si>
  <si>
    <t>C21</t>
  </si>
  <si>
    <t>+∞</t>
  </si>
  <si>
    <t>n/a</t>
  </si>
  <si>
    <t>-∞</t>
  </si>
  <si>
    <t>RiskDiscrete(J2:J1001,K2:K1001)</t>
  </si>
  <si>
    <t>C18</t>
  </si>
  <si>
    <t>RiskTriang(D17,E17,F17)</t>
  </si>
  <si>
    <t>C17</t>
  </si>
  <si>
    <t>RiskTriang(D16,E16,F16)</t>
  </si>
  <si>
    <t>C16</t>
  </si>
  <si>
    <t>RiskTriang(D15,E15,F15)</t>
  </si>
  <si>
    <t>C15</t>
  </si>
  <si>
    <t>RiskTriang(D14,E14,F14)</t>
  </si>
  <si>
    <t>C14</t>
  </si>
  <si>
    <t>RiskTriang(D13,E13,F13)</t>
  </si>
  <si>
    <t>C13</t>
  </si>
  <si>
    <t>RiskTriang(D12,E12,F12)</t>
  </si>
  <si>
    <t>C12</t>
  </si>
  <si>
    <t>RiskTriang(D11,E11,F11)</t>
  </si>
  <si>
    <t>C11</t>
  </si>
  <si>
    <t>RiskTriang(D10,E10,F10)</t>
  </si>
  <si>
    <t>C10</t>
  </si>
  <si>
    <t>RiskTriang(D9,E9,F9)</t>
  </si>
  <si>
    <t>C9</t>
  </si>
  <si>
    <t>RiskTriang(D8,E8,F8)</t>
  </si>
  <si>
    <t>C8</t>
  </si>
  <si>
    <t>RiskTriang(D7,E7,F7)</t>
  </si>
  <si>
    <t>C7</t>
  </si>
  <si>
    <t>RiskTriang(D6, E6, F6)</t>
  </si>
  <si>
    <t>C6</t>
  </si>
  <si>
    <t>RiskTriang(D5,E5,F5)</t>
  </si>
  <si>
    <t>C5</t>
  </si>
  <si>
    <t>RiskTriang(D4,E4,F4)</t>
  </si>
  <si>
    <t>C4</t>
  </si>
  <si>
    <t>RiskTriang(25,30,35)</t>
  </si>
  <si>
    <t>B16</t>
  </si>
  <si>
    <t>Base data</t>
  </si>
  <si>
    <t>Max</t>
  </si>
  <si>
    <t>Min</t>
  </si>
  <si>
    <t>Function</t>
  </si>
  <si>
    <t>Graph</t>
  </si>
  <si>
    <t>Cell</t>
  </si>
  <si>
    <t>Worksheet</t>
  </si>
  <si>
    <t>0</t>
  </si>
  <si>
    <t>M450</t>
  </si>
  <si>
    <t>Impacts A-B</t>
  </si>
  <si>
    <t>N4</t>
  </si>
  <si>
    <t>Range: &lt;none&gt;</t>
  </si>
  <si>
    <t>X26</t>
  </si>
  <si>
    <t>Climate A-B</t>
  </si>
  <si>
    <t>W26</t>
  </si>
  <si>
    <t>V26</t>
  </si>
  <si>
    <t>U26</t>
  </si>
  <si>
    <t>T26</t>
  </si>
  <si>
    <t>S26</t>
  </si>
  <si>
    <t>R26</t>
  </si>
  <si>
    <t>Q26</t>
  </si>
  <si>
    <t>P26</t>
  </si>
  <si>
    <t>O26</t>
  </si>
  <si>
    <t>Range: c_co2_ab</t>
  </si>
  <si>
    <t>Climate B</t>
  </si>
  <si>
    <t>Range: c_co2_b</t>
  </si>
  <si>
    <t>Climate A</t>
  </si>
  <si>
    <t>Range: CO2 conc (ppm)</t>
  </si>
  <si>
    <t>L108</t>
  </si>
  <si>
    <t>K108</t>
  </si>
  <si>
    <t>J108</t>
  </si>
  <si>
    <t>I108</t>
  </si>
  <si>
    <t>H108</t>
  </si>
  <si>
    <t>G108</t>
  </si>
  <si>
    <t>F108</t>
  </si>
  <si>
    <t>E108</t>
  </si>
  <si>
    <t>D108</t>
  </si>
  <si>
    <t>Range: Discontinuity Difference</t>
  </si>
  <si>
    <t>X27</t>
  </si>
  <si>
    <t>W27</t>
  </si>
  <si>
    <t>V27</t>
  </si>
  <si>
    <t>U27</t>
  </si>
  <si>
    <t>T27</t>
  </si>
  <si>
    <t>S27</t>
  </si>
  <si>
    <t>R27</t>
  </si>
  <si>
    <t>Q27</t>
  </si>
  <si>
    <t>P27</t>
  </si>
  <si>
    <t>O27</t>
  </si>
  <si>
    <t>Range: f_co2_a</t>
  </si>
  <si>
    <t>Range: f_co2_ab</t>
  </si>
  <si>
    <t>Range: f_co2_b</t>
  </si>
  <si>
    <t>X62</t>
  </si>
  <si>
    <t>W62</t>
  </si>
  <si>
    <t>V62</t>
  </si>
  <si>
    <t>U62</t>
  </si>
  <si>
    <t>T62</t>
  </si>
  <si>
    <t>S62</t>
  </si>
  <si>
    <t>R62</t>
  </si>
  <si>
    <t>Q62</t>
  </si>
  <si>
    <t>P62</t>
  </si>
  <si>
    <t>O62</t>
  </si>
  <si>
    <t>Range: ft_a</t>
  </si>
  <si>
    <t>Range: ft_ab</t>
  </si>
  <si>
    <t>Range: ft_b</t>
  </si>
  <si>
    <t>K685</t>
  </si>
  <si>
    <t>Preventative costs B</t>
  </si>
  <si>
    <t>J685</t>
  </si>
  <si>
    <t>I685</t>
  </si>
  <si>
    <t>H685</t>
  </si>
  <si>
    <t>G685</t>
  </si>
  <si>
    <t>F685</t>
  </si>
  <si>
    <t>E685</t>
  </si>
  <si>
    <t>D685</t>
  </si>
  <si>
    <t>C685</t>
  </si>
  <si>
    <t>B685</t>
  </si>
  <si>
    <t>Preventative costs A</t>
  </si>
  <si>
    <t>Range: pct_g_a</t>
  </si>
  <si>
    <t>M444</t>
  </si>
  <si>
    <t>M443</t>
  </si>
  <si>
    <t>M442</t>
  </si>
  <si>
    <t>M441</t>
  </si>
  <si>
    <t>M440</t>
  </si>
  <si>
    <t>M439</t>
  </si>
  <si>
    <t>M438</t>
  </si>
  <si>
    <t>M437</t>
  </si>
  <si>
    <t>M436</t>
  </si>
  <si>
    <t>Range: regional and global extra impact</t>
  </si>
  <si>
    <t>X136</t>
  </si>
  <si>
    <t>W136</t>
  </si>
  <si>
    <t>V136</t>
  </si>
  <si>
    <t>U136</t>
  </si>
  <si>
    <t>T136</t>
  </si>
  <si>
    <t>S136</t>
  </si>
  <si>
    <t>R136</t>
  </si>
  <si>
    <t>Q136</t>
  </si>
  <si>
    <t>P136</t>
  </si>
  <si>
    <t>O136</t>
  </si>
  <si>
    <t>Range: rt_g_a</t>
  </si>
  <si>
    <t>Range: rt_g_ab</t>
  </si>
  <si>
    <t>Range: rt_g_b</t>
  </si>
  <si>
    <t>X134</t>
  </si>
  <si>
    <t>W134</t>
  </si>
  <si>
    <t>V134</t>
  </si>
  <si>
    <t>U134</t>
  </si>
  <si>
    <t>T134</t>
  </si>
  <si>
    <t>S134</t>
  </si>
  <si>
    <t>R134</t>
  </si>
  <si>
    <t>Q134</t>
  </si>
  <si>
    <t>P134</t>
  </si>
  <si>
    <t>O134</t>
  </si>
  <si>
    <t>Range: rtl_g_a</t>
  </si>
  <si>
    <t>Range: rtl_g_ab</t>
  </si>
  <si>
    <t>Range: rtl_g_b</t>
  </si>
  <si>
    <t>X139</t>
  </si>
  <si>
    <t>W139</t>
  </si>
  <si>
    <t>V139</t>
  </si>
  <si>
    <t>U139</t>
  </si>
  <si>
    <t>T139</t>
  </si>
  <si>
    <t>S139</t>
  </si>
  <si>
    <t>R139</t>
  </si>
  <si>
    <t>Q139</t>
  </si>
  <si>
    <t>P139</t>
  </si>
  <si>
    <t>O139</t>
  </si>
  <si>
    <t>Range: s_a</t>
  </si>
  <si>
    <t>Range: s_ab</t>
  </si>
  <si>
    <t>Range: s_b</t>
  </si>
  <si>
    <t>L34</t>
  </si>
  <si>
    <t>Totals</t>
  </si>
  <si>
    <t>L33</t>
  </si>
  <si>
    <t>L32</t>
  </si>
  <si>
    <t>L31</t>
  </si>
  <si>
    <t>L23</t>
  </si>
  <si>
    <t>L22</t>
  </si>
  <si>
    <t>L21</t>
  </si>
  <si>
    <t>L20</t>
  </si>
  <si>
    <t>L12</t>
  </si>
  <si>
    <t>L11</t>
  </si>
  <si>
    <t>L10</t>
  </si>
  <si>
    <t>L9</t>
  </si>
  <si>
    <t>Range: Total</t>
  </si>
  <si>
    <t>Z424</t>
  </si>
  <si>
    <t>Y424</t>
  </si>
  <si>
    <t>X424</t>
  </si>
  <si>
    <t>W424</t>
  </si>
  <si>
    <t>V424</t>
  </si>
  <si>
    <t>U424</t>
  </si>
  <si>
    <t>T424</t>
  </si>
  <si>
    <t>S424</t>
  </si>
  <si>
    <t>R424</t>
  </si>
  <si>
    <t>Q424</t>
  </si>
  <si>
    <t>Range: Weighted Damages</t>
  </si>
  <si>
    <t>Errors</t>
  </si>
  <si>
    <t>Date: Friday, January 29, 2021 9:15:46 AM</t>
  </si>
  <si>
    <t>Performed By: Charles Griffiths</t>
  </si>
  <si>
    <t>@RISK 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</si>
</sst>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0.000"/>
    <numFmt numFmtId="165" formatCode="0.0000"/>
    <numFmt numFmtId="166" formatCode="0.0"/>
    <numFmt numFmtId="167" formatCode="0.0E+00"/>
    <numFmt numFmtId="168" formatCode="m/d/yy;@"/>
    <numFmt numFmtId="169" formatCode="0.E+00"/>
    <numFmt numFmtId="170" formatCode="&quot;$&quot;#,##0"/>
  </numFmts>
  <fonts count="27" x14ac:knownFonts="1">
    <font>
      <sz val="10"/>
      <name val="Arial"/>
    </font>
    <font>
      <sz val="11"/>
      <color theme="1"/>
      <name val="Calibri"/>
      <family val="2"/>
      <scheme val="minor"/>
    </font>
    <font>
      <sz val="8"/>
      <color indexed="81"/>
      <name val="Tahoma"/>
      <family val="2"/>
    </font>
    <font>
      <b/>
      <sz val="8"/>
      <color indexed="81"/>
      <name val="Tahoma"/>
      <family val="2"/>
    </font>
    <font>
      <b/>
      <sz val="10"/>
      <name val="Arial"/>
      <family val="2"/>
    </font>
    <font>
      <vertAlign val="subscript"/>
      <sz val="10"/>
      <name val="Arial"/>
      <family val="2"/>
    </font>
    <font>
      <sz val="10"/>
      <name val="Arial"/>
      <family val="2"/>
    </font>
    <font>
      <b/>
      <vertAlign val="subscript"/>
      <sz val="10"/>
      <name val="Arial"/>
      <family val="2"/>
    </font>
    <font>
      <sz val="9"/>
      <color indexed="81"/>
      <name val="Tahoma"/>
      <family val="2"/>
    </font>
    <font>
      <b/>
      <sz val="9"/>
      <color indexed="81"/>
      <name val="Tahoma"/>
      <family val="2"/>
    </font>
    <font>
      <sz val="8"/>
      <name val="Arial"/>
      <family val="2"/>
    </font>
    <font>
      <vertAlign val="subscript"/>
      <sz val="8"/>
      <name val="Arial"/>
      <family val="2"/>
    </font>
    <font>
      <sz val="7"/>
      <name val="Arial"/>
      <family val="2"/>
    </font>
    <font>
      <vertAlign val="subscript"/>
      <sz val="7"/>
      <name val="Arial"/>
      <family val="2"/>
    </font>
    <font>
      <b/>
      <u/>
      <sz val="10"/>
      <name val="Arial"/>
      <family val="2"/>
    </font>
    <font>
      <sz val="10"/>
      <color theme="1"/>
      <name val="Calibri"/>
      <family val="2"/>
      <scheme val="minor"/>
    </font>
    <font>
      <sz val="10"/>
      <name val="Calibri"/>
      <family val="2"/>
    </font>
    <font>
      <u/>
      <sz val="11"/>
      <color theme="10"/>
      <name val="Calibri"/>
      <family val="2"/>
      <scheme val="minor"/>
    </font>
    <font>
      <u/>
      <sz val="10"/>
      <color theme="10"/>
      <name val="Calibri"/>
      <family val="2"/>
      <scheme val="minor"/>
    </font>
    <font>
      <sz val="10"/>
      <name val="Calibri"/>
      <family val="2"/>
      <scheme val="minor"/>
    </font>
    <font>
      <sz val="8"/>
      <color theme="1"/>
      <name val="Tahoma"/>
      <family val="2"/>
    </font>
    <font>
      <b/>
      <sz val="8"/>
      <color theme="1"/>
      <name val="Tahoma"/>
      <family val="2"/>
    </font>
    <font>
      <b/>
      <sz val="10"/>
      <color theme="1"/>
      <name val="Calibri"/>
      <family val="2"/>
    </font>
    <font>
      <b/>
      <sz val="9"/>
      <color theme="1"/>
      <name val="Calibri"/>
      <family val="2"/>
    </font>
    <font>
      <sz val="10"/>
      <color theme="1"/>
      <name val="Calibri"/>
      <family val="2"/>
    </font>
    <font>
      <b/>
      <sz val="14"/>
      <color theme="1"/>
      <name val="Tahoma"/>
      <family val="2"/>
    </font>
    <font>
      <b/>
      <sz val="12"/>
      <color theme="1"/>
      <name val="Calibri"/>
      <family val="2"/>
    </font>
  </fonts>
  <fills count="17">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43"/>
        <bgColor indexed="64"/>
      </patternFill>
    </fill>
    <fill>
      <patternFill patternType="solid">
        <fgColor indexed="45"/>
        <bgColor indexed="64"/>
      </patternFill>
    </fill>
    <fill>
      <patternFill patternType="solid">
        <fgColor indexed="51"/>
        <bgColor indexed="64"/>
      </patternFill>
    </fill>
    <fill>
      <patternFill patternType="solid">
        <fgColor indexed="13"/>
        <bgColor indexed="64"/>
      </patternFill>
    </fill>
    <fill>
      <patternFill patternType="solid">
        <fgColor indexed="14"/>
        <bgColor indexed="64"/>
      </patternFill>
    </fill>
    <fill>
      <patternFill patternType="solid">
        <fgColor theme="7" tint="0.59999389629810485"/>
        <bgColor indexed="64"/>
      </patternFill>
    </fill>
    <fill>
      <patternFill patternType="solid">
        <fgColor rgb="FFFFFF00"/>
        <bgColor indexed="64"/>
      </patternFill>
    </fill>
    <fill>
      <patternFill patternType="solid">
        <fgColor rgb="FF00B0F0"/>
        <bgColor indexed="64"/>
      </patternFill>
    </fill>
    <fill>
      <patternFill patternType="solid">
        <fgColor theme="8" tint="0.39997558519241921"/>
        <bgColor indexed="64"/>
      </patternFill>
    </fill>
    <fill>
      <patternFill patternType="solid">
        <fgColor rgb="FF93CDDD"/>
        <bgColor indexed="64"/>
      </patternFill>
    </fill>
    <fill>
      <patternFill patternType="solid">
        <fgColor theme="2"/>
        <bgColor indexed="64"/>
      </patternFill>
    </fill>
    <fill>
      <patternFill patternType="solid">
        <fgColor theme="0"/>
        <bgColor indexed="64"/>
      </patternFill>
    </fill>
    <fill>
      <patternFill patternType="solid">
        <fgColor rgb="FFFFFFFF"/>
        <bgColor indexed="64"/>
      </patternFill>
    </fill>
  </fills>
  <borders count="19">
    <border>
      <left/>
      <right/>
      <top/>
      <bottom/>
      <diagonal/>
    </border>
    <border>
      <left/>
      <right/>
      <top style="thin">
        <color indexed="64"/>
      </top>
      <bottom/>
      <diagonal/>
    </border>
    <border>
      <left/>
      <right/>
      <top/>
      <bottom style="double">
        <color indexed="64"/>
      </bottom>
      <diagonal/>
    </border>
    <border>
      <left/>
      <right/>
      <top style="thin">
        <color indexed="64"/>
      </top>
      <bottom style="double">
        <color indexed="64"/>
      </bottom>
      <diagonal/>
    </border>
    <border>
      <left/>
      <right/>
      <top/>
      <bottom style="thin">
        <color indexed="64"/>
      </bottom>
      <diagonal/>
    </border>
    <border>
      <left/>
      <right/>
      <top style="double">
        <color indexed="64"/>
      </top>
      <bottom style="double">
        <color indexed="64"/>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style="thin">
        <color theme="0" tint="-0.249977111117893"/>
      </left>
      <right style="thin">
        <color theme="0" tint="-0.249977111117893"/>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diagonal/>
    </border>
    <border>
      <left style="thin">
        <color theme="0" tint="-0.249977111117893"/>
      </left>
      <right style="thin">
        <color theme="0" tint="-0.249977111117893"/>
      </right>
      <top/>
      <bottom/>
      <diagonal/>
    </border>
    <border>
      <left/>
      <right style="thin">
        <color theme="0" tint="-0.249977111117893"/>
      </right>
      <top/>
      <bottom/>
      <diagonal/>
    </border>
  </borders>
  <cellStyleXfs count="4">
    <xf numFmtId="0" fontId="0" fillId="0" borderId="0"/>
    <xf numFmtId="0" fontId="1" fillId="0" borderId="0"/>
    <xf numFmtId="43" fontId="1" fillId="0" borderId="0" applyFont="0" applyFill="0" applyBorder="0" applyAlignment="0" applyProtection="0"/>
    <xf numFmtId="0" fontId="17" fillId="0" borderId="0" applyNumberFormat="0" applyFill="0" applyBorder="0" applyAlignment="0" applyProtection="0"/>
  </cellStyleXfs>
  <cellXfs count="222">
    <xf numFmtId="0" fontId="0" fillId="0" borderId="0" xfId="0"/>
    <xf numFmtId="11" fontId="0" fillId="0" borderId="0" xfId="0" applyNumberFormat="1"/>
    <xf numFmtId="0" fontId="4" fillId="0" borderId="0" xfId="0" applyFont="1"/>
    <xf numFmtId="0" fontId="6" fillId="0" borderId="0" xfId="0" applyFont="1"/>
    <xf numFmtId="1" fontId="0" fillId="0" borderId="0" xfId="0" applyNumberFormat="1"/>
    <xf numFmtId="1" fontId="4" fillId="0" borderId="0" xfId="0" applyNumberFormat="1" applyFont="1"/>
    <xf numFmtId="2" fontId="0" fillId="0" borderId="0" xfId="0" applyNumberFormat="1"/>
    <xf numFmtId="165" fontId="0" fillId="0" borderId="0" xfId="0" applyNumberFormat="1"/>
    <xf numFmtId="2" fontId="4" fillId="0" borderId="0" xfId="0" applyNumberFormat="1" applyFont="1"/>
    <xf numFmtId="0" fontId="0" fillId="0" borderId="0" xfId="0" applyBorder="1"/>
    <xf numFmtId="0" fontId="0" fillId="0" borderId="0" xfId="0" applyFill="1" applyBorder="1" applyProtection="1"/>
    <xf numFmtId="0" fontId="0" fillId="0" borderId="0" xfId="0" applyFill="1" applyBorder="1"/>
    <xf numFmtId="0" fontId="0" fillId="0" borderId="0" xfId="0" applyFill="1"/>
    <xf numFmtId="11" fontId="0" fillId="0" borderId="0" xfId="0" applyNumberFormat="1" applyFill="1"/>
    <xf numFmtId="0" fontId="0" fillId="4" borderId="1" xfId="0" applyFill="1" applyBorder="1" applyProtection="1">
      <protection locked="0"/>
    </xf>
    <xf numFmtId="0" fontId="0" fillId="4" borderId="0" xfId="0" applyFill="1" applyBorder="1" applyProtection="1">
      <protection locked="0"/>
    </xf>
    <xf numFmtId="0" fontId="0" fillId="4" borderId="2" xfId="0" applyFill="1" applyBorder="1" applyProtection="1">
      <protection locked="0"/>
    </xf>
    <xf numFmtId="2" fontId="0" fillId="0" borderId="0" xfId="0" applyNumberFormat="1" applyBorder="1"/>
    <xf numFmtId="0" fontId="4" fillId="0" borderId="0" xfId="0" applyFont="1" applyBorder="1"/>
    <xf numFmtId="0" fontId="0" fillId="5" borderId="1" xfId="0" applyFill="1" applyBorder="1"/>
    <xf numFmtId="1" fontId="0" fillId="5" borderId="1" xfId="0" applyNumberFormat="1" applyFill="1" applyBorder="1"/>
    <xf numFmtId="0" fontId="0" fillId="5" borderId="0" xfId="0" applyFill="1" applyBorder="1"/>
    <xf numFmtId="1" fontId="0" fillId="5" borderId="0" xfId="0" applyNumberFormat="1" applyFill="1" applyBorder="1"/>
    <xf numFmtId="0" fontId="0" fillId="5" borderId="2" xfId="0" applyFill="1" applyBorder="1"/>
    <xf numFmtId="1" fontId="0" fillId="5" borderId="2" xfId="0" applyNumberFormat="1" applyFill="1" applyBorder="1"/>
    <xf numFmtId="0" fontId="0" fillId="6" borderId="0" xfId="0" applyFill="1" applyProtection="1">
      <protection locked="0"/>
    </xf>
    <xf numFmtId="11" fontId="0" fillId="6" borderId="0" xfId="0" applyNumberFormat="1" applyFill="1"/>
    <xf numFmtId="0" fontId="0" fillId="7" borderId="3" xfId="0" applyFill="1" applyBorder="1" applyProtection="1">
      <protection locked="0"/>
    </xf>
    <xf numFmtId="0" fontId="0" fillId="7" borderId="1" xfId="0" applyFill="1" applyBorder="1" applyProtection="1">
      <protection locked="0"/>
    </xf>
    <xf numFmtId="0" fontId="0" fillId="7" borderId="0" xfId="0" applyFill="1" applyBorder="1" applyProtection="1">
      <protection locked="0"/>
    </xf>
    <xf numFmtId="0" fontId="0" fillId="7" borderId="2" xfId="0" applyFill="1" applyBorder="1" applyProtection="1">
      <protection locked="0"/>
    </xf>
    <xf numFmtId="11" fontId="0" fillId="7" borderId="1" xfId="0" applyNumberFormat="1" applyFill="1" applyBorder="1" applyProtection="1">
      <protection locked="0"/>
    </xf>
    <xf numFmtId="11" fontId="0" fillId="7" borderId="0" xfId="0" applyNumberFormat="1" applyFill="1" applyBorder="1" applyProtection="1">
      <protection locked="0"/>
    </xf>
    <xf numFmtId="11" fontId="0" fillId="7" borderId="2" xfId="0" applyNumberFormat="1" applyFill="1" applyBorder="1" applyProtection="1">
      <protection locked="0"/>
    </xf>
    <xf numFmtId="0" fontId="0" fillId="6" borderId="0" xfId="0" applyFill="1"/>
    <xf numFmtId="2" fontId="0" fillId="5" borderId="0" xfId="0" applyNumberFormat="1" applyFill="1" applyBorder="1"/>
    <xf numFmtId="0" fontId="6" fillId="5" borderId="2" xfId="0" applyFont="1" applyFill="1" applyBorder="1"/>
    <xf numFmtId="11" fontId="0" fillId="5" borderId="1" xfId="0" applyNumberFormat="1" applyFill="1" applyBorder="1"/>
    <xf numFmtId="11" fontId="0" fillId="5" borderId="0" xfId="0" applyNumberFormat="1" applyFill="1" applyBorder="1"/>
    <xf numFmtId="2" fontId="0" fillId="5" borderId="1" xfId="0" applyNumberFormat="1" applyFill="1" applyBorder="1"/>
    <xf numFmtId="2" fontId="0" fillId="8" borderId="0" xfId="0" applyNumberFormat="1" applyFill="1" applyBorder="1"/>
    <xf numFmtId="2" fontId="0" fillId="8" borderId="2" xfId="0" applyNumberFormat="1" applyFill="1" applyBorder="1"/>
    <xf numFmtId="2" fontId="0" fillId="8" borderId="3" xfId="0" applyNumberFormat="1" applyFill="1" applyBorder="1"/>
    <xf numFmtId="1" fontId="0" fillId="0" borderId="0" xfId="0" applyNumberFormat="1" applyFill="1" applyBorder="1"/>
    <xf numFmtId="2" fontId="0" fillId="0" borderId="0" xfId="0" applyNumberFormat="1" applyFill="1" applyBorder="1"/>
    <xf numFmtId="164" fontId="0" fillId="5" borderId="1" xfId="0" applyNumberFormat="1" applyFill="1" applyBorder="1"/>
    <xf numFmtId="164" fontId="0" fillId="5" borderId="0" xfId="0" applyNumberFormat="1" applyFill="1" applyBorder="1"/>
    <xf numFmtId="164" fontId="0" fillId="5" borderId="2" xfId="0" applyNumberFormat="1" applyFill="1" applyBorder="1"/>
    <xf numFmtId="1" fontId="0" fillId="5" borderId="0" xfId="0" applyNumberFormat="1" applyFill="1"/>
    <xf numFmtId="2" fontId="0" fillId="5" borderId="2" xfId="0" applyNumberFormat="1" applyFill="1" applyBorder="1"/>
    <xf numFmtId="11" fontId="0" fillId="5" borderId="2" xfId="0" applyNumberFormat="1" applyFill="1" applyBorder="1"/>
    <xf numFmtId="165" fontId="0" fillId="5" borderId="1" xfId="0" applyNumberFormat="1" applyFill="1" applyBorder="1"/>
    <xf numFmtId="165" fontId="0" fillId="5" borderId="0" xfId="0" applyNumberFormat="1" applyFill="1" applyBorder="1"/>
    <xf numFmtId="165" fontId="0" fillId="5" borderId="2" xfId="0" applyNumberFormat="1" applyFill="1" applyBorder="1"/>
    <xf numFmtId="11" fontId="0" fillId="8" borderId="0" xfId="0" applyNumberFormat="1" applyFill="1" applyBorder="1"/>
    <xf numFmtId="11" fontId="0" fillId="8" borderId="1" xfId="0" applyNumberFormat="1" applyFill="1" applyBorder="1"/>
    <xf numFmtId="11" fontId="0" fillId="8" borderId="2" xfId="0" applyNumberFormat="1" applyFill="1" applyBorder="1"/>
    <xf numFmtId="0" fontId="4" fillId="0" borderId="0" xfId="0" applyFont="1" applyFill="1"/>
    <xf numFmtId="11" fontId="0" fillId="0" borderId="0" xfId="0" applyNumberFormat="1" applyFill="1" applyBorder="1"/>
    <xf numFmtId="11" fontId="4" fillId="8" borderId="0" xfId="0" applyNumberFormat="1" applyFont="1" applyFill="1"/>
    <xf numFmtId="11" fontId="6" fillId="5" borderId="1" xfId="0" applyNumberFormat="1" applyFont="1" applyFill="1" applyBorder="1"/>
    <xf numFmtId="11" fontId="4" fillId="0" borderId="0" xfId="0" applyNumberFormat="1" applyFont="1"/>
    <xf numFmtId="2" fontId="0" fillId="5" borderId="0" xfId="0" applyNumberFormat="1" applyFill="1"/>
    <xf numFmtId="11" fontId="4" fillId="0" borderId="0" xfId="0" applyNumberFormat="1" applyFont="1" applyFill="1"/>
    <xf numFmtId="11" fontId="0" fillId="5" borderId="3" xfId="0" applyNumberFormat="1" applyFill="1" applyBorder="1"/>
    <xf numFmtId="11" fontId="4" fillId="0" borderId="0" xfId="0" applyNumberFormat="1" applyFont="1" applyFill="1" applyBorder="1"/>
    <xf numFmtId="0" fontId="0" fillId="3" borderId="0" xfId="0" applyFill="1"/>
    <xf numFmtId="0" fontId="4" fillId="3" borderId="0" xfId="0" applyFont="1" applyFill="1"/>
    <xf numFmtId="0" fontId="4" fillId="4" borderId="0" xfId="0" applyFont="1" applyFill="1"/>
    <xf numFmtId="0" fontId="0" fillId="7" borderId="1" xfId="0" applyFill="1" applyBorder="1"/>
    <xf numFmtId="0" fontId="0" fillId="7" borderId="0" xfId="0" applyFill="1" applyBorder="1"/>
    <xf numFmtId="166" fontId="0" fillId="0" borderId="0" xfId="0" applyNumberFormat="1"/>
    <xf numFmtId="11" fontId="6" fillId="5" borderId="0" xfId="0" applyNumberFormat="1" applyFont="1" applyFill="1" applyBorder="1"/>
    <xf numFmtId="11" fontId="4" fillId="2" borderId="0" xfId="0" applyNumberFormat="1" applyFont="1" applyFill="1" applyBorder="1"/>
    <xf numFmtId="1" fontId="0" fillId="3" borderId="1" xfId="0" applyNumberFormat="1" applyFill="1" applyBorder="1" applyProtection="1">
      <protection locked="0"/>
    </xf>
    <xf numFmtId="1" fontId="0" fillId="3" borderId="0" xfId="0" applyNumberFormat="1" applyFill="1" applyBorder="1" applyProtection="1">
      <protection locked="0"/>
    </xf>
    <xf numFmtId="1" fontId="0" fillId="3" borderId="2" xfId="0" applyNumberFormat="1" applyFill="1" applyBorder="1" applyProtection="1">
      <protection locked="0"/>
    </xf>
    <xf numFmtId="2" fontId="0" fillId="8" borderId="4" xfId="0" applyNumberFormat="1" applyFill="1" applyBorder="1"/>
    <xf numFmtId="2" fontId="6" fillId="0" borderId="0" xfId="0" applyNumberFormat="1" applyFont="1"/>
    <xf numFmtId="0" fontId="6" fillId="0" borderId="0" xfId="0" applyFont="1" applyFill="1"/>
    <xf numFmtId="1" fontId="6" fillId="0" borderId="0" xfId="0" applyNumberFormat="1" applyFont="1"/>
    <xf numFmtId="166" fontId="0" fillId="0" borderId="0" xfId="0" applyNumberFormat="1" applyFill="1" applyBorder="1"/>
    <xf numFmtId="0" fontId="0" fillId="0" borderId="0" xfId="0" applyFont="1" applyFill="1"/>
    <xf numFmtId="2" fontId="0" fillId="0" borderId="0" xfId="0" applyNumberFormat="1" applyFill="1"/>
    <xf numFmtId="11" fontId="6" fillId="0" borderId="0" xfId="0" applyNumberFormat="1" applyFont="1"/>
    <xf numFmtId="11" fontId="0" fillId="8" borderId="4" xfId="0" applyNumberFormat="1" applyFill="1" applyBorder="1"/>
    <xf numFmtId="2" fontId="0" fillId="6" borderId="0" xfId="0" applyNumberFormat="1" applyFill="1"/>
    <xf numFmtId="1" fontId="0" fillId="0" borderId="0" xfId="0" applyNumberFormat="1" applyFill="1" applyBorder="1" applyProtection="1">
      <protection locked="0"/>
    </xf>
    <xf numFmtId="2" fontId="0" fillId="3" borderId="2" xfId="0" applyNumberFormat="1" applyFill="1" applyBorder="1" applyProtection="1">
      <protection locked="0"/>
    </xf>
    <xf numFmtId="0" fontId="5" fillId="0" borderId="0" xfId="0" applyFont="1"/>
    <xf numFmtId="0" fontId="0" fillId="0" borderId="0" xfId="0" applyFill="1" applyBorder="1" applyProtection="1">
      <protection locked="0"/>
    </xf>
    <xf numFmtId="166" fontId="0" fillId="5" borderId="0" xfId="0" applyNumberFormat="1" applyFill="1" applyBorder="1"/>
    <xf numFmtId="165" fontId="0" fillId="0" borderId="0" xfId="0" applyNumberFormat="1" applyFill="1"/>
    <xf numFmtId="167" fontId="0" fillId="5" borderId="1" xfId="0" applyNumberFormat="1" applyFill="1" applyBorder="1"/>
    <xf numFmtId="167" fontId="0" fillId="5" borderId="0" xfId="0" applyNumberFormat="1" applyFill="1" applyBorder="1"/>
    <xf numFmtId="167" fontId="0" fillId="5" borderId="2" xfId="0" applyNumberFormat="1" applyFill="1" applyBorder="1"/>
    <xf numFmtId="165" fontId="0" fillId="6" borderId="0" xfId="0" applyNumberFormat="1" applyFill="1"/>
    <xf numFmtId="2" fontId="0" fillId="9" borderId="0" xfId="0" applyNumberFormat="1" applyFill="1"/>
    <xf numFmtId="167" fontId="4" fillId="8" borderId="0" xfId="0" applyNumberFormat="1" applyFont="1" applyFill="1"/>
    <xf numFmtId="1" fontId="6" fillId="0" borderId="0" xfId="0" applyNumberFormat="1" applyFont="1" applyFill="1" applyBorder="1"/>
    <xf numFmtId="1" fontId="12" fillId="0" borderId="0" xfId="0" applyNumberFormat="1" applyFont="1" applyFill="1" applyBorder="1"/>
    <xf numFmtId="1" fontId="10" fillId="0" borderId="0" xfId="0" applyNumberFormat="1" applyFont="1" applyFill="1" applyBorder="1"/>
    <xf numFmtId="167" fontId="0" fillId="8" borderId="2" xfId="0" applyNumberFormat="1" applyFill="1" applyBorder="1"/>
    <xf numFmtId="167" fontId="0" fillId="8" borderId="1" xfId="0" applyNumberFormat="1" applyFill="1" applyBorder="1"/>
    <xf numFmtId="167" fontId="0" fillId="8" borderId="0" xfId="0" applyNumberFormat="1" applyFill="1" applyBorder="1"/>
    <xf numFmtId="11" fontId="0" fillId="5" borderId="4" xfId="0" applyNumberFormat="1" applyFill="1" applyBorder="1"/>
    <xf numFmtId="2" fontId="0" fillId="5" borderId="4" xfId="0" applyNumberFormat="1" applyFill="1" applyBorder="1"/>
    <xf numFmtId="166" fontId="0" fillId="5" borderId="1" xfId="0" applyNumberFormat="1" applyFill="1" applyBorder="1"/>
    <xf numFmtId="166" fontId="0" fillId="5" borderId="2" xfId="0" applyNumberFormat="1" applyFill="1" applyBorder="1"/>
    <xf numFmtId="11" fontId="0" fillId="8" borderId="5" xfId="0" applyNumberFormat="1" applyFill="1" applyBorder="1"/>
    <xf numFmtId="11" fontId="0" fillId="8" borderId="3" xfId="0" applyNumberFormat="1" applyFill="1" applyBorder="1"/>
    <xf numFmtId="167" fontId="0" fillId="6" borderId="0" xfId="0" applyNumberFormat="1" applyFill="1"/>
    <xf numFmtId="11" fontId="0" fillId="4" borderId="0" xfId="0" applyNumberFormat="1" applyFill="1" applyBorder="1" applyProtection="1">
      <protection locked="0"/>
    </xf>
    <xf numFmtId="0" fontId="6" fillId="0" borderId="0" xfId="0" applyFont="1" applyBorder="1"/>
    <xf numFmtId="1" fontId="0" fillId="10" borderId="1" xfId="0" applyNumberFormat="1" applyFill="1" applyBorder="1" applyProtection="1">
      <protection locked="0"/>
    </xf>
    <xf numFmtId="1" fontId="0" fillId="10" borderId="0" xfId="0" applyNumberFormat="1" applyFill="1" applyBorder="1" applyProtection="1">
      <protection locked="0"/>
    </xf>
    <xf numFmtId="1" fontId="0" fillId="10" borderId="2" xfId="0" applyNumberFormat="1" applyFill="1" applyBorder="1" applyProtection="1">
      <protection locked="0"/>
    </xf>
    <xf numFmtId="166" fontId="0" fillId="3" borderId="1" xfId="0" applyNumberFormat="1" applyFill="1" applyBorder="1" applyProtection="1">
      <protection locked="0"/>
    </xf>
    <xf numFmtId="166" fontId="0" fillId="3" borderId="0" xfId="0" applyNumberFormat="1" applyFill="1" applyBorder="1" applyProtection="1">
      <protection locked="0"/>
    </xf>
    <xf numFmtId="166" fontId="0" fillId="3" borderId="2" xfId="0" applyNumberFormat="1" applyFill="1" applyBorder="1" applyProtection="1">
      <protection locked="0"/>
    </xf>
    <xf numFmtId="2" fontId="0" fillId="3" borderId="1" xfId="0" applyNumberFormat="1" applyFill="1" applyBorder="1" applyProtection="1">
      <protection locked="0"/>
    </xf>
    <xf numFmtId="2" fontId="0" fillId="3" borderId="0" xfId="0" applyNumberFormat="1" applyFill="1" applyBorder="1" applyProtection="1">
      <protection locked="0"/>
    </xf>
    <xf numFmtId="0" fontId="0" fillId="8" borderId="0" xfId="0" applyFill="1"/>
    <xf numFmtId="166" fontId="0" fillId="5" borderId="0" xfId="0" applyNumberFormat="1" applyFill="1"/>
    <xf numFmtId="165" fontId="0" fillId="8" borderId="0" xfId="0" applyNumberFormat="1" applyFill="1"/>
    <xf numFmtId="0" fontId="0" fillId="10" borderId="0" xfId="0" applyFill="1"/>
    <xf numFmtId="0" fontId="0" fillId="0" borderId="0" xfId="0" applyNumberFormat="1"/>
    <xf numFmtId="0" fontId="14" fillId="0" borderId="0" xfId="0" applyFont="1"/>
    <xf numFmtId="0" fontId="0" fillId="11" borderId="0" xfId="0" applyFill="1"/>
    <xf numFmtId="0" fontId="0" fillId="11" borderId="3" xfId="0" applyFill="1" applyBorder="1" applyProtection="1">
      <protection locked="0"/>
    </xf>
    <xf numFmtId="0" fontId="0" fillId="11" borderId="0" xfId="0" applyFill="1" applyBorder="1"/>
    <xf numFmtId="0" fontId="0" fillId="11" borderId="0" xfId="0" applyFill="1" applyBorder="1" applyProtection="1">
      <protection locked="0"/>
    </xf>
    <xf numFmtId="0" fontId="0" fillId="11" borderId="0" xfId="0" applyFill="1" applyProtection="1">
      <protection locked="0"/>
    </xf>
    <xf numFmtId="0" fontId="0" fillId="11" borderId="2" xfId="0" applyFill="1" applyBorder="1" applyProtection="1">
      <protection locked="0"/>
    </xf>
    <xf numFmtId="0" fontId="0" fillId="11" borderId="2" xfId="0" applyFill="1" applyBorder="1"/>
    <xf numFmtId="11" fontId="0" fillId="11" borderId="1" xfId="0" applyNumberFormat="1" applyFill="1" applyBorder="1" applyProtection="1">
      <protection locked="0"/>
    </xf>
    <xf numFmtId="11" fontId="0" fillId="11" borderId="0" xfId="0" applyNumberFormat="1" applyFill="1" applyBorder="1" applyProtection="1">
      <protection locked="0"/>
    </xf>
    <xf numFmtId="11" fontId="0" fillId="11" borderId="2" xfId="0" applyNumberFormat="1" applyFill="1" applyBorder="1" applyProtection="1">
      <protection locked="0"/>
    </xf>
    <xf numFmtId="166" fontId="0" fillId="11" borderId="1" xfId="0" applyNumberFormat="1" applyFill="1" applyBorder="1" applyProtection="1">
      <protection locked="0"/>
    </xf>
    <xf numFmtId="166" fontId="0" fillId="11" borderId="0" xfId="0" applyNumberFormat="1" applyFill="1" applyBorder="1" applyProtection="1">
      <protection locked="0"/>
    </xf>
    <xf numFmtId="166" fontId="0" fillId="11" borderId="2" xfId="0" applyNumberFormat="1" applyFill="1" applyBorder="1" applyProtection="1">
      <protection locked="0"/>
    </xf>
    <xf numFmtId="1" fontId="0" fillId="11" borderId="1" xfId="0" applyNumberFormat="1" applyFill="1" applyBorder="1" applyProtection="1">
      <protection locked="0"/>
    </xf>
    <xf numFmtId="1" fontId="0" fillId="11" borderId="0" xfId="0" applyNumberFormat="1" applyFill="1" applyBorder="1" applyProtection="1">
      <protection locked="0"/>
    </xf>
    <xf numFmtId="1" fontId="0" fillId="11" borderId="2" xfId="0" applyNumberFormat="1" applyFill="1" applyBorder="1" applyProtection="1">
      <protection locked="0"/>
    </xf>
    <xf numFmtId="2" fontId="0" fillId="11" borderId="1" xfId="0" applyNumberFormat="1" applyFill="1" applyBorder="1" applyProtection="1">
      <protection locked="0"/>
    </xf>
    <xf numFmtId="2" fontId="0" fillId="11" borderId="0" xfId="0" applyNumberFormat="1" applyFill="1" applyBorder="1" applyProtection="1">
      <protection locked="0"/>
    </xf>
    <xf numFmtId="2" fontId="0" fillId="11" borderId="2" xfId="0" applyNumberFormat="1" applyFill="1" applyBorder="1" applyProtection="1">
      <protection locked="0"/>
    </xf>
    <xf numFmtId="2" fontId="0" fillId="11" borderId="1" xfId="0" applyNumberFormat="1" applyFill="1" applyBorder="1"/>
    <xf numFmtId="0" fontId="0" fillId="0" borderId="0" xfId="0" applyAlignment="1">
      <alignment horizontal="center"/>
    </xf>
    <xf numFmtId="11" fontId="0" fillId="0" borderId="0" xfId="0" applyNumberFormat="1" applyAlignment="1">
      <alignment horizontal="center"/>
    </xf>
    <xf numFmtId="2" fontId="0" fillId="11" borderId="3" xfId="0" applyNumberFormat="1" applyFill="1" applyBorder="1"/>
    <xf numFmtId="0" fontId="4" fillId="11" borderId="0" xfId="0" applyFont="1" applyFill="1"/>
    <xf numFmtId="168" fontId="0" fillId="12" borderId="0" xfId="0" applyNumberFormat="1" applyFill="1"/>
    <xf numFmtId="0" fontId="0" fillId="12" borderId="0" xfId="0" applyFill="1"/>
    <xf numFmtId="0" fontId="6" fillId="12" borderId="0" xfId="0" applyFont="1" applyFill="1"/>
    <xf numFmtId="0" fontId="6" fillId="13" borderId="0" xfId="0" applyFont="1" applyFill="1"/>
    <xf numFmtId="0" fontId="0" fillId="13" borderId="0" xfId="0" applyFill="1"/>
    <xf numFmtId="11" fontId="0" fillId="13" borderId="0" xfId="0" applyNumberFormat="1" applyFill="1"/>
    <xf numFmtId="1" fontId="0" fillId="13" borderId="1" xfId="0" applyNumberFormat="1" applyFill="1" applyBorder="1" applyProtection="1">
      <protection locked="0"/>
    </xf>
    <xf numFmtId="1" fontId="0" fillId="13" borderId="0" xfId="0" applyNumberFormat="1" applyFill="1" applyBorder="1" applyProtection="1">
      <protection locked="0"/>
    </xf>
    <xf numFmtId="1" fontId="0" fillId="13" borderId="2" xfId="0" applyNumberFormat="1" applyFill="1" applyBorder="1" applyProtection="1">
      <protection locked="0"/>
    </xf>
    <xf numFmtId="169" fontId="0" fillId="13" borderId="0" xfId="0" applyNumberFormat="1" applyFill="1" applyBorder="1" applyProtection="1">
      <protection locked="0"/>
    </xf>
    <xf numFmtId="2" fontId="0" fillId="13" borderId="0" xfId="0" applyNumberFormat="1" applyFill="1"/>
    <xf numFmtId="0" fontId="6" fillId="11" borderId="0" xfId="0" applyFont="1" applyFill="1"/>
    <xf numFmtId="1" fontId="0" fillId="11" borderId="0" xfId="0" applyNumberFormat="1" applyFill="1" applyBorder="1"/>
    <xf numFmtId="170" fontId="0" fillId="0" borderId="0" xfId="0" applyNumberFormat="1"/>
    <xf numFmtId="0" fontId="1" fillId="0" borderId="0" xfId="1"/>
    <xf numFmtId="0" fontId="15" fillId="0" borderId="0" xfId="1" applyFont="1" applyAlignment="1">
      <alignment vertical="center"/>
    </xf>
    <xf numFmtId="2" fontId="16" fillId="0" borderId="6" xfId="2" applyNumberFormat="1" applyFont="1" applyFill="1" applyBorder="1" applyAlignment="1">
      <alignment horizontal="left" vertical="center" wrapText="1"/>
    </xf>
    <xf numFmtId="2" fontId="16" fillId="0" borderId="7" xfId="2" applyNumberFormat="1" applyFont="1" applyFill="1" applyBorder="1" applyAlignment="1">
      <alignment horizontal="left" vertical="center" wrapText="1"/>
    </xf>
    <xf numFmtId="0" fontId="16" fillId="0" borderId="7" xfId="2" applyNumberFormat="1" applyFont="1" applyFill="1" applyBorder="1" applyAlignment="1">
      <alignment horizontal="left" vertical="center" wrapText="1"/>
    </xf>
    <xf numFmtId="0" fontId="16" fillId="0" borderId="7" xfId="2" applyNumberFormat="1" applyFont="1" applyFill="1" applyBorder="1" applyAlignment="1">
      <alignment horizontal="left" vertical="center"/>
    </xf>
    <xf numFmtId="0" fontId="18" fillId="0" borderId="8" xfId="3" applyNumberFormat="1" applyFont="1" applyFill="1" applyBorder="1" applyAlignment="1">
      <alignment horizontal="left" vertical="center" wrapText="1"/>
    </xf>
    <xf numFmtId="165" fontId="16" fillId="0" borderId="6" xfId="2" applyNumberFormat="1" applyFont="1" applyFill="1" applyBorder="1" applyAlignment="1">
      <alignment horizontal="left" vertical="center" wrapText="1"/>
    </xf>
    <xf numFmtId="165" fontId="16" fillId="0" borderId="7" xfId="2" applyNumberFormat="1" applyFont="1" applyFill="1" applyBorder="1" applyAlignment="1">
      <alignment horizontal="left" vertical="center" wrapText="1"/>
    </xf>
    <xf numFmtId="167" fontId="16" fillId="0" borderId="6" xfId="2" applyNumberFormat="1" applyFont="1" applyFill="1" applyBorder="1" applyAlignment="1">
      <alignment horizontal="left" vertical="center" wrapText="1"/>
    </xf>
    <xf numFmtId="167" fontId="16" fillId="0" borderId="7" xfId="2" applyNumberFormat="1" applyFont="1" applyFill="1" applyBorder="1" applyAlignment="1">
      <alignment horizontal="left" vertical="center" wrapText="1"/>
    </xf>
    <xf numFmtId="2" fontId="16" fillId="0" borderId="6" xfId="2" quotePrefix="1" applyNumberFormat="1" applyFont="1" applyFill="1" applyBorder="1" applyAlignment="1">
      <alignment horizontal="left" vertical="center" wrapText="1"/>
    </xf>
    <xf numFmtId="2" fontId="16" fillId="0" borderId="7" xfId="2" quotePrefix="1" applyNumberFormat="1" applyFont="1" applyFill="1" applyBorder="1" applyAlignment="1">
      <alignment horizontal="left" vertical="center" wrapText="1"/>
    </xf>
    <xf numFmtId="0" fontId="16" fillId="0" borderId="9" xfId="2" applyNumberFormat="1" applyFont="1" applyFill="1" applyBorder="1" applyAlignment="1">
      <alignment horizontal="left" vertical="center" wrapText="1"/>
    </xf>
    <xf numFmtId="0" fontId="16" fillId="0" borderId="10" xfId="2" applyNumberFormat="1" applyFont="1" applyFill="1" applyBorder="1" applyAlignment="1">
      <alignment horizontal="left" vertical="center" wrapText="1"/>
    </xf>
    <xf numFmtId="0" fontId="16" fillId="0" borderId="10" xfId="2" applyNumberFormat="1" applyFont="1" applyFill="1" applyBorder="1" applyAlignment="1">
      <alignment horizontal="left" vertical="center"/>
    </xf>
    <xf numFmtId="0" fontId="18" fillId="0" borderId="11" xfId="3" applyNumberFormat="1" applyFont="1" applyFill="1" applyBorder="1" applyAlignment="1">
      <alignment horizontal="left" vertical="center" wrapText="1"/>
    </xf>
    <xf numFmtId="43" fontId="16" fillId="14" borderId="9" xfId="2" applyFont="1" applyFill="1" applyBorder="1" applyAlignment="1">
      <alignment vertical="center"/>
    </xf>
    <xf numFmtId="43" fontId="16" fillId="14" borderId="10" xfId="2" applyFont="1" applyFill="1" applyBorder="1" applyAlignment="1">
      <alignment vertical="center"/>
    </xf>
    <xf numFmtId="43" fontId="16" fillId="14" borderId="10" xfId="2" applyFont="1" applyFill="1" applyBorder="1" applyAlignment="1">
      <alignment horizontal="left" vertical="center"/>
    </xf>
    <xf numFmtId="43" fontId="16" fillId="14" borderId="11" xfId="2" applyFont="1" applyFill="1" applyBorder="1" applyAlignment="1">
      <alignment vertical="center"/>
    </xf>
    <xf numFmtId="0" fontId="16" fillId="0" borderId="6" xfId="2" applyNumberFormat="1" applyFont="1" applyFill="1" applyBorder="1" applyAlignment="1">
      <alignment horizontal="left" vertical="center" wrapText="1"/>
    </xf>
    <xf numFmtId="11" fontId="16" fillId="0" borderId="7" xfId="2" applyNumberFormat="1" applyFont="1" applyFill="1" applyBorder="1" applyAlignment="1">
      <alignment horizontal="left" vertical="center" wrapText="1"/>
    </xf>
    <xf numFmtId="0" fontId="18" fillId="0" borderId="7" xfId="3" applyNumberFormat="1" applyFont="1" applyFill="1" applyBorder="1" applyAlignment="1">
      <alignment horizontal="left" vertical="center" wrapText="1"/>
    </xf>
    <xf numFmtId="0" fontId="19" fillId="0" borderId="8" xfId="2" applyNumberFormat="1" applyFont="1" applyFill="1" applyBorder="1" applyAlignment="1">
      <alignment vertical="center"/>
    </xf>
    <xf numFmtId="11" fontId="16" fillId="0" borderId="10" xfId="2" applyNumberFormat="1" applyFont="1" applyFill="1" applyBorder="1" applyAlignment="1">
      <alignment horizontal="left" vertical="center" wrapText="1"/>
    </xf>
    <xf numFmtId="0" fontId="18" fillId="0" borderId="10" xfId="3" applyNumberFormat="1" applyFont="1" applyFill="1" applyBorder="1" applyAlignment="1">
      <alignment horizontal="left" vertical="center" wrapText="1"/>
    </xf>
    <xf numFmtId="0" fontId="19" fillId="0" borderId="11" xfId="2" applyNumberFormat="1" applyFont="1" applyFill="1" applyBorder="1" applyAlignment="1">
      <alignment vertical="center"/>
    </xf>
    <xf numFmtId="43" fontId="19" fillId="14" borderId="12" xfId="2" applyFont="1" applyFill="1" applyBorder="1" applyAlignment="1">
      <alignment vertical="center"/>
    </xf>
    <xf numFmtId="49" fontId="16" fillId="14" borderId="12" xfId="2" applyNumberFormat="1" applyFont="1" applyFill="1" applyBorder="1" applyAlignment="1">
      <alignment horizontal="left" vertical="center"/>
    </xf>
    <xf numFmtId="0" fontId="16" fillId="0" borderId="13" xfId="2" applyNumberFormat="1" applyFont="1" applyFill="1" applyBorder="1" applyAlignment="1">
      <alignment horizontal="left" vertical="center" wrapText="1"/>
    </xf>
    <xf numFmtId="1" fontId="16" fillId="0" borderId="14" xfId="2" applyNumberFormat="1" applyFont="1" applyFill="1" applyBorder="1" applyAlignment="1">
      <alignment horizontal="left" vertical="center" wrapText="1"/>
    </xf>
    <xf numFmtId="0" fontId="16" fillId="0" borderId="14" xfId="2" applyNumberFormat="1" applyFont="1" applyFill="1" applyBorder="1" applyAlignment="1">
      <alignment horizontal="left" vertical="center"/>
    </xf>
    <xf numFmtId="0" fontId="16" fillId="0" borderId="14" xfId="2" applyNumberFormat="1" applyFont="1" applyFill="1" applyBorder="1" applyAlignment="1">
      <alignment horizontal="left" vertical="center" wrapText="1"/>
    </xf>
    <xf numFmtId="0" fontId="18" fillId="0" borderId="14" xfId="3" applyNumberFormat="1" applyFont="1" applyFill="1" applyBorder="1" applyAlignment="1">
      <alignment horizontal="left" vertical="center" wrapText="1"/>
    </xf>
    <xf numFmtId="0" fontId="19" fillId="0" borderId="15" xfId="2" applyNumberFormat="1" applyFont="1" applyFill="1" applyBorder="1" applyAlignment="1">
      <alignment vertical="center"/>
    </xf>
    <xf numFmtId="1" fontId="16" fillId="0" borderId="7" xfId="2" applyNumberFormat="1" applyFont="1" applyFill="1" applyBorder="1" applyAlignment="1">
      <alignment horizontal="left" vertical="center" wrapText="1"/>
    </xf>
    <xf numFmtId="1" fontId="16" fillId="0" borderId="10" xfId="2" applyNumberFormat="1" applyFont="1" applyFill="1" applyBorder="1" applyAlignment="1">
      <alignment horizontal="left" vertical="center" wrapText="1"/>
    </xf>
    <xf numFmtId="2" fontId="16" fillId="0" borderId="14" xfId="2" applyNumberFormat="1" applyFont="1" applyFill="1" applyBorder="1" applyAlignment="1">
      <alignment horizontal="left" vertical="center" wrapText="1"/>
    </xf>
    <xf numFmtId="2" fontId="16" fillId="0" borderId="10" xfId="2" applyNumberFormat="1" applyFont="1" applyFill="1" applyBorder="1" applyAlignment="1">
      <alignment horizontal="left" vertical="center" wrapText="1"/>
    </xf>
    <xf numFmtId="11" fontId="16" fillId="0" borderId="14" xfId="2" applyNumberFormat="1" applyFont="1" applyFill="1" applyBorder="1" applyAlignment="1">
      <alignment horizontal="left" vertical="center" wrapText="1"/>
    </xf>
    <xf numFmtId="49" fontId="16" fillId="14" borderId="16" xfId="2" applyNumberFormat="1" applyFont="1" applyFill="1" applyBorder="1" applyAlignment="1">
      <alignment vertical="center"/>
    </xf>
    <xf numFmtId="9" fontId="16" fillId="14" borderId="17" xfId="2" applyNumberFormat="1" applyFont="1" applyFill="1" applyBorder="1" applyAlignment="1">
      <alignment vertical="center"/>
    </xf>
    <xf numFmtId="43" fontId="16" fillId="14" borderId="17" xfId="2" applyFont="1" applyFill="1" applyBorder="1" applyAlignment="1">
      <alignment vertical="center"/>
    </xf>
    <xf numFmtId="49" fontId="16" fillId="14" borderId="17" xfId="2" applyNumberFormat="1" applyFont="1" applyFill="1" applyBorder="1" applyAlignment="1">
      <alignment horizontal="left" vertical="center"/>
    </xf>
    <xf numFmtId="49" fontId="16" fillId="14" borderId="17" xfId="2" applyNumberFormat="1" applyFont="1" applyFill="1" applyBorder="1" applyAlignment="1">
      <alignment vertical="center"/>
    </xf>
    <xf numFmtId="43" fontId="19" fillId="14" borderId="18" xfId="2" applyFont="1" applyFill="1" applyBorder="1" applyAlignment="1">
      <alignment vertical="center"/>
    </xf>
    <xf numFmtId="0" fontId="20" fillId="15" borderId="0" xfId="1" applyFont="1" applyFill="1"/>
    <xf numFmtId="0" fontId="21" fillId="16" borderId="0" xfId="1" applyFont="1" applyFill="1"/>
    <xf numFmtId="0" fontId="22" fillId="16" borderId="0" xfId="1" applyFont="1" applyFill="1" applyAlignment="1">
      <alignment vertical="center"/>
    </xf>
    <xf numFmtId="0" fontId="23" fillId="16" borderId="0" xfId="1" applyFont="1" applyFill="1" applyAlignment="1">
      <alignment vertical="center"/>
    </xf>
    <xf numFmtId="0" fontId="24" fillId="15" borderId="0" xfId="1" applyFont="1" applyFill="1" applyAlignment="1">
      <alignment vertical="center"/>
    </xf>
    <xf numFmtId="0" fontId="25" fillId="15" borderId="0" xfId="1" applyFont="1" applyFill="1"/>
    <xf numFmtId="0" fontId="25" fillId="16" borderId="0" xfId="1" applyFont="1" applyFill="1"/>
    <xf numFmtId="0" fontId="26" fillId="16" borderId="0" xfId="1" quotePrefix="1" applyFont="1" applyFill="1" applyAlignment="1">
      <alignment vertical="center"/>
    </xf>
    <xf numFmtId="0" fontId="22" fillId="15" borderId="0" xfId="1" applyFont="1" applyFill="1" applyAlignment="1">
      <alignment vertical="center"/>
    </xf>
  </cellXfs>
  <cellStyles count="4">
    <cellStyle name="Comma 2" xfId="2" xr:uid="{33DA8074-3D63-482E-B11E-7B380A6C9D82}"/>
    <cellStyle name="Hyperlink" xfId="3" builtinId="8"/>
    <cellStyle name="Normal" xfId="0" builtinId="0"/>
    <cellStyle name="Normal 2" xfId="1" xr:uid="{6FEE1C4F-C889-4355-826A-9F7A9F00CCBF}"/>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389883980881497"/>
          <c:y val="3.4268017024487195E-2"/>
        </c:manualLayout>
      </c:layout>
      <c:overlay val="0"/>
      <c:spPr>
        <a:noFill/>
        <a:ln w="25400">
          <a:noFill/>
        </a:ln>
      </c:spPr>
      <c:txPr>
        <a:bodyPr/>
        <a:lstStyle/>
        <a:p>
          <a:pPr>
            <a:defRPr lang="en-GB"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822505372258639"/>
          <c:y val="0.22429974779664341"/>
          <c:w val="0.7622826817881786"/>
          <c:h val="0.5264813524671208"/>
        </c:manualLayout>
      </c:layout>
      <c:scatterChart>
        <c:scatterStyle val="lineMarker"/>
        <c:varyColors val="0"/>
        <c:ser>
          <c:idx val="0"/>
          <c:order val="0"/>
          <c:tx>
            <c:v>Total CO2 emissions</c:v>
          </c:tx>
          <c:spPr>
            <a:ln w="25400">
              <a:solidFill>
                <a:srgbClr val="000080"/>
              </a:solidFill>
              <a:prstDash val="solid"/>
            </a:ln>
          </c:spPr>
          <c:marker>
            <c:symbol val="none"/>
          </c:marker>
          <c:xVal>
            <c:numRef>
              <c:f>'Emissions A'!$B$3:$L$3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A'!$B$12:$L$12</c:f>
              <c:numCache>
                <c:formatCode>0.00E+00</c:formatCode>
                <c:ptCount val="11"/>
                <c:pt idx="0">
                  <c:v>29142.452565172985</c:v>
                </c:pt>
                <c:pt idx="1">
                  <c:v>33353.510438424404</c:v>
                </c:pt>
                <c:pt idx="2">
                  <c:v>35010.949524938645</c:v>
                </c:pt>
                <c:pt idx="3">
                  <c:v>33322.891156174388</c:v>
                </c:pt>
                <c:pt idx="4">
                  <c:v>28648.496300069146</c:v>
                </c:pt>
                <c:pt idx="5">
                  <c:v>20488.917511180502</c:v>
                </c:pt>
                <c:pt idx="6">
                  <c:v>16511.381940408126</c:v>
                </c:pt>
                <c:pt idx="7">
                  <c:v>10860.832622543834</c:v>
                </c:pt>
                <c:pt idx="8">
                  <c:v>10764.615372716919</c:v>
                </c:pt>
                <c:pt idx="9">
                  <c:v>14249.183600279175</c:v>
                </c:pt>
                <c:pt idx="10">
                  <c:v>7448.1721827234451</c:v>
                </c:pt>
              </c:numCache>
            </c:numRef>
          </c:yVal>
          <c:smooth val="0"/>
          <c:extLst>
            <c:ext xmlns:c16="http://schemas.microsoft.com/office/drawing/2014/chart" uri="{C3380CC4-5D6E-409C-BE32-E72D297353CC}">
              <c16:uniqueId val="{00000000-9BE5-4EDB-98AA-A720780E6786}"/>
            </c:ext>
          </c:extLst>
        </c:ser>
        <c:dLbls>
          <c:showLegendKey val="0"/>
          <c:showVal val="0"/>
          <c:showCatName val="0"/>
          <c:showSerName val="0"/>
          <c:showPercent val="0"/>
          <c:showBubbleSize val="0"/>
        </c:dLbls>
        <c:axId val="116269824"/>
        <c:axId val="116272128"/>
      </c:scatterChart>
      <c:valAx>
        <c:axId val="116269824"/>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1125268612931953"/>
              <c:y val="0.8691615227119923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6272128"/>
        <c:crosses val="autoZero"/>
        <c:crossBetween val="midCat"/>
        <c:minorUnit val="10"/>
      </c:valAx>
      <c:valAx>
        <c:axId val="116272128"/>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9239364011245192E-2"/>
              <c:y val="9.3458228248601366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6269824"/>
        <c:crosses val="autoZero"/>
        <c:crossBetween val="midCat"/>
        <c:majorUnit val="500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597209773046844"/>
          <c:y val="3.4161542485840656E-2"/>
        </c:manualLayout>
      </c:layout>
      <c:overlay val="0"/>
      <c:spPr>
        <a:noFill/>
        <a:ln w="25400">
          <a:noFill/>
        </a:ln>
      </c:spPr>
      <c:txPr>
        <a:bodyPr/>
        <a:lstStyle/>
        <a:p>
          <a:pPr>
            <a:defRPr lang="en-GB"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5323878301303603"/>
          <c:y val="0.22670841831512789"/>
          <c:w val="0.79147041535596752"/>
          <c:h val="0.5248455163734036"/>
        </c:manualLayout>
      </c:layout>
      <c:scatterChart>
        <c:scatterStyle val="lineMarker"/>
        <c:varyColors val="0"/>
        <c:ser>
          <c:idx val="0"/>
          <c:order val="0"/>
          <c:tx>
            <c:v>Total CH4 emissions</c:v>
          </c:tx>
          <c:spPr>
            <a:ln w="25400">
              <a:solidFill>
                <a:srgbClr val="000080"/>
              </a:solidFill>
              <a:prstDash val="solid"/>
            </a:ln>
          </c:spPr>
          <c:marker>
            <c:symbol val="none"/>
          </c:marker>
          <c:xVal>
            <c:numRef>
              <c:f>'Emissions A'!$B$3:$L$3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A'!$B$43:$L$43</c:f>
              <c:numCache>
                <c:formatCode>0.00E+00</c:formatCode>
                <c:ptCount val="11"/>
                <c:pt idx="0">
                  <c:v>8.0000000000000002E-3</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7A5D-4993-9FD3-34FA7904BF4F}"/>
            </c:ext>
          </c:extLst>
        </c:ser>
        <c:dLbls>
          <c:showLegendKey val="0"/>
          <c:showVal val="0"/>
          <c:showCatName val="0"/>
          <c:showSerName val="0"/>
          <c:showPercent val="0"/>
          <c:showBubbleSize val="0"/>
        </c:dLbls>
        <c:axId val="116267648"/>
        <c:axId val="116314880"/>
      </c:scatterChart>
      <c:valAx>
        <c:axId val="116267648"/>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0995401046915503"/>
              <c:y val="0.869566536003214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6314880"/>
        <c:crosses val="autoZero"/>
        <c:crossBetween val="midCat"/>
        <c:minorUnit val="10"/>
      </c:valAx>
      <c:valAx>
        <c:axId val="116314880"/>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8989063408779203E-2"/>
              <c:y val="9.627343791464163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6267648"/>
        <c:crosses val="autoZero"/>
        <c:crossBetween val="midCat"/>
        <c:majorUnit val="5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GB" sz="1400" b="1" i="0" u="none" strike="noStrike" baseline="0">
                <a:solidFill>
                  <a:srgbClr val="000000"/>
                </a:solidFill>
                <a:latin typeface="Arial"/>
                <a:ea typeface="Arial"/>
                <a:cs typeface="Arial"/>
              </a:defRPr>
            </a:pPr>
            <a:r>
              <a:rPr lang="en-GB"/>
              <a:t>Total linear gas emissions</a:t>
            </a:r>
          </a:p>
        </c:rich>
      </c:tx>
      <c:layout>
        <c:manualLayout>
          <c:xMode val="edge"/>
          <c:yMode val="edge"/>
          <c:x val="0.34700342182218386"/>
          <c:y val="3.4055727554180001E-2"/>
        </c:manualLayout>
      </c:layout>
      <c:overlay val="0"/>
      <c:spPr>
        <a:noFill/>
        <a:ln w="25400">
          <a:noFill/>
        </a:ln>
      </c:spPr>
    </c:title>
    <c:autoTitleDeleted val="0"/>
    <c:plotArea>
      <c:layout>
        <c:manualLayout>
          <c:layoutTarget val="inner"/>
          <c:xMode val="edge"/>
          <c:yMode val="edge"/>
          <c:x val="0.19085188200220121"/>
          <c:y val="0.22600619195046875"/>
          <c:w val="0.75394379832274494"/>
          <c:h val="0.52631578947368418"/>
        </c:manualLayout>
      </c:layout>
      <c:scatterChart>
        <c:scatterStyle val="lineMarker"/>
        <c:varyColors val="0"/>
        <c:ser>
          <c:idx val="0"/>
          <c:order val="0"/>
          <c:tx>
            <c:v>Total SF6 emissions</c:v>
          </c:tx>
          <c:spPr>
            <a:ln w="25400">
              <a:solidFill>
                <a:srgbClr val="000080"/>
              </a:solidFill>
              <a:prstDash val="solid"/>
            </a:ln>
          </c:spPr>
          <c:marker>
            <c:symbol val="none"/>
          </c:marker>
          <c:xVal>
            <c:numRef>
              <c:f>'Emissions A'!$B$3:$L$3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A'!$B$105:$L$105</c:f>
              <c:numCache>
                <c:formatCode>0.00E+00</c:formatCode>
                <c:ptCount val="11"/>
                <c:pt idx="0">
                  <c:v>8.0000000000000002E-3</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02A1-4B63-9E1A-7785DA46749B}"/>
            </c:ext>
          </c:extLst>
        </c:ser>
        <c:dLbls>
          <c:showLegendKey val="0"/>
          <c:showVal val="0"/>
          <c:showCatName val="0"/>
          <c:showSerName val="0"/>
          <c:showPercent val="0"/>
          <c:showBubbleSize val="0"/>
        </c:dLbls>
        <c:axId val="115900800"/>
        <c:axId val="115902720"/>
      </c:scatterChart>
      <c:valAx>
        <c:axId val="115900800"/>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1167262642375535"/>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5902720"/>
        <c:crosses val="autoZero"/>
        <c:crossBetween val="midCat"/>
        <c:minorUnit val="10"/>
      </c:valAx>
      <c:valAx>
        <c:axId val="115902720"/>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8864414050499057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5900800"/>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paperSize="9" orientation="landscape" horizontalDpi="360" verticalDpi="360"/>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GB" sz="1400" b="1" i="0" u="none" strike="noStrike" baseline="0">
                <a:solidFill>
                  <a:srgbClr val="000000"/>
                </a:solidFill>
                <a:latin typeface="Arial"/>
                <a:ea typeface="Arial"/>
                <a:cs typeface="Arial"/>
              </a:defRPr>
            </a:pPr>
            <a:r>
              <a:rPr lang="en-GB"/>
              <a:t>Total N2O emissions</a:t>
            </a:r>
          </a:p>
        </c:rich>
      </c:tx>
      <c:layout>
        <c:manualLayout>
          <c:xMode val="edge"/>
          <c:yMode val="edge"/>
          <c:x val="0.34700348576301782"/>
          <c:y val="3.4055727554180001E-2"/>
        </c:manualLayout>
      </c:layout>
      <c:overlay val="0"/>
      <c:spPr>
        <a:noFill/>
        <a:ln w="25400">
          <a:noFill/>
        </a:ln>
      </c:spPr>
    </c:title>
    <c:autoTitleDeleted val="0"/>
    <c:plotArea>
      <c:layout>
        <c:manualLayout>
          <c:layoutTarget val="inner"/>
          <c:xMode val="edge"/>
          <c:yMode val="edge"/>
          <c:x val="0.19085188200220121"/>
          <c:y val="0.22600619195046862"/>
          <c:w val="0.75394379832274494"/>
          <c:h val="0.52631578947368418"/>
        </c:manualLayout>
      </c:layout>
      <c:scatterChart>
        <c:scatterStyle val="lineMarker"/>
        <c:varyColors val="0"/>
        <c:ser>
          <c:idx val="0"/>
          <c:order val="0"/>
          <c:spPr>
            <a:ln w="25400">
              <a:solidFill>
                <a:srgbClr val="000080"/>
              </a:solidFill>
              <a:prstDash val="solid"/>
            </a:ln>
          </c:spPr>
          <c:marker>
            <c:symbol val="none"/>
          </c:marker>
          <c:xVal>
            <c:numRef>
              <c:f>'Emissions A'!$B$3:$L$3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A'!$B$74:$L$74</c:f>
              <c:numCache>
                <c:formatCode>0.00E+00</c:formatCode>
                <c:ptCount val="11"/>
                <c:pt idx="0">
                  <c:v>8.0000000000000002E-3</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9C05-470E-B6C3-6EE56A8FB728}"/>
            </c:ext>
          </c:extLst>
        </c:ser>
        <c:dLbls>
          <c:showLegendKey val="0"/>
          <c:showVal val="0"/>
          <c:showCatName val="0"/>
          <c:showSerName val="0"/>
          <c:showPercent val="0"/>
          <c:showBubbleSize val="0"/>
        </c:dLbls>
        <c:axId val="115922816"/>
        <c:axId val="116604928"/>
      </c:scatterChart>
      <c:valAx>
        <c:axId val="115922816"/>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1167258666799145"/>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6604928"/>
        <c:crosses val="autoZero"/>
        <c:crossBetween val="midCat"/>
        <c:minorUnit val="10"/>
      </c:valAx>
      <c:valAx>
        <c:axId val="116604928"/>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8864353312302835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592281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32" r="0.75000000000001432" t="1" header="0.5" footer="0.5"/>
    <c:pageSetup paperSize="9" orientation="landscape" horizontalDpi="360" verticalDpi="36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389883980881514"/>
          <c:y val="3.4268017024487195E-2"/>
        </c:manualLayout>
      </c:layout>
      <c:overlay val="0"/>
      <c:spPr>
        <a:noFill/>
        <a:ln w="25400">
          <a:noFill/>
        </a:ln>
      </c:spPr>
      <c:txPr>
        <a:bodyPr/>
        <a:lstStyle/>
        <a:p>
          <a:pPr>
            <a:defRPr lang="en-GB"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822505372258639"/>
          <c:y val="0.22429974779664341"/>
          <c:w val="0.7622826817881786"/>
          <c:h val="0.5264813524671208"/>
        </c:manualLayout>
      </c:layout>
      <c:scatterChart>
        <c:scatterStyle val="lineMarker"/>
        <c:varyColors val="0"/>
        <c:ser>
          <c:idx val="0"/>
          <c:order val="0"/>
          <c:tx>
            <c:v>Total CO2 emissions</c:v>
          </c:tx>
          <c:spPr>
            <a:ln w="25400">
              <a:solidFill>
                <a:srgbClr val="000080"/>
              </a:solidFill>
              <a:prstDash val="solid"/>
            </a:ln>
          </c:spPr>
          <c:marker>
            <c:symbol val="none"/>
          </c:marker>
          <c:xVal>
            <c:numRef>
              <c:f>'Emissions B'!$B$3:$L$3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B'!$B$12:$L$12</c:f>
              <c:numCache>
                <c:formatCode>0.00E+00</c:formatCode>
                <c:ptCount val="11"/>
                <c:pt idx="0">
                  <c:v>29142.452565172985</c:v>
                </c:pt>
                <c:pt idx="1">
                  <c:v>33353.510438424404</c:v>
                </c:pt>
                <c:pt idx="2">
                  <c:v>35010.949524938645</c:v>
                </c:pt>
                <c:pt idx="3">
                  <c:v>33322.891156174388</c:v>
                </c:pt>
                <c:pt idx="4">
                  <c:v>28648.496300069146</c:v>
                </c:pt>
                <c:pt idx="5">
                  <c:v>20488.917511180502</c:v>
                </c:pt>
                <c:pt idx="6">
                  <c:v>16511.381940408126</c:v>
                </c:pt>
                <c:pt idx="7">
                  <c:v>10860.832622543834</c:v>
                </c:pt>
                <c:pt idx="8">
                  <c:v>10764.615372716919</c:v>
                </c:pt>
                <c:pt idx="9">
                  <c:v>14249.183600279175</c:v>
                </c:pt>
                <c:pt idx="10">
                  <c:v>7448.1721827234451</c:v>
                </c:pt>
              </c:numCache>
            </c:numRef>
          </c:yVal>
          <c:smooth val="0"/>
          <c:extLst>
            <c:ext xmlns:c16="http://schemas.microsoft.com/office/drawing/2014/chart" uri="{C3380CC4-5D6E-409C-BE32-E72D297353CC}">
              <c16:uniqueId val="{00000000-0ED3-4C45-85CE-D6F27BC56C3F}"/>
            </c:ext>
          </c:extLst>
        </c:ser>
        <c:dLbls>
          <c:showLegendKey val="0"/>
          <c:showVal val="0"/>
          <c:showCatName val="0"/>
          <c:showSerName val="0"/>
          <c:showPercent val="0"/>
          <c:showBubbleSize val="0"/>
        </c:dLbls>
        <c:axId val="116674560"/>
        <c:axId val="116676480"/>
      </c:scatterChart>
      <c:valAx>
        <c:axId val="116674560"/>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1125268612931953"/>
              <c:y val="0.8691615227119923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6676480"/>
        <c:crosses val="autoZero"/>
        <c:crossBetween val="midCat"/>
        <c:minorUnit val="10"/>
      </c:valAx>
      <c:valAx>
        <c:axId val="116676480"/>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9239364011245192E-2"/>
              <c:y val="9.3458228248601366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6674560"/>
        <c:crosses val="autoZero"/>
        <c:crossBetween val="midCat"/>
        <c:majorUnit val="500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597209773046866"/>
          <c:y val="3.4161542485840656E-2"/>
        </c:manualLayout>
      </c:layout>
      <c:overlay val="0"/>
      <c:spPr>
        <a:noFill/>
        <a:ln w="25400">
          <a:noFill/>
        </a:ln>
      </c:spPr>
      <c:txPr>
        <a:bodyPr/>
        <a:lstStyle/>
        <a:p>
          <a:pPr>
            <a:defRPr lang="en-GB"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5323878301303609"/>
          <c:y val="0.22670841831512795"/>
          <c:w val="0.79147041535596752"/>
          <c:h val="0.52484551637340404"/>
        </c:manualLayout>
      </c:layout>
      <c:scatterChart>
        <c:scatterStyle val="lineMarker"/>
        <c:varyColors val="0"/>
        <c:ser>
          <c:idx val="0"/>
          <c:order val="0"/>
          <c:tx>
            <c:v>Total CH4 emissions</c:v>
          </c:tx>
          <c:spPr>
            <a:ln w="25400">
              <a:solidFill>
                <a:srgbClr val="000080"/>
              </a:solidFill>
              <a:prstDash val="solid"/>
            </a:ln>
          </c:spPr>
          <c:marker>
            <c:symbol val="none"/>
          </c:marker>
          <c:xVal>
            <c:numRef>
              <c:f>'Emissions B'!$B$3:$L$3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B'!$B$43:$L$43</c:f>
              <c:numCache>
                <c:formatCode>0.00E+00</c:formatCode>
                <c:ptCount val="11"/>
                <c:pt idx="0">
                  <c:v>8.0000000000000002E-3</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1231-4BFE-AE2B-9F1A260868A8}"/>
            </c:ext>
          </c:extLst>
        </c:ser>
        <c:dLbls>
          <c:showLegendKey val="0"/>
          <c:showVal val="0"/>
          <c:showCatName val="0"/>
          <c:showSerName val="0"/>
          <c:showPercent val="0"/>
          <c:showBubbleSize val="0"/>
        </c:dLbls>
        <c:axId val="116712960"/>
        <c:axId val="116714880"/>
      </c:scatterChart>
      <c:valAx>
        <c:axId val="116712960"/>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0995401046915525"/>
              <c:y val="0.869566536003214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6714880"/>
        <c:crosses val="autoZero"/>
        <c:crossBetween val="midCat"/>
        <c:minorUnit val="10"/>
      </c:valAx>
      <c:valAx>
        <c:axId val="116714880"/>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8989063408779203E-2"/>
              <c:y val="9.627343791464163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6712960"/>
        <c:crosses val="autoZero"/>
        <c:crossBetween val="midCat"/>
        <c:majorUnit val="5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GB" sz="1400" b="1" i="0" u="none" strike="noStrike" baseline="0">
                <a:solidFill>
                  <a:srgbClr val="000000"/>
                </a:solidFill>
                <a:latin typeface="Arial"/>
                <a:ea typeface="Arial"/>
                <a:cs typeface="Arial"/>
              </a:defRPr>
            </a:pPr>
            <a:r>
              <a:rPr lang="en-GB"/>
              <a:t>Total linear gas emissions</a:t>
            </a:r>
          </a:p>
        </c:rich>
      </c:tx>
      <c:layout>
        <c:manualLayout>
          <c:xMode val="edge"/>
          <c:yMode val="edge"/>
          <c:x val="0.34700342182218386"/>
          <c:y val="3.4055727554180001E-2"/>
        </c:manualLayout>
      </c:layout>
      <c:overlay val="0"/>
      <c:spPr>
        <a:noFill/>
        <a:ln w="25400">
          <a:noFill/>
        </a:ln>
      </c:spPr>
    </c:title>
    <c:autoTitleDeleted val="0"/>
    <c:plotArea>
      <c:layout>
        <c:manualLayout>
          <c:layoutTarget val="inner"/>
          <c:xMode val="edge"/>
          <c:yMode val="edge"/>
          <c:x val="0.19085188200220121"/>
          <c:y val="0.22600619195046881"/>
          <c:w val="0.75394379832274494"/>
          <c:h val="0.52631578947368418"/>
        </c:manualLayout>
      </c:layout>
      <c:scatterChart>
        <c:scatterStyle val="lineMarker"/>
        <c:varyColors val="0"/>
        <c:ser>
          <c:idx val="0"/>
          <c:order val="0"/>
          <c:tx>
            <c:v>Total SF6 emissions</c:v>
          </c:tx>
          <c:spPr>
            <a:ln w="25400">
              <a:solidFill>
                <a:srgbClr val="000080"/>
              </a:solidFill>
              <a:prstDash val="solid"/>
            </a:ln>
          </c:spPr>
          <c:marker>
            <c:symbol val="none"/>
          </c:marker>
          <c:xVal>
            <c:numRef>
              <c:f>'Emissions B'!$B$3:$L$3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B'!$B$105:$L$105</c:f>
              <c:numCache>
                <c:formatCode>0.00E+00</c:formatCode>
                <c:ptCount val="11"/>
                <c:pt idx="0">
                  <c:v>8.0000000000000002E-3</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AB9D-4562-897D-18E922AA0DB1}"/>
            </c:ext>
          </c:extLst>
        </c:ser>
        <c:dLbls>
          <c:showLegendKey val="0"/>
          <c:showVal val="0"/>
          <c:showCatName val="0"/>
          <c:showSerName val="0"/>
          <c:showPercent val="0"/>
          <c:showBubbleSize val="0"/>
        </c:dLbls>
        <c:axId val="116472832"/>
        <c:axId val="116495488"/>
      </c:scatterChart>
      <c:valAx>
        <c:axId val="116472832"/>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1167262642375568"/>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6495488"/>
        <c:crosses val="autoZero"/>
        <c:crossBetween val="midCat"/>
        <c:minorUnit val="10"/>
      </c:valAx>
      <c:valAx>
        <c:axId val="116495488"/>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8864414050499099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647283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paperSize="9" orientation="landscape" horizontalDpi="360" verticalDpi="360"/>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GB" sz="1400" b="1" i="0" u="none" strike="noStrike" baseline="0">
                <a:solidFill>
                  <a:srgbClr val="000000"/>
                </a:solidFill>
                <a:latin typeface="Arial"/>
                <a:ea typeface="Arial"/>
                <a:cs typeface="Arial"/>
              </a:defRPr>
            </a:pPr>
            <a:r>
              <a:rPr lang="en-GB"/>
              <a:t>Total N2O emissions</a:t>
            </a:r>
          </a:p>
        </c:rich>
      </c:tx>
      <c:layout>
        <c:manualLayout>
          <c:xMode val="edge"/>
          <c:yMode val="edge"/>
          <c:x val="0.34700348576301782"/>
          <c:y val="3.4055727554180001E-2"/>
        </c:manualLayout>
      </c:layout>
      <c:overlay val="0"/>
      <c:spPr>
        <a:noFill/>
        <a:ln w="25400">
          <a:noFill/>
        </a:ln>
      </c:spPr>
    </c:title>
    <c:autoTitleDeleted val="0"/>
    <c:plotArea>
      <c:layout>
        <c:manualLayout>
          <c:layoutTarget val="inner"/>
          <c:xMode val="edge"/>
          <c:yMode val="edge"/>
          <c:x val="0.19085188200220121"/>
          <c:y val="0.22600619195046873"/>
          <c:w val="0.75394379832274494"/>
          <c:h val="0.52631578947368418"/>
        </c:manualLayout>
      </c:layout>
      <c:scatterChart>
        <c:scatterStyle val="lineMarker"/>
        <c:varyColors val="0"/>
        <c:ser>
          <c:idx val="0"/>
          <c:order val="0"/>
          <c:spPr>
            <a:ln w="25400">
              <a:solidFill>
                <a:srgbClr val="000080"/>
              </a:solidFill>
              <a:prstDash val="solid"/>
            </a:ln>
          </c:spPr>
          <c:marker>
            <c:symbol val="none"/>
          </c:marker>
          <c:xVal>
            <c:numRef>
              <c:f>'Emissions B'!$B$3:$L$3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B'!$B$74:$L$74</c:f>
              <c:numCache>
                <c:formatCode>0.00E+00</c:formatCode>
                <c:ptCount val="11"/>
                <c:pt idx="0">
                  <c:v>8.0000000000000002E-3</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5DDE-479A-A85B-08FEC9C7B8F8}"/>
            </c:ext>
          </c:extLst>
        </c:ser>
        <c:dLbls>
          <c:showLegendKey val="0"/>
          <c:showVal val="0"/>
          <c:showCatName val="0"/>
          <c:showSerName val="0"/>
          <c:showPercent val="0"/>
          <c:showBubbleSize val="0"/>
        </c:dLbls>
        <c:axId val="116793728"/>
        <c:axId val="116795648"/>
      </c:scatterChart>
      <c:valAx>
        <c:axId val="116793728"/>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1167258666799145"/>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6795648"/>
        <c:crosses val="autoZero"/>
        <c:crossBetween val="midCat"/>
        <c:minorUnit val="10"/>
      </c:valAx>
      <c:valAx>
        <c:axId val="116795648"/>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8864353312302835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67937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54" r="0.75000000000001454" t="1" header="0.5" footer="0.5"/>
    <c:pageSetup paperSize="9" orientation="landscape" horizontalDpi="360" verticalDpi="36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389883980881536"/>
          <c:y val="3.4268017024487195E-2"/>
        </c:manualLayout>
      </c:layout>
      <c:overlay val="0"/>
      <c:spPr>
        <a:noFill/>
        <a:ln w="25400">
          <a:noFill/>
        </a:ln>
      </c:spPr>
      <c:txPr>
        <a:bodyPr/>
        <a:lstStyle/>
        <a:p>
          <a:pPr>
            <a:defRPr lang="en-GB"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822505372258639"/>
          <c:y val="0.22429974779664341"/>
          <c:w val="0.7622826817881786"/>
          <c:h val="0.5264813524671208"/>
        </c:manualLayout>
      </c:layout>
      <c:scatterChart>
        <c:scatterStyle val="lineMarker"/>
        <c:varyColors val="0"/>
        <c:ser>
          <c:idx val="0"/>
          <c:order val="0"/>
          <c:tx>
            <c:v>Total CO2 emissions</c:v>
          </c:tx>
          <c:spPr>
            <a:ln w="25400">
              <a:solidFill>
                <a:srgbClr val="000080"/>
              </a:solidFill>
              <a:prstDash val="solid"/>
            </a:ln>
          </c:spPr>
          <c:marker>
            <c:symbol val="none"/>
          </c:marker>
          <c:xVal>
            <c:numRef>
              <c:f>'Emissions A-B'!$B$3:$L$3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A-B'!$B$12:$L$12</c:f>
              <c:numCache>
                <c:formatCode>0.0E+00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2FBD-44FA-B2A5-5E40E5A35E7A}"/>
            </c:ext>
          </c:extLst>
        </c:ser>
        <c:dLbls>
          <c:showLegendKey val="0"/>
          <c:showVal val="0"/>
          <c:showCatName val="0"/>
          <c:showSerName val="0"/>
          <c:showPercent val="0"/>
          <c:showBubbleSize val="0"/>
        </c:dLbls>
        <c:axId val="116721920"/>
        <c:axId val="116740480"/>
      </c:scatterChart>
      <c:valAx>
        <c:axId val="116721920"/>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1125268612931953"/>
              <c:y val="0.86916152271199232"/>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6740480"/>
        <c:crosses val="autoZero"/>
        <c:crossBetween val="midCat"/>
        <c:minorUnit val="10"/>
      </c:valAx>
      <c:valAx>
        <c:axId val="116740480"/>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9239364011245192E-2"/>
              <c:y val="9.3458228248601366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6721920"/>
        <c:crosses val="autoZero"/>
        <c:crossBetween val="midCat"/>
        <c:majorUnit val="500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34597209773046889"/>
          <c:y val="3.4161542485840656E-2"/>
        </c:manualLayout>
      </c:layout>
      <c:overlay val="0"/>
      <c:spPr>
        <a:noFill/>
        <a:ln w="25400">
          <a:noFill/>
        </a:ln>
      </c:spPr>
      <c:txPr>
        <a:bodyPr/>
        <a:lstStyle/>
        <a:p>
          <a:pPr>
            <a:defRPr lang="en-GB" sz="14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5323878301303617"/>
          <c:y val="0.226708418315128"/>
          <c:w val="0.79147041535596752"/>
          <c:h val="0.5248455163734046"/>
        </c:manualLayout>
      </c:layout>
      <c:scatterChart>
        <c:scatterStyle val="lineMarker"/>
        <c:varyColors val="0"/>
        <c:ser>
          <c:idx val="0"/>
          <c:order val="0"/>
          <c:tx>
            <c:v>Total CH4 emissions</c:v>
          </c:tx>
          <c:spPr>
            <a:ln w="25400">
              <a:solidFill>
                <a:srgbClr val="000080"/>
              </a:solidFill>
              <a:prstDash val="solid"/>
            </a:ln>
          </c:spPr>
          <c:marker>
            <c:symbol val="none"/>
          </c:marker>
          <c:xVal>
            <c:numRef>
              <c:f>'Emissions A-B'!$B$3:$L$3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A-B'!$B$43:$L$43</c:f>
              <c:numCache>
                <c:formatCode>0.0E+00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B6A5-4CE1-A0E6-858497FED7D4}"/>
            </c:ext>
          </c:extLst>
        </c:ser>
        <c:dLbls>
          <c:showLegendKey val="0"/>
          <c:showVal val="0"/>
          <c:showCatName val="0"/>
          <c:showSerName val="0"/>
          <c:showPercent val="0"/>
          <c:showBubbleSize val="0"/>
        </c:dLbls>
        <c:axId val="116781056"/>
        <c:axId val="116782976"/>
      </c:scatterChart>
      <c:valAx>
        <c:axId val="116781056"/>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0995401046915558"/>
              <c:y val="0.869566536003214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6782976"/>
        <c:crosses val="autoZero"/>
        <c:crossBetween val="midCat"/>
        <c:minorUnit val="10"/>
      </c:valAx>
      <c:valAx>
        <c:axId val="116782976"/>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8989063408779203E-2"/>
              <c:y val="9.627343791464163E-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6781056"/>
        <c:crosses val="autoZero"/>
        <c:crossBetween val="midCat"/>
        <c:majorUnit val="500"/>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GB" sz="1400" b="1" i="0" u="none" strike="noStrike" baseline="0">
                <a:solidFill>
                  <a:srgbClr val="000000"/>
                </a:solidFill>
                <a:latin typeface="Arial"/>
                <a:ea typeface="Arial"/>
                <a:cs typeface="Arial"/>
              </a:defRPr>
            </a:pPr>
            <a:r>
              <a:rPr lang="en-GB"/>
              <a:t>Total linear gas emissions</a:t>
            </a:r>
          </a:p>
        </c:rich>
      </c:tx>
      <c:layout>
        <c:manualLayout>
          <c:xMode val="edge"/>
          <c:yMode val="edge"/>
          <c:x val="0.34700342182218386"/>
          <c:y val="3.4055727554180001E-2"/>
        </c:manualLayout>
      </c:layout>
      <c:overlay val="0"/>
      <c:spPr>
        <a:noFill/>
        <a:ln w="25400">
          <a:noFill/>
        </a:ln>
      </c:spPr>
    </c:title>
    <c:autoTitleDeleted val="0"/>
    <c:plotArea>
      <c:layout>
        <c:manualLayout>
          <c:layoutTarget val="inner"/>
          <c:xMode val="edge"/>
          <c:yMode val="edge"/>
          <c:x val="0.19085188200220121"/>
          <c:y val="0.22600619195046887"/>
          <c:w val="0.75394379832274494"/>
          <c:h val="0.52631578947368418"/>
        </c:manualLayout>
      </c:layout>
      <c:scatterChart>
        <c:scatterStyle val="lineMarker"/>
        <c:varyColors val="0"/>
        <c:ser>
          <c:idx val="0"/>
          <c:order val="0"/>
          <c:tx>
            <c:v>Total SF6 emissions</c:v>
          </c:tx>
          <c:spPr>
            <a:ln w="25400">
              <a:solidFill>
                <a:srgbClr val="000080"/>
              </a:solidFill>
              <a:prstDash val="solid"/>
            </a:ln>
          </c:spPr>
          <c:marker>
            <c:symbol val="none"/>
          </c:marker>
          <c:xVal>
            <c:numRef>
              <c:f>'Emissions A-B'!$B$3:$L$3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A-B'!$B$105:$L$105</c:f>
              <c:numCache>
                <c:formatCode>0.0E+00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AFF4-4FAF-90AE-56F3C0706358}"/>
            </c:ext>
          </c:extLst>
        </c:ser>
        <c:dLbls>
          <c:showLegendKey val="0"/>
          <c:showVal val="0"/>
          <c:showCatName val="0"/>
          <c:showSerName val="0"/>
          <c:showPercent val="0"/>
          <c:showBubbleSize val="0"/>
        </c:dLbls>
        <c:axId val="116950528"/>
        <c:axId val="116952448"/>
      </c:scatterChart>
      <c:valAx>
        <c:axId val="116950528"/>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1167262642375591"/>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6952448"/>
        <c:crosses val="autoZero"/>
        <c:crossBetween val="midCat"/>
        <c:minorUnit val="10"/>
      </c:valAx>
      <c:valAx>
        <c:axId val="116952448"/>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8864414050499126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6950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paperSize="9" orientation="landscape" horizontalDpi="360" verticalDpi="360"/>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GB" sz="1400" b="1" i="0" u="none" strike="noStrike" baseline="0">
                <a:solidFill>
                  <a:srgbClr val="000000"/>
                </a:solidFill>
                <a:latin typeface="Arial"/>
                <a:ea typeface="Arial"/>
                <a:cs typeface="Arial"/>
              </a:defRPr>
            </a:pPr>
            <a:r>
              <a:rPr lang="en-GB"/>
              <a:t>Total N2O emissions</a:t>
            </a:r>
          </a:p>
        </c:rich>
      </c:tx>
      <c:layout>
        <c:manualLayout>
          <c:xMode val="edge"/>
          <c:yMode val="edge"/>
          <c:x val="0.34700348576301782"/>
          <c:y val="3.4055727554180001E-2"/>
        </c:manualLayout>
      </c:layout>
      <c:overlay val="0"/>
      <c:spPr>
        <a:noFill/>
        <a:ln w="25400">
          <a:noFill/>
        </a:ln>
      </c:spPr>
    </c:title>
    <c:autoTitleDeleted val="0"/>
    <c:plotArea>
      <c:layout>
        <c:manualLayout>
          <c:layoutTarget val="inner"/>
          <c:xMode val="edge"/>
          <c:yMode val="edge"/>
          <c:x val="0.19085188200220121"/>
          <c:y val="0.22600619195046878"/>
          <c:w val="0.75394379832274494"/>
          <c:h val="0.52631578947368418"/>
        </c:manualLayout>
      </c:layout>
      <c:scatterChart>
        <c:scatterStyle val="lineMarker"/>
        <c:varyColors val="0"/>
        <c:ser>
          <c:idx val="0"/>
          <c:order val="0"/>
          <c:spPr>
            <a:ln w="25400">
              <a:solidFill>
                <a:srgbClr val="000080"/>
              </a:solidFill>
              <a:prstDash val="solid"/>
            </a:ln>
          </c:spPr>
          <c:marker>
            <c:symbol val="none"/>
          </c:marker>
          <c:xVal>
            <c:numRef>
              <c:f>'Emissions A-B'!$B$3:$L$3</c:f>
              <c:numCache>
                <c:formatCode>General</c:formatCode>
                <c:ptCount val="11"/>
                <c:pt idx="0">
                  <c:v>2000</c:v>
                </c:pt>
                <c:pt idx="1">
                  <c:v>2010</c:v>
                </c:pt>
                <c:pt idx="2">
                  <c:v>2020</c:v>
                </c:pt>
                <c:pt idx="3">
                  <c:v>2030</c:v>
                </c:pt>
                <c:pt idx="4">
                  <c:v>2040</c:v>
                </c:pt>
                <c:pt idx="5">
                  <c:v>2050</c:v>
                </c:pt>
                <c:pt idx="6">
                  <c:v>2060</c:v>
                </c:pt>
                <c:pt idx="7">
                  <c:v>2080</c:v>
                </c:pt>
                <c:pt idx="8">
                  <c:v>2100</c:v>
                </c:pt>
                <c:pt idx="9">
                  <c:v>2200</c:v>
                </c:pt>
                <c:pt idx="10">
                  <c:v>2300</c:v>
                </c:pt>
              </c:numCache>
            </c:numRef>
          </c:xVal>
          <c:yVal>
            <c:numRef>
              <c:f>'Emissions A-B'!$B$74:$L$74</c:f>
              <c:numCache>
                <c:formatCode>0.0E+00</c:formatCode>
                <c:ptCount val="11"/>
                <c:pt idx="0">
                  <c:v>0</c:v>
                </c:pt>
                <c:pt idx="1">
                  <c:v>0</c:v>
                </c:pt>
                <c:pt idx="2">
                  <c:v>0</c:v>
                </c:pt>
                <c:pt idx="3">
                  <c:v>0</c:v>
                </c:pt>
                <c:pt idx="4">
                  <c:v>0</c:v>
                </c:pt>
                <c:pt idx="5">
                  <c:v>0</c:v>
                </c:pt>
                <c:pt idx="6">
                  <c:v>0</c:v>
                </c:pt>
                <c:pt idx="7">
                  <c:v>0</c:v>
                </c:pt>
                <c:pt idx="8">
                  <c:v>0</c:v>
                </c:pt>
                <c:pt idx="9">
                  <c:v>0</c:v>
                </c:pt>
                <c:pt idx="10">
                  <c:v>0</c:v>
                </c:pt>
              </c:numCache>
            </c:numRef>
          </c:yVal>
          <c:smooth val="0"/>
          <c:extLst>
            <c:ext xmlns:c16="http://schemas.microsoft.com/office/drawing/2014/chart" uri="{C3380CC4-5D6E-409C-BE32-E72D297353CC}">
              <c16:uniqueId val="{00000000-AF13-40BA-B5DD-2952FE4CEE16}"/>
            </c:ext>
          </c:extLst>
        </c:ser>
        <c:dLbls>
          <c:showLegendKey val="0"/>
          <c:showVal val="0"/>
          <c:showCatName val="0"/>
          <c:showSerName val="0"/>
          <c:showPercent val="0"/>
          <c:showBubbleSize val="0"/>
        </c:dLbls>
        <c:axId val="117050368"/>
        <c:axId val="117060736"/>
      </c:scatterChart>
      <c:valAx>
        <c:axId val="117050368"/>
        <c:scaling>
          <c:orientation val="minMax"/>
          <c:max val="2200"/>
          <c:min val="2000"/>
        </c:scaling>
        <c:delete val="0"/>
        <c:axPos val="b"/>
        <c:title>
          <c:tx>
            <c:rich>
              <a:bodyPr/>
              <a:lstStyle/>
              <a:p>
                <a:pPr>
                  <a:defRPr lang="en-GB" sz="1200" b="1" i="0" u="none" strike="noStrike" baseline="0">
                    <a:solidFill>
                      <a:srgbClr val="000000"/>
                    </a:solidFill>
                    <a:latin typeface="Arial"/>
                    <a:ea typeface="Arial"/>
                    <a:cs typeface="Arial"/>
                  </a:defRPr>
                </a:pPr>
                <a:r>
                  <a:rPr lang="en-GB"/>
                  <a:t>year</a:t>
                </a:r>
              </a:p>
            </c:rich>
          </c:tx>
          <c:layout>
            <c:manualLayout>
              <c:xMode val="edge"/>
              <c:yMode val="edge"/>
              <c:x val="0.91167258666799145"/>
              <c:y val="0.86996904024767863"/>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7060736"/>
        <c:crosses val="autoZero"/>
        <c:crossBetween val="midCat"/>
        <c:minorUnit val="10"/>
      </c:valAx>
      <c:valAx>
        <c:axId val="117060736"/>
        <c:scaling>
          <c:orientation val="minMax"/>
        </c:scaling>
        <c:delete val="0"/>
        <c:axPos val="l"/>
        <c:majorGridlines>
          <c:spPr>
            <a:ln w="3175">
              <a:solidFill>
                <a:srgbClr val="FFFFFF"/>
              </a:solidFill>
              <a:prstDash val="solid"/>
            </a:ln>
          </c:spPr>
        </c:majorGridlines>
        <c:title>
          <c:tx>
            <c:rich>
              <a:bodyPr rot="0" vert="horz"/>
              <a:lstStyle/>
              <a:p>
                <a:pPr algn="ctr">
                  <a:defRPr lang="en-GB" sz="1200" b="1" i="0" u="none" strike="noStrike" baseline="0">
                    <a:solidFill>
                      <a:srgbClr val="000000"/>
                    </a:solidFill>
                    <a:latin typeface="Arial"/>
                    <a:ea typeface="Arial"/>
                    <a:cs typeface="Arial"/>
                  </a:defRPr>
                </a:pPr>
                <a:r>
                  <a:rPr lang="en-GB"/>
                  <a:t>Mtonnes</a:t>
                </a:r>
              </a:p>
            </c:rich>
          </c:tx>
          <c:layout>
            <c:manualLayout>
              <c:xMode val="edge"/>
              <c:yMode val="edge"/>
              <c:x val="7.8864353312302835E-2"/>
              <c:y val="9.5975232198142746E-2"/>
            </c:manualLayout>
          </c:layout>
          <c:overlay val="0"/>
          <c:spPr>
            <a:noFill/>
            <a:ln w="25400">
              <a:noFill/>
            </a:ln>
          </c:spPr>
        </c:title>
        <c:numFmt formatCode="0.0E+00" sourceLinked="0"/>
        <c:majorTickMark val="out"/>
        <c:minorTickMark val="none"/>
        <c:tickLblPos val="nextTo"/>
        <c:spPr>
          <a:ln w="3175">
            <a:solidFill>
              <a:srgbClr val="000000"/>
            </a:solidFill>
            <a:prstDash val="solid"/>
          </a:ln>
        </c:spPr>
        <c:txPr>
          <a:bodyPr rot="0" vert="horz"/>
          <a:lstStyle/>
          <a:p>
            <a:pPr>
              <a:defRPr lang="en-GB" sz="1200" b="0" i="0" u="none" strike="noStrike" baseline="0">
                <a:solidFill>
                  <a:srgbClr val="000000"/>
                </a:solidFill>
                <a:latin typeface="Arial"/>
                <a:ea typeface="Arial"/>
                <a:cs typeface="Arial"/>
              </a:defRPr>
            </a:pPr>
            <a:endParaRPr lang="en-US"/>
          </a:p>
        </c:txPr>
        <c:crossAx val="11705036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5" footer="0.5"/>
    <c:pageSetup paperSize="9" orientation="landscape" horizontalDpi="360" verticalDpi="360"/>
  </c:printSettings>
</c:chartSpace>
</file>

<file path=xl/drawings/_rels/drawing1.xml.rels><?xml version="1.0" encoding="UTF-8" standalone="yes"?>
<Relationships xmlns="http://schemas.openxmlformats.org/package/2006/relationships"><Relationship Id="rId117" Type="http://schemas.openxmlformats.org/officeDocument/2006/relationships/image" Target="../media/image117.emf"/><Relationship Id="rId299" Type="http://schemas.openxmlformats.org/officeDocument/2006/relationships/image" Target="../media/image299.emf"/><Relationship Id="rId303" Type="http://schemas.openxmlformats.org/officeDocument/2006/relationships/image" Target="../media/image303.emf"/><Relationship Id="rId21" Type="http://schemas.openxmlformats.org/officeDocument/2006/relationships/image" Target="../media/image21.emf"/><Relationship Id="rId42" Type="http://schemas.openxmlformats.org/officeDocument/2006/relationships/image" Target="../media/image42.emf"/><Relationship Id="rId63" Type="http://schemas.openxmlformats.org/officeDocument/2006/relationships/image" Target="../media/image63.emf"/><Relationship Id="rId84" Type="http://schemas.openxmlformats.org/officeDocument/2006/relationships/image" Target="../media/image84.emf"/><Relationship Id="rId138" Type="http://schemas.openxmlformats.org/officeDocument/2006/relationships/image" Target="../media/image138.emf"/><Relationship Id="rId159" Type="http://schemas.openxmlformats.org/officeDocument/2006/relationships/image" Target="../media/image159.emf"/><Relationship Id="rId324" Type="http://schemas.openxmlformats.org/officeDocument/2006/relationships/image" Target="../media/image324.emf"/><Relationship Id="rId345" Type="http://schemas.openxmlformats.org/officeDocument/2006/relationships/image" Target="../media/image345.emf"/><Relationship Id="rId170" Type="http://schemas.openxmlformats.org/officeDocument/2006/relationships/image" Target="../media/image170.emf"/><Relationship Id="rId191" Type="http://schemas.openxmlformats.org/officeDocument/2006/relationships/image" Target="../media/image191.emf"/><Relationship Id="rId205" Type="http://schemas.openxmlformats.org/officeDocument/2006/relationships/image" Target="../media/image205.emf"/><Relationship Id="rId226" Type="http://schemas.openxmlformats.org/officeDocument/2006/relationships/image" Target="../media/image226.emf"/><Relationship Id="rId247" Type="http://schemas.openxmlformats.org/officeDocument/2006/relationships/image" Target="../media/image247.emf"/><Relationship Id="rId107" Type="http://schemas.openxmlformats.org/officeDocument/2006/relationships/image" Target="../media/image107.emf"/><Relationship Id="rId268" Type="http://schemas.openxmlformats.org/officeDocument/2006/relationships/image" Target="../media/image268.emf"/><Relationship Id="rId289" Type="http://schemas.openxmlformats.org/officeDocument/2006/relationships/image" Target="../media/image289.emf"/><Relationship Id="rId11" Type="http://schemas.openxmlformats.org/officeDocument/2006/relationships/image" Target="../media/image11.emf"/><Relationship Id="rId32" Type="http://schemas.openxmlformats.org/officeDocument/2006/relationships/image" Target="../media/image32.emf"/><Relationship Id="rId53" Type="http://schemas.openxmlformats.org/officeDocument/2006/relationships/image" Target="../media/image53.emf"/><Relationship Id="rId74" Type="http://schemas.openxmlformats.org/officeDocument/2006/relationships/image" Target="../media/image74.emf"/><Relationship Id="rId128" Type="http://schemas.openxmlformats.org/officeDocument/2006/relationships/image" Target="../media/image128.emf"/><Relationship Id="rId149" Type="http://schemas.openxmlformats.org/officeDocument/2006/relationships/image" Target="../media/image149.emf"/><Relationship Id="rId314" Type="http://schemas.openxmlformats.org/officeDocument/2006/relationships/image" Target="../media/image314.emf"/><Relationship Id="rId335" Type="http://schemas.openxmlformats.org/officeDocument/2006/relationships/image" Target="../media/image335.emf"/><Relationship Id="rId356" Type="http://schemas.openxmlformats.org/officeDocument/2006/relationships/image" Target="../media/image356.emf"/><Relationship Id="rId5" Type="http://schemas.openxmlformats.org/officeDocument/2006/relationships/image" Target="../media/image5.emf"/><Relationship Id="rId95" Type="http://schemas.openxmlformats.org/officeDocument/2006/relationships/image" Target="../media/image95.emf"/><Relationship Id="rId160" Type="http://schemas.openxmlformats.org/officeDocument/2006/relationships/image" Target="../media/image160.emf"/><Relationship Id="rId181" Type="http://schemas.openxmlformats.org/officeDocument/2006/relationships/image" Target="../media/image181.emf"/><Relationship Id="rId216" Type="http://schemas.openxmlformats.org/officeDocument/2006/relationships/image" Target="../media/image216.emf"/><Relationship Id="rId237" Type="http://schemas.openxmlformats.org/officeDocument/2006/relationships/image" Target="../media/image237.emf"/><Relationship Id="rId258" Type="http://schemas.openxmlformats.org/officeDocument/2006/relationships/image" Target="../media/image258.emf"/><Relationship Id="rId279" Type="http://schemas.openxmlformats.org/officeDocument/2006/relationships/image" Target="../media/image279.emf"/><Relationship Id="rId22" Type="http://schemas.openxmlformats.org/officeDocument/2006/relationships/image" Target="../media/image22.emf"/><Relationship Id="rId43" Type="http://schemas.openxmlformats.org/officeDocument/2006/relationships/image" Target="../media/image43.emf"/><Relationship Id="rId64" Type="http://schemas.openxmlformats.org/officeDocument/2006/relationships/image" Target="../media/image64.emf"/><Relationship Id="rId118" Type="http://schemas.openxmlformats.org/officeDocument/2006/relationships/image" Target="../media/image118.emf"/><Relationship Id="rId139" Type="http://schemas.openxmlformats.org/officeDocument/2006/relationships/image" Target="../media/image139.emf"/><Relationship Id="rId290" Type="http://schemas.openxmlformats.org/officeDocument/2006/relationships/image" Target="../media/image290.emf"/><Relationship Id="rId304" Type="http://schemas.openxmlformats.org/officeDocument/2006/relationships/image" Target="../media/image304.emf"/><Relationship Id="rId325" Type="http://schemas.openxmlformats.org/officeDocument/2006/relationships/image" Target="../media/image325.emf"/><Relationship Id="rId346" Type="http://schemas.openxmlformats.org/officeDocument/2006/relationships/image" Target="../media/image346.emf"/><Relationship Id="rId85" Type="http://schemas.openxmlformats.org/officeDocument/2006/relationships/image" Target="../media/image85.emf"/><Relationship Id="rId150" Type="http://schemas.openxmlformats.org/officeDocument/2006/relationships/image" Target="../media/image150.emf"/><Relationship Id="rId171" Type="http://schemas.openxmlformats.org/officeDocument/2006/relationships/image" Target="../media/image171.emf"/><Relationship Id="rId192" Type="http://schemas.openxmlformats.org/officeDocument/2006/relationships/image" Target="../media/image192.emf"/><Relationship Id="rId206" Type="http://schemas.openxmlformats.org/officeDocument/2006/relationships/image" Target="../media/image206.emf"/><Relationship Id="rId227" Type="http://schemas.openxmlformats.org/officeDocument/2006/relationships/image" Target="../media/image227.emf"/><Relationship Id="rId248" Type="http://schemas.openxmlformats.org/officeDocument/2006/relationships/image" Target="../media/image248.emf"/><Relationship Id="rId269" Type="http://schemas.openxmlformats.org/officeDocument/2006/relationships/image" Target="../media/image269.emf"/><Relationship Id="rId12" Type="http://schemas.openxmlformats.org/officeDocument/2006/relationships/image" Target="../media/image12.emf"/><Relationship Id="rId33" Type="http://schemas.openxmlformats.org/officeDocument/2006/relationships/image" Target="../media/image33.emf"/><Relationship Id="rId108" Type="http://schemas.openxmlformats.org/officeDocument/2006/relationships/image" Target="../media/image108.emf"/><Relationship Id="rId129" Type="http://schemas.openxmlformats.org/officeDocument/2006/relationships/image" Target="../media/image129.emf"/><Relationship Id="rId280" Type="http://schemas.openxmlformats.org/officeDocument/2006/relationships/image" Target="../media/image280.emf"/><Relationship Id="rId315" Type="http://schemas.openxmlformats.org/officeDocument/2006/relationships/image" Target="../media/image315.emf"/><Relationship Id="rId336" Type="http://schemas.openxmlformats.org/officeDocument/2006/relationships/image" Target="../media/image336.emf"/><Relationship Id="rId54" Type="http://schemas.openxmlformats.org/officeDocument/2006/relationships/image" Target="../media/image54.emf"/><Relationship Id="rId75" Type="http://schemas.openxmlformats.org/officeDocument/2006/relationships/image" Target="../media/image75.emf"/><Relationship Id="rId96" Type="http://schemas.openxmlformats.org/officeDocument/2006/relationships/image" Target="../media/image96.emf"/><Relationship Id="rId140" Type="http://schemas.openxmlformats.org/officeDocument/2006/relationships/image" Target="../media/image140.emf"/><Relationship Id="rId161" Type="http://schemas.openxmlformats.org/officeDocument/2006/relationships/image" Target="../media/image161.emf"/><Relationship Id="rId182" Type="http://schemas.openxmlformats.org/officeDocument/2006/relationships/image" Target="../media/image182.emf"/><Relationship Id="rId217" Type="http://schemas.openxmlformats.org/officeDocument/2006/relationships/image" Target="../media/image217.emf"/><Relationship Id="rId6" Type="http://schemas.openxmlformats.org/officeDocument/2006/relationships/image" Target="../media/image6.emf"/><Relationship Id="rId238" Type="http://schemas.openxmlformats.org/officeDocument/2006/relationships/image" Target="../media/image238.emf"/><Relationship Id="rId259" Type="http://schemas.openxmlformats.org/officeDocument/2006/relationships/image" Target="../media/image259.emf"/><Relationship Id="rId23" Type="http://schemas.openxmlformats.org/officeDocument/2006/relationships/image" Target="../media/image23.emf"/><Relationship Id="rId119" Type="http://schemas.openxmlformats.org/officeDocument/2006/relationships/image" Target="../media/image119.emf"/><Relationship Id="rId270" Type="http://schemas.openxmlformats.org/officeDocument/2006/relationships/image" Target="../media/image270.emf"/><Relationship Id="rId291" Type="http://schemas.openxmlformats.org/officeDocument/2006/relationships/image" Target="../media/image291.emf"/><Relationship Id="rId305" Type="http://schemas.openxmlformats.org/officeDocument/2006/relationships/image" Target="../media/image305.emf"/><Relationship Id="rId326" Type="http://schemas.openxmlformats.org/officeDocument/2006/relationships/image" Target="../media/image326.emf"/><Relationship Id="rId347" Type="http://schemas.openxmlformats.org/officeDocument/2006/relationships/image" Target="../media/image347.emf"/><Relationship Id="rId44" Type="http://schemas.openxmlformats.org/officeDocument/2006/relationships/image" Target="../media/image44.emf"/><Relationship Id="rId65" Type="http://schemas.openxmlformats.org/officeDocument/2006/relationships/image" Target="../media/image65.emf"/><Relationship Id="rId86" Type="http://schemas.openxmlformats.org/officeDocument/2006/relationships/image" Target="../media/image86.emf"/><Relationship Id="rId130" Type="http://schemas.openxmlformats.org/officeDocument/2006/relationships/image" Target="../media/image130.emf"/><Relationship Id="rId151" Type="http://schemas.openxmlformats.org/officeDocument/2006/relationships/image" Target="../media/image151.emf"/><Relationship Id="rId172" Type="http://schemas.openxmlformats.org/officeDocument/2006/relationships/image" Target="../media/image172.emf"/><Relationship Id="rId193" Type="http://schemas.openxmlformats.org/officeDocument/2006/relationships/image" Target="../media/image193.emf"/><Relationship Id="rId207" Type="http://schemas.openxmlformats.org/officeDocument/2006/relationships/image" Target="../media/image207.emf"/><Relationship Id="rId228" Type="http://schemas.openxmlformats.org/officeDocument/2006/relationships/image" Target="../media/image228.emf"/><Relationship Id="rId249" Type="http://schemas.openxmlformats.org/officeDocument/2006/relationships/image" Target="../media/image249.emf"/><Relationship Id="rId13" Type="http://schemas.openxmlformats.org/officeDocument/2006/relationships/image" Target="../media/image13.emf"/><Relationship Id="rId109" Type="http://schemas.openxmlformats.org/officeDocument/2006/relationships/image" Target="../media/image109.emf"/><Relationship Id="rId260" Type="http://schemas.openxmlformats.org/officeDocument/2006/relationships/image" Target="../media/image260.emf"/><Relationship Id="rId281" Type="http://schemas.openxmlformats.org/officeDocument/2006/relationships/image" Target="../media/image281.emf"/><Relationship Id="rId316" Type="http://schemas.openxmlformats.org/officeDocument/2006/relationships/image" Target="../media/image316.emf"/><Relationship Id="rId337" Type="http://schemas.openxmlformats.org/officeDocument/2006/relationships/image" Target="../media/image337.emf"/><Relationship Id="rId34" Type="http://schemas.openxmlformats.org/officeDocument/2006/relationships/image" Target="../media/image34.emf"/><Relationship Id="rId55" Type="http://schemas.openxmlformats.org/officeDocument/2006/relationships/image" Target="../media/image55.emf"/><Relationship Id="rId76" Type="http://schemas.openxmlformats.org/officeDocument/2006/relationships/image" Target="../media/image76.emf"/><Relationship Id="rId97" Type="http://schemas.openxmlformats.org/officeDocument/2006/relationships/image" Target="../media/image97.emf"/><Relationship Id="rId120" Type="http://schemas.openxmlformats.org/officeDocument/2006/relationships/image" Target="../media/image120.emf"/><Relationship Id="rId141" Type="http://schemas.openxmlformats.org/officeDocument/2006/relationships/image" Target="../media/image141.emf"/><Relationship Id="rId7" Type="http://schemas.openxmlformats.org/officeDocument/2006/relationships/image" Target="../media/image7.emf"/><Relationship Id="rId162" Type="http://schemas.openxmlformats.org/officeDocument/2006/relationships/image" Target="../media/image162.emf"/><Relationship Id="rId183" Type="http://schemas.openxmlformats.org/officeDocument/2006/relationships/image" Target="../media/image183.emf"/><Relationship Id="rId218" Type="http://schemas.openxmlformats.org/officeDocument/2006/relationships/image" Target="../media/image218.emf"/><Relationship Id="rId239" Type="http://schemas.openxmlformats.org/officeDocument/2006/relationships/image" Target="../media/image239.emf"/><Relationship Id="rId250" Type="http://schemas.openxmlformats.org/officeDocument/2006/relationships/image" Target="../media/image250.emf"/><Relationship Id="rId271" Type="http://schemas.openxmlformats.org/officeDocument/2006/relationships/image" Target="../media/image271.emf"/><Relationship Id="rId292" Type="http://schemas.openxmlformats.org/officeDocument/2006/relationships/image" Target="../media/image292.emf"/><Relationship Id="rId306" Type="http://schemas.openxmlformats.org/officeDocument/2006/relationships/image" Target="../media/image306.emf"/><Relationship Id="rId24" Type="http://schemas.openxmlformats.org/officeDocument/2006/relationships/image" Target="../media/image24.emf"/><Relationship Id="rId45" Type="http://schemas.openxmlformats.org/officeDocument/2006/relationships/image" Target="../media/image45.emf"/><Relationship Id="rId66" Type="http://schemas.openxmlformats.org/officeDocument/2006/relationships/image" Target="../media/image66.emf"/><Relationship Id="rId87" Type="http://schemas.openxmlformats.org/officeDocument/2006/relationships/image" Target="../media/image87.emf"/><Relationship Id="rId110" Type="http://schemas.openxmlformats.org/officeDocument/2006/relationships/image" Target="../media/image110.emf"/><Relationship Id="rId131" Type="http://schemas.openxmlformats.org/officeDocument/2006/relationships/image" Target="../media/image131.emf"/><Relationship Id="rId327" Type="http://schemas.openxmlformats.org/officeDocument/2006/relationships/image" Target="../media/image327.emf"/><Relationship Id="rId348" Type="http://schemas.openxmlformats.org/officeDocument/2006/relationships/image" Target="../media/image348.emf"/><Relationship Id="rId152" Type="http://schemas.openxmlformats.org/officeDocument/2006/relationships/image" Target="../media/image152.emf"/><Relationship Id="rId173" Type="http://schemas.openxmlformats.org/officeDocument/2006/relationships/image" Target="../media/image173.emf"/><Relationship Id="rId194" Type="http://schemas.openxmlformats.org/officeDocument/2006/relationships/image" Target="../media/image194.emf"/><Relationship Id="rId208" Type="http://schemas.openxmlformats.org/officeDocument/2006/relationships/image" Target="../media/image208.emf"/><Relationship Id="rId229" Type="http://schemas.openxmlformats.org/officeDocument/2006/relationships/image" Target="../media/image229.emf"/><Relationship Id="rId240" Type="http://schemas.openxmlformats.org/officeDocument/2006/relationships/image" Target="../media/image240.emf"/><Relationship Id="rId261" Type="http://schemas.openxmlformats.org/officeDocument/2006/relationships/image" Target="../media/image261.emf"/><Relationship Id="rId14" Type="http://schemas.openxmlformats.org/officeDocument/2006/relationships/image" Target="../media/image14.emf"/><Relationship Id="rId35" Type="http://schemas.openxmlformats.org/officeDocument/2006/relationships/image" Target="../media/image35.emf"/><Relationship Id="rId56" Type="http://schemas.openxmlformats.org/officeDocument/2006/relationships/image" Target="../media/image56.emf"/><Relationship Id="rId77" Type="http://schemas.openxmlformats.org/officeDocument/2006/relationships/image" Target="../media/image77.emf"/><Relationship Id="rId100" Type="http://schemas.openxmlformats.org/officeDocument/2006/relationships/image" Target="../media/image100.emf"/><Relationship Id="rId282" Type="http://schemas.openxmlformats.org/officeDocument/2006/relationships/image" Target="../media/image282.emf"/><Relationship Id="rId317" Type="http://schemas.openxmlformats.org/officeDocument/2006/relationships/image" Target="../media/image317.emf"/><Relationship Id="rId338" Type="http://schemas.openxmlformats.org/officeDocument/2006/relationships/image" Target="../media/image338.emf"/><Relationship Id="rId8" Type="http://schemas.openxmlformats.org/officeDocument/2006/relationships/image" Target="../media/image8.emf"/><Relationship Id="rId98" Type="http://schemas.openxmlformats.org/officeDocument/2006/relationships/image" Target="../media/image98.emf"/><Relationship Id="rId121" Type="http://schemas.openxmlformats.org/officeDocument/2006/relationships/image" Target="../media/image121.emf"/><Relationship Id="rId142" Type="http://schemas.openxmlformats.org/officeDocument/2006/relationships/image" Target="../media/image142.emf"/><Relationship Id="rId163" Type="http://schemas.openxmlformats.org/officeDocument/2006/relationships/image" Target="../media/image163.emf"/><Relationship Id="rId184" Type="http://schemas.openxmlformats.org/officeDocument/2006/relationships/image" Target="../media/image184.emf"/><Relationship Id="rId219" Type="http://schemas.openxmlformats.org/officeDocument/2006/relationships/image" Target="../media/image219.emf"/><Relationship Id="rId230" Type="http://schemas.openxmlformats.org/officeDocument/2006/relationships/image" Target="../media/image230.emf"/><Relationship Id="rId251" Type="http://schemas.openxmlformats.org/officeDocument/2006/relationships/image" Target="../media/image251.emf"/><Relationship Id="rId25" Type="http://schemas.openxmlformats.org/officeDocument/2006/relationships/image" Target="../media/image25.emf"/><Relationship Id="rId46" Type="http://schemas.openxmlformats.org/officeDocument/2006/relationships/image" Target="../media/image46.emf"/><Relationship Id="rId67" Type="http://schemas.openxmlformats.org/officeDocument/2006/relationships/image" Target="../media/image67.emf"/><Relationship Id="rId272" Type="http://schemas.openxmlformats.org/officeDocument/2006/relationships/image" Target="../media/image272.emf"/><Relationship Id="rId293" Type="http://schemas.openxmlformats.org/officeDocument/2006/relationships/image" Target="../media/image293.emf"/><Relationship Id="rId307" Type="http://schemas.openxmlformats.org/officeDocument/2006/relationships/image" Target="../media/image307.emf"/><Relationship Id="rId328" Type="http://schemas.openxmlformats.org/officeDocument/2006/relationships/image" Target="../media/image328.emf"/><Relationship Id="rId349" Type="http://schemas.openxmlformats.org/officeDocument/2006/relationships/image" Target="../media/image349.emf"/><Relationship Id="rId88" Type="http://schemas.openxmlformats.org/officeDocument/2006/relationships/image" Target="../media/image88.emf"/><Relationship Id="rId111" Type="http://schemas.openxmlformats.org/officeDocument/2006/relationships/image" Target="../media/image111.emf"/><Relationship Id="rId132" Type="http://schemas.openxmlformats.org/officeDocument/2006/relationships/image" Target="../media/image132.emf"/><Relationship Id="rId153" Type="http://schemas.openxmlformats.org/officeDocument/2006/relationships/image" Target="../media/image153.emf"/><Relationship Id="rId174" Type="http://schemas.openxmlformats.org/officeDocument/2006/relationships/image" Target="../media/image174.emf"/><Relationship Id="rId195" Type="http://schemas.openxmlformats.org/officeDocument/2006/relationships/image" Target="../media/image195.emf"/><Relationship Id="rId209" Type="http://schemas.openxmlformats.org/officeDocument/2006/relationships/image" Target="../media/image209.emf"/><Relationship Id="rId190" Type="http://schemas.openxmlformats.org/officeDocument/2006/relationships/image" Target="../media/image190.emf"/><Relationship Id="rId204" Type="http://schemas.openxmlformats.org/officeDocument/2006/relationships/image" Target="../media/image204.emf"/><Relationship Id="rId220" Type="http://schemas.openxmlformats.org/officeDocument/2006/relationships/image" Target="../media/image220.emf"/><Relationship Id="rId225" Type="http://schemas.openxmlformats.org/officeDocument/2006/relationships/image" Target="../media/image225.emf"/><Relationship Id="rId241" Type="http://schemas.openxmlformats.org/officeDocument/2006/relationships/image" Target="../media/image241.emf"/><Relationship Id="rId246" Type="http://schemas.openxmlformats.org/officeDocument/2006/relationships/image" Target="../media/image246.emf"/><Relationship Id="rId267" Type="http://schemas.openxmlformats.org/officeDocument/2006/relationships/image" Target="../media/image267.emf"/><Relationship Id="rId288" Type="http://schemas.openxmlformats.org/officeDocument/2006/relationships/image" Target="../media/image288.emf"/><Relationship Id="rId15" Type="http://schemas.openxmlformats.org/officeDocument/2006/relationships/image" Target="../media/image15.emf"/><Relationship Id="rId36" Type="http://schemas.openxmlformats.org/officeDocument/2006/relationships/image" Target="../media/image36.emf"/><Relationship Id="rId57" Type="http://schemas.openxmlformats.org/officeDocument/2006/relationships/image" Target="../media/image57.emf"/><Relationship Id="rId106" Type="http://schemas.openxmlformats.org/officeDocument/2006/relationships/image" Target="../media/image106.emf"/><Relationship Id="rId127" Type="http://schemas.openxmlformats.org/officeDocument/2006/relationships/image" Target="../media/image127.emf"/><Relationship Id="rId262" Type="http://schemas.openxmlformats.org/officeDocument/2006/relationships/image" Target="../media/image262.emf"/><Relationship Id="rId283" Type="http://schemas.openxmlformats.org/officeDocument/2006/relationships/image" Target="../media/image283.emf"/><Relationship Id="rId313" Type="http://schemas.openxmlformats.org/officeDocument/2006/relationships/image" Target="../media/image313.emf"/><Relationship Id="rId318" Type="http://schemas.openxmlformats.org/officeDocument/2006/relationships/image" Target="../media/image318.emf"/><Relationship Id="rId339" Type="http://schemas.openxmlformats.org/officeDocument/2006/relationships/image" Target="../media/image339.emf"/><Relationship Id="rId10" Type="http://schemas.openxmlformats.org/officeDocument/2006/relationships/image" Target="../media/image10.emf"/><Relationship Id="rId31" Type="http://schemas.openxmlformats.org/officeDocument/2006/relationships/image" Target="../media/image31.emf"/><Relationship Id="rId52" Type="http://schemas.openxmlformats.org/officeDocument/2006/relationships/image" Target="../media/image52.emf"/><Relationship Id="rId73" Type="http://schemas.openxmlformats.org/officeDocument/2006/relationships/image" Target="../media/image73.emf"/><Relationship Id="rId78" Type="http://schemas.openxmlformats.org/officeDocument/2006/relationships/image" Target="../media/image78.emf"/><Relationship Id="rId94" Type="http://schemas.openxmlformats.org/officeDocument/2006/relationships/image" Target="../media/image94.emf"/><Relationship Id="rId99" Type="http://schemas.openxmlformats.org/officeDocument/2006/relationships/image" Target="../media/image99.emf"/><Relationship Id="rId101" Type="http://schemas.openxmlformats.org/officeDocument/2006/relationships/image" Target="../media/image101.emf"/><Relationship Id="rId122" Type="http://schemas.openxmlformats.org/officeDocument/2006/relationships/image" Target="../media/image122.emf"/><Relationship Id="rId143" Type="http://schemas.openxmlformats.org/officeDocument/2006/relationships/image" Target="../media/image143.emf"/><Relationship Id="rId148" Type="http://schemas.openxmlformats.org/officeDocument/2006/relationships/image" Target="../media/image148.emf"/><Relationship Id="rId164" Type="http://schemas.openxmlformats.org/officeDocument/2006/relationships/image" Target="../media/image164.emf"/><Relationship Id="rId169" Type="http://schemas.openxmlformats.org/officeDocument/2006/relationships/image" Target="../media/image169.emf"/><Relationship Id="rId185" Type="http://schemas.openxmlformats.org/officeDocument/2006/relationships/image" Target="../media/image185.emf"/><Relationship Id="rId334" Type="http://schemas.openxmlformats.org/officeDocument/2006/relationships/image" Target="../media/image334.emf"/><Relationship Id="rId350" Type="http://schemas.openxmlformats.org/officeDocument/2006/relationships/image" Target="../media/image350.emf"/><Relationship Id="rId355" Type="http://schemas.openxmlformats.org/officeDocument/2006/relationships/image" Target="../media/image355.emf"/><Relationship Id="rId4" Type="http://schemas.openxmlformats.org/officeDocument/2006/relationships/image" Target="../media/image4.emf"/><Relationship Id="rId9" Type="http://schemas.openxmlformats.org/officeDocument/2006/relationships/image" Target="../media/image9.emf"/><Relationship Id="rId180" Type="http://schemas.openxmlformats.org/officeDocument/2006/relationships/image" Target="../media/image180.emf"/><Relationship Id="rId210" Type="http://schemas.openxmlformats.org/officeDocument/2006/relationships/image" Target="../media/image210.emf"/><Relationship Id="rId215" Type="http://schemas.openxmlformats.org/officeDocument/2006/relationships/image" Target="../media/image215.emf"/><Relationship Id="rId236" Type="http://schemas.openxmlformats.org/officeDocument/2006/relationships/image" Target="../media/image236.emf"/><Relationship Id="rId257" Type="http://schemas.openxmlformats.org/officeDocument/2006/relationships/image" Target="../media/image257.emf"/><Relationship Id="rId278" Type="http://schemas.openxmlformats.org/officeDocument/2006/relationships/image" Target="../media/image278.emf"/><Relationship Id="rId26" Type="http://schemas.openxmlformats.org/officeDocument/2006/relationships/image" Target="../media/image26.emf"/><Relationship Id="rId231" Type="http://schemas.openxmlformats.org/officeDocument/2006/relationships/image" Target="../media/image231.emf"/><Relationship Id="rId252" Type="http://schemas.openxmlformats.org/officeDocument/2006/relationships/image" Target="../media/image252.emf"/><Relationship Id="rId273" Type="http://schemas.openxmlformats.org/officeDocument/2006/relationships/image" Target="../media/image273.emf"/><Relationship Id="rId294" Type="http://schemas.openxmlformats.org/officeDocument/2006/relationships/image" Target="../media/image294.emf"/><Relationship Id="rId308" Type="http://schemas.openxmlformats.org/officeDocument/2006/relationships/image" Target="../media/image308.emf"/><Relationship Id="rId329" Type="http://schemas.openxmlformats.org/officeDocument/2006/relationships/image" Target="../media/image329.emf"/><Relationship Id="rId47" Type="http://schemas.openxmlformats.org/officeDocument/2006/relationships/image" Target="../media/image47.emf"/><Relationship Id="rId68" Type="http://schemas.openxmlformats.org/officeDocument/2006/relationships/image" Target="../media/image68.emf"/><Relationship Id="rId89" Type="http://schemas.openxmlformats.org/officeDocument/2006/relationships/image" Target="../media/image89.emf"/><Relationship Id="rId112" Type="http://schemas.openxmlformats.org/officeDocument/2006/relationships/image" Target="../media/image112.emf"/><Relationship Id="rId133" Type="http://schemas.openxmlformats.org/officeDocument/2006/relationships/image" Target="../media/image133.emf"/><Relationship Id="rId154" Type="http://schemas.openxmlformats.org/officeDocument/2006/relationships/image" Target="../media/image154.emf"/><Relationship Id="rId175" Type="http://schemas.openxmlformats.org/officeDocument/2006/relationships/image" Target="../media/image175.emf"/><Relationship Id="rId340" Type="http://schemas.openxmlformats.org/officeDocument/2006/relationships/image" Target="../media/image340.emf"/><Relationship Id="rId196" Type="http://schemas.openxmlformats.org/officeDocument/2006/relationships/image" Target="../media/image196.emf"/><Relationship Id="rId200" Type="http://schemas.openxmlformats.org/officeDocument/2006/relationships/image" Target="../media/image200.emf"/><Relationship Id="rId16" Type="http://schemas.openxmlformats.org/officeDocument/2006/relationships/image" Target="../media/image16.emf"/><Relationship Id="rId221" Type="http://schemas.openxmlformats.org/officeDocument/2006/relationships/image" Target="../media/image221.emf"/><Relationship Id="rId242" Type="http://schemas.openxmlformats.org/officeDocument/2006/relationships/image" Target="../media/image242.emf"/><Relationship Id="rId263" Type="http://schemas.openxmlformats.org/officeDocument/2006/relationships/image" Target="../media/image263.emf"/><Relationship Id="rId284" Type="http://schemas.openxmlformats.org/officeDocument/2006/relationships/image" Target="../media/image284.emf"/><Relationship Id="rId319" Type="http://schemas.openxmlformats.org/officeDocument/2006/relationships/image" Target="../media/image319.emf"/><Relationship Id="rId37" Type="http://schemas.openxmlformats.org/officeDocument/2006/relationships/image" Target="../media/image37.emf"/><Relationship Id="rId58" Type="http://schemas.openxmlformats.org/officeDocument/2006/relationships/image" Target="../media/image58.emf"/><Relationship Id="rId79" Type="http://schemas.openxmlformats.org/officeDocument/2006/relationships/image" Target="../media/image79.emf"/><Relationship Id="rId102" Type="http://schemas.openxmlformats.org/officeDocument/2006/relationships/image" Target="../media/image102.emf"/><Relationship Id="rId123" Type="http://schemas.openxmlformats.org/officeDocument/2006/relationships/image" Target="../media/image123.emf"/><Relationship Id="rId144" Type="http://schemas.openxmlformats.org/officeDocument/2006/relationships/image" Target="../media/image144.emf"/><Relationship Id="rId330" Type="http://schemas.openxmlformats.org/officeDocument/2006/relationships/image" Target="../media/image330.emf"/><Relationship Id="rId90" Type="http://schemas.openxmlformats.org/officeDocument/2006/relationships/image" Target="../media/image90.emf"/><Relationship Id="rId165" Type="http://schemas.openxmlformats.org/officeDocument/2006/relationships/image" Target="../media/image165.emf"/><Relationship Id="rId186" Type="http://schemas.openxmlformats.org/officeDocument/2006/relationships/image" Target="../media/image186.emf"/><Relationship Id="rId351" Type="http://schemas.openxmlformats.org/officeDocument/2006/relationships/image" Target="../media/image351.emf"/><Relationship Id="rId211" Type="http://schemas.openxmlformats.org/officeDocument/2006/relationships/image" Target="../media/image211.emf"/><Relationship Id="rId232" Type="http://schemas.openxmlformats.org/officeDocument/2006/relationships/image" Target="../media/image232.emf"/><Relationship Id="rId253" Type="http://schemas.openxmlformats.org/officeDocument/2006/relationships/image" Target="../media/image253.emf"/><Relationship Id="rId274" Type="http://schemas.openxmlformats.org/officeDocument/2006/relationships/image" Target="../media/image274.emf"/><Relationship Id="rId295" Type="http://schemas.openxmlformats.org/officeDocument/2006/relationships/image" Target="../media/image295.emf"/><Relationship Id="rId309" Type="http://schemas.openxmlformats.org/officeDocument/2006/relationships/image" Target="../media/image309.emf"/><Relationship Id="rId27" Type="http://schemas.openxmlformats.org/officeDocument/2006/relationships/image" Target="../media/image27.emf"/><Relationship Id="rId48" Type="http://schemas.openxmlformats.org/officeDocument/2006/relationships/image" Target="../media/image48.emf"/><Relationship Id="rId69" Type="http://schemas.openxmlformats.org/officeDocument/2006/relationships/image" Target="../media/image69.emf"/><Relationship Id="rId113" Type="http://schemas.openxmlformats.org/officeDocument/2006/relationships/image" Target="../media/image113.emf"/><Relationship Id="rId134" Type="http://schemas.openxmlformats.org/officeDocument/2006/relationships/image" Target="../media/image134.emf"/><Relationship Id="rId320" Type="http://schemas.openxmlformats.org/officeDocument/2006/relationships/image" Target="../media/image320.emf"/><Relationship Id="rId80" Type="http://schemas.openxmlformats.org/officeDocument/2006/relationships/image" Target="../media/image80.emf"/><Relationship Id="rId155" Type="http://schemas.openxmlformats.org/officeDocument/2006/relationships/image" Target="../media/image155.emf"/><Relationship Id="rId176" Type="http://schemas.openxmlformats.org/officeDocument/2006/relationships/image" Target="../media/image176.emf"/><Relationship Id="rId197" Type="http://schemas.openxmlformats.org/officeDocument/2006/relationships/image" Target="../media/image197.emf"/><Relationship Id="rId341" Type="http://schemas.openxmlformats.org/officeDocument/2006/relationships/image" Target="../media/image341.emf"/><Relationship Id="rId201" Type="http://schemas.openxmlformats.org/officeDocument/2006/relationships/image" Target="../media/image201.emf"/><Relationship Id="rId222" Type="http://schemas.openxmlformats.org/officeDocument/2006/relationships/image" Target="../media/image222.emf"/><Relationship Id="rId243" Type="http://schemas.openxmlformats.org/officeDocument/2006/relationships/image" Target="../media/image243.emf"/><Relationship Id="rId264" Type="http://schemas.openxmlformats.org/officeDocument/2006/relationships/image" Target="../media/image264.emf"/><Relationship Id="rId285" Type="http://schemas.openxmlformats.org/officeDocument/2006/relationships/image" Target="../media/image285.emf"/><Relationship Id="rId17" Type="http://schemas.openxmlformats.org/officeDocument/2006/relationships/image" Target="../media/image17.emf"/><Relationship Id="rId38" Type="http://schemas.openxmlformats.org/officeDocument/2006/relationships/image" Target="../media/image38.emf"/><Relationship Id="rId59" Type="http://schemas.openxmlformats.org/officeDocument/2006/relationships/image" Target="../media/image59.emf"/><Relationship Id="rId103" Type="http://schemas.openxmlformats.org/officeDocument/2006/relationships/image" Target="../media/image103.emf"/><Relationship Id="rId124" Type="http://schemas.openxmlformats.org/officeDocument/2006/relationships/image" Target="../media/image124.emf"/><Relationship Id="rId310" Type="http://schemas.openxmlformats.org/officeDocument/2006/relationships/image" Target="../media/image310.emf"/><Relationship Id="rId70" Type="http://schemas.openxmlformats.org/officeDocument/2006/relationships/image" Target="../media/image70.emf"/><Relationship Id="rId91" Type="http://schemas.openxmlformats.org/officeDocument/2006/relationships/image" Target="../media/image91.emf"/><Relationship Id="rId145" Type="http://schemas.openxmlformats.org/officeDocument/2006/relationships/image" Target="../media/image145.emf"/><Relationship Id="rId166" Type="http://schemas.openxmlformats.org/officeDocument/2006/relationships/image" Target="../media/image166.emf"/><Relationship Id="rId187" Type="http://schemas.openxmlformats.org/officeDocument/2006/relationships/image" Target="../media/image187.emf"/><Relationship Id="rId331" Type="http://schemas.openxmlformats.org/officeDocument/2006/relationships/image" Target="../media/image331.emf"/><Relationship Id="rId352" Type="http://schemas.openxmlformats.org/officeDocument/2006/relationships/image" Target="../media/image352.emf"/><Relationship Id="rId1" Type="http://schemas.openxmlformats.org/officeDocument/2006/relationships/image" Target="../media/image1.emf"/><Relationship Id="rId212" Type="http://schemas.openxmlformats.org/officeDocument/2006/relationships/image" Target="../media/image212.emf"/><Relationship Id="rId233" Type="http://schemas.openxmlformats.org/officeDocument/2006/relationships/image" Target="../media/image233.emf"/><Relationship Id="rId254" Type="http://schemas.openxmlformats.org/officeDocument/2006/relationships/image" Target="../media/image254.emf"/><Relationship Id="rId28" Type="http://schemas.openxmlformats.org/officeDocument/2006/relationships/image" Target="../media/image28.emf"/><Relationship Id="rId49" Type="http://schemas.openxmlformats.org/officeDocument/2006/relationships/image" Target="../media/image49.emf"/><Relationship Id="rId114" Type="http://schemas.openxmlformats.org/officeDocument/2006/relationships/image" Target="../media/image114.emf"/><Relationship Id="rId275" Type="http://schemas.openxmlformats.org/officeDocument/2006/relationships/image" Target="../media/image275.emf"/><Relationship Id="rId296" Type="http://schemas.openxmlformats.org/officeDocument/2006/relationships/image" Target="../media/image296.emf"/><Relationship Id="rId300" Type="http://schemas.openxmlformats.org/officeDocument/2006/relationships/image" Target="../media/image300.emf"/><Relationship Id="rId60" Type="http://schemas.openxmlformats.org/officeDocument/2006/relationships/image" Target="../media/image60.emf"/><Relationship Id="rId81" Type="http://schemas.openxmlformats.org/officeDocument/2006/relationships/image" Target="../media/image81.emf"/><Relationship Id="rId135" Type="http://schemas.openxmlformats.org/officeDocument/2006/relationships/image" Target="../media/image135.emf"/><Relationship Id="rId156" Type="http://schemas.openxmlformats.org/officeDocument/2006/relationships/image" Target="../media/image156.emf"/><Relationship Id="rId177" Type="http://schemas.openxmlformats.org/officeDocument/2006/relationships/image" Target="../media/image177.emf"/><Relationship Id="rId198" Type="http://schemas.openxmlformats.org/officeDocument/2006/relationships/image" Target="../media/image198.emf"/><Relationship Id="rId321" Type="http://schemas.openxmlformats.org/officeDocument/2006/relationships/image" Target="../media/image321.emf"/><Relationship Id="rId342" Type="http://schemas.openxmlformats.org/officeDocument/2006/relationships/image" Target="../media/image342.emf"/><Relationship Id="rId202" Type="http://schemas.openxmlformats.org/officeDocument/2006/relationships/image" Target="../media/image202.emf"/><Relationship Id="rId223" Type="http://schemas.openxmlformats.org/officeDocument/2006/relationships/image" Target="../media/image223.emf"/><Relationship Id="rId244" Type="http://schemas.openxmlformats.org/officeDocument/2006/relationships/image" Target="../media/image244.emf"/><Relationship Id="rId18" Type="http://schemas.openxmlformats.org/officeDocument/2006/relationships/image" Target="../media/image18.emf"/><Relationship Id="rId39" Type="http://schemas.openxmlformats.org/officeDocument/2006/relationships/image" Target="../media/image39.emf"/><Relationship Id="rId265" Type="http://schemas.openxmlformats.org/officeDocument/2006/relationships/image" Target="../media/image265.emf"/><Relationship Id="rId286" Type="http://schemas.openxmlformats.org/officeDocument/2006/relationships/image" Target="../media/image286.emf"/><Relationship Id="rId50" Type="http://schemas.openxmlformats.org/officeDocument/2006/relationships/image" Target="../media/image50.emf"/><Relationship Id="rId104" Type="http://schemas.openxmlformats.org/officeDocument/2006/relationships/image" Target="../media/image104.emf"/><Relationship Id="rId125" Type="http://schemas.openxmlformats.org/officeDocument/2006/relationships/image" Target="../media/image125.emf"/><Relationship Id="rId146" Type="http://schemas.openxmlformats.org/officeDocument/2006/relationships/image" Target="../media/image146.emf"/><Relationship Id="rId167" Type="http://schemas.openxmlformats.org/officeDocument/2006/relationships/image" Target="../media/image167.emf"/><Relationship Id="rId188" Type="http://schemas.openxmlformats.org/officeDocument/2006/relationships/image" Target="../media/image188.emf"/><Relationship Id="rId311" Type="http://schemas.openxmlformats.org/officeDocument/2006/relationships/image" Target="../media/image311.emf"/><Relationship Id="rId332" Type="http://schemas.openxmlformats.org/officeDocument/2006/relationships/image" Target="../media/image332.emf"/><Relationship Id="rId353" Type="http://schemas.openxmlformats.org/officeDocument/2006/relationships/image" Target="../media/image353.emf"/><Relationship Id="rId71" Type="http://schemas.openxmlformats.org/officeDocument/2006/relationships/image" Target="../media/image71.emf"/><Relationship Id="rId92" Type="http://schemas.openxmlformats.org/officeDocument/2006/relationships/image" Target="../media/image92.emf"/><Relationship Id="rId213" Type="http://schemas.openxmlformats.org/officeDocument/2006/relationships/image" Target="../media/image213.emf"/><Relationship Id="rId234" Type="http://schemas.openxmlformats.org/officeDocument/2006/relationships/image" Target="../media/image234.emf"/><Relationship Id="rId2" Type="http://schemas.openxmlformats.org/officeDocument/2006/relationships/image" Target="../media/image2.emf"/><Relationship Id="rId29" Type="http://schemas.openxmlformats.org/officeDocument/2006/relationships/image" Target="../media/image29.emf"/><Relationship Id="rId255" Type="http://schemas.openxmlformats.org/officeDocument/2006/relationships/image" Target="../media/image255.emf"/><Relationship Id="rId276" Type="http://schemas.openxmlformats.org/officeDocument/2006/relationships/image" Target="../media/image276.emf"/><Relationship Id="rId297" Type="http://schemas.openxmlformats.org/officeDocument/2006/relationships/image" Target="../media/image297.emf"/><Relationship Id="rId40" Type="http://schemas.openxmlformats.org/officeDocument/2006/relationships/image" Target="../media/image40.emf"/><Relationship Id="rId115" Type="http://schemas.openxmlformats.org/officeDocument/2006/relationships/image" Target="../media/image115.emf"/><Relationship Id="rId136" Type="http://schemas.openxmlformats.org/officeDocument/2006/relationships/image" Target="../media/image136.emf"/><Relationship Id="rId157" Type="http://schemas.openxmlformats.org/officeDocument/2006/relationships/image" Target="../media/image157.emf"/><Relationship Id="rId178" Type="http://schemas.openxmlformats.org/officeDocument/2006/relationships/image" Target="../media/image178.emf"/><Relationship Id="rId301" Type="http://schemas.openxmlformats.org/officeDocument/2006/relationships/image" Target="../media/image301.emf"/><Relationship Id="rId322" Type="http://schemas.openxmlformats.org/officeDocument/2006/relationships/image" Target="../media/image322.emf"/><Relationship Id="rId343" Type="http://schemas.openxmlformats.org/officeDocument/2006/relationships/image" Target="../media/image343.emf"/><Relationship Id="rId61" Type="http://schemas.openxmlformats.org/officeDocument/2006/relationships/image" Target="../media/image61.emf"/><Relationship Id="rId82" Type="http://schemas.openxmlformats.org/officeDocument/2006/relationships/image" Target="../media/image82.emf"/><Relationship Id="rId199" Type="http://schemas.openxmlformats.org/officeDocument/2006/relationships/image" Target="../media/image199.emf"/><Relationship Id="rId203" Type="http://schemas.openxmlformats.org/officeDocument/2006/relationships/image" Target="../media/image203.emf"/><Relationship Id="rId19" Type="http://schemas.openxmlformats.org/officeDocument/2006/relationships/image" Target="../media/image19.emf"/><Relationship Id="rId224" Type="http://schemas.openxmlformats.org/officeDocument/2006/relationships/image" Target="../media/image224.emf"/><Relationship Id="rId245" Type="http://schemas.openxmlformats.org/officeDocument/2006/relationships/image" Target="../media/image245.emf"/><Relationship Id="rId266" Type="http://schemas.openxmlformats.org/officeDocument/2006/relationships/image" Target="../media/image266.emf"/><Relationship Id="rId287" Type="http://schemas.openxmlformats.org/officeDocument/2006/relationships/image" Target="../media/image287.emf"/><Relationship Id="rId30" Type="http://schemas.openxmlformats.org/officeDocument/2006/relationships/image" Target="../media/image30.emf"/><Relationship Id="rId105" Type="http://schemas.openxmlformats.org/officeDocument/2006/relationships/image" Target="../media/image105.emf"/><Relationship Id="rId126" Type="http://schemas.openxmlformats.org/officeDocument/2006/relationships/image" Target="../media/image126.emf"/><Relationship Id="rId147" Type="http://schemas.openxmlformats.org/officeDocument/2006/relationships/image" Target="../media/image147.emf"/><Relationship Id="rId168" Type="http://schemas.openxmlformats.org/officeDocument/2006/relationships/image" Target="../media/image168.emf"/><Relationship Id="rId312" Type="http://schemas.openxmlformats.org/officeDocument/2006/relationships/image" Target="../media/image312.emf"/><Relationship Id="rId333" Type="http://schemas.openxmlformats.org/officeDocument/2006/relationships/image" Target="../media/image333.emf"/><Relationship Id="rId354" Type="http://schemas.openxmlformats.org/officeDocument/2006/relationships/image" Target="../media/image354.emf"/><Relationship Id="rId51" Type="http://schemas.openxmlformats.org/officeDocument/2006/relationships/image" Target="../media/image51.emf"/><Relationship Id="rId72" Type="http://schemas.openxmlformats.org/officeDocument/2006/relationships/image" Target="../media/image72.emf"/><Relationship Id="rId93" Type="http://schemas.openxmlformats.org/officeDocument/2006/relationships/image" Target="../media/image93.emf"/><Relationship Id="rId189" Type="http://schemas.openxmlformats.org/officeDocument/2006/relationships/image" Target="../media/image189.emf"/><Relationship Id="rId3" Type="http://schemas.openxmlformats.org/officeDocument/2006/relationships/image" Target="../media/image3.emf"/><Relationship Id="rId214" Type="http://schemas.openxmlformats.org/officeDocument/2006/relationships/image" Target="../media/image214.emf"/><Relationship Id="rId235" Type="http://schemas.openxmlformats.org/officeDocument/2006/relationships/image" Target="../media/image235.emf"/><Relationship Id="rId256" Type="http://schemas.openxmlformats.org/officeDocument/2006/relationships/image" Target="../media/image256.emf"/><Relationship Id="rId277" Type="http://schemas.openxmlformats.org/officeDocument/2006/relationships/image" Target="../media/image277.emf"/><Relationship Id="rId298" Type="http://schemas.openxmlformats.org/officeDocument/2006/relationships/image" Target="../media/image298.emf"/><Relationship Id="rId116" Type="http://schemas.openxmlformats.org/officeDocument/2006/relationships/image" Target="../media/image116.emf"/><Relationship Id="rId137" Type="http://schemas.openxmlformats.org/officeDocument/2006/relationships/image" Target="../media/image137.emf"/><Relationship Id="rId158" Type="http://schemas.openxmlformats.org/officeDocument/2006/relationships/image" Target="../media/image158.emf"/><Relationship Id="rId302" Type="http://schemas.openxmlformats.org/officeDocument/2006/relationships/image" Target="../media/image302.emf"/><Relationship Id="rId323" Type="http://schemas.openxmlformats.org/officeDocument/2006/relationships/image" Target="../media/image323.emf"/><Relationship Id="rId344" Type="http://schemas.openxmlformats.org/officeDocument/2006/relationships/image" Target="../media/image344.emf"/><Relationship Id="rId20" Type="http://schemas.openxmlformats.org/officeDocument/2006/relationships/image" Target="../media/image20.emf"/><Relationship Id="rId41" Type="http://schemas.openxmlformats.org/officeDocument/2006/relationships/image" Target="../media/image41.emf"/><Relationship Id="rId62" Type="http://schemas.openxmlformats.org/officeDocument/2006/relationships/image" Target="../media/image62.emf"/><Relationship Id="rId83" Type="http://schemas.openxmlformats.org/officeDocument/2006/relationships/image" Target="../media/image83.emf"/><Relationship Id="rId179" Type="http://schemas.openxmlformats.org/officeDocument/2006/relationships/image" Target="../media/image179.emf"/></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57.emf"/></Relationships>
</file>

<file path=xl/drawings/_rels/vmlDrawing2.vml.rels><?xml version="1.0" encoding="UTF-8" standalone="yes"?>
<Relationships xmlns="http://schemas.openxmlformats.org/package/2006/relationships"><Relationship Id="rId26" Type="http://schemas.openxmlformats.org/officeDocument/2006/relationships/image" Target="../media/image383.emf"/><Relationship Id="rId21" Type="http://schemas.openxmlformats.org/officeDocument/2006/relationships/image" Target="../media/image378.emf"/><Relationship Id="rId42" Type="http://schemas.openxmlformats.org/officeDocument/2006/relationships/image" Target="../media/image399.emf"/><Relationship Id="rId47" Type="http://schemas.openxmlformats.org/officeDocument/2006/relationships/image" Target="../media/image404.emf"/><Relationship Id="rId63" Type="http://schemas.openxmlformats.org/officeDocument/2006/relationships/image" Target="../media/image420.emf"/><Relationship Id="rId68" Type="http://schemas.openxmlformats.org/officeDocument/2006/relationships/image" Target="../media/image425.emf"/><Relationship Id="rId84" Type="http://schemas.openxmlformats.org/officeDocument/2006/relationships/image" Target="../media/image441.emf"/><Relationship Id="rId89" Type="http://schemas.openxmlformats.org/officeDocument/2006/relationships/image" Target="../media/image446.emf"/><Relationship Id="rId2" Type="http://schemas.openxmlformats.org/officeDocument/2006/relationships/image" Target="../media/image359.emf"/><Relationship Id="rId16" Type="http://schemas.openxmlformats.org/officeDocument/2006/relationships/image" Target="../media/image373.emf"/><Relationship Id="rId29" Type="http://schemas.openxmlformats.org/officeDocument/2006/relationships/image" Target="../media/image386.emf"/><Relationship Id="rId107" Type="http://schemas.openxmlformats.org/officeDocument/2006/relationships/image" Target="../media/image464.emf"/><Relationship Id="rId11" Type="http://schemas.openxmlformats.org/officeDocument/2006/relationships/image" Target="../media/image368.emf"/><Relationship Id="rId24" Type="http://schemas.openxmlformats.org/officeDocument/2006/relationships/image" Target="../media/image381.emf"/><Relationship Id="rId32" Type="http://schemas.openxmlformats.org/officeDocument/2006/relationships/image" Target="../media/image389.emf"/><Relationship Id="rId37" Type="http://schemas.openxmlformats.org/officeDocument/2006/relationships/image" Target="../media/image394.emf"/><Relationship Id="rId40" Type="http://schemas.openxmlformats.org/officeDocument/2006/relationships/image" Target="../media/image397.emf"/><Relationship Id="rId45" Type="http://schemas.openxmlformats.org/officeDocument/2006/relationships/image" Target="../media/image402.emf"/><Relationship Id="rId53" Type="http://schemas.openxmlformats.org/officeDocument/2006/relationships/image" Target="../media/image410.emf"/><Relationship Id="rId58" Type="http://schemas.openxmlformats.org/officeDocument/2006/relationships/image" Target="../media/image415.emf"/><Relationship Id="rId66" Type="http://schemas.openxmlformats.org/officeDocument/2006/relationships/image" Target="../media/image423.emf"/><Relationship Id="rId74" Type="http://schemas.openxmlformats.org/officeDocument/2006/relationships/image" Target="../media/image431.emf"/><Relationship Id="rId79" Type="http://schemas.openxmlformats.org/officeDocument/2006/relationships/image" Target="../media/image436.emf"/><Relationship Id="rId87" Type="http://schemas.openxmlformats.org/officeDocument/2006/relationships/image" Target="../media/image444.emf"/><Relationship Id="rId102" Type="http://schemas.openxmlformats.org/officeDocument/2006/relationships/image" Target="../media/image459.emf"/><Relationship Id="rId110" Type="http://schemas.openxmlformats.org/officeDocument/2006/relationships/image" Target="../media/image467.emf"/><Relationship Id="rId5" Type="http://schemas.openxmlformats.org/officeDocument/2006/relationships/image" Target="../media/image362.emf"/><Relationship Id="rId61" Type="http://schemas.openxmlformats.org/officeDocument/2006/relationships/image" Target="../media/image418.emf"/><Relationship Id="rId82" Type="http://schemas.openxmlformats.org/officeDocument/2006/relationships/image" Target="../media/image439.emf"/><Relationship Id="rId90" Type="http://schemas.openxmlformats.org/officeDocument/2006/relationships/image" Target="../media/image447.emf"/><Relationship Id="rId95" Type="http://schemas.openxmlformats.org/officeDocument/2006/relationships/image" Target="../media/image452.emf"/><Relationship Id="rId19" Type="http://schemas.openxmlformats.org/officeDocument/2006/relationships/image" Target="../media/image376.emf"/><Relationship Id="rId14" Type="http://schemas.openxmlformats.org/officeDocument/2006/relationships/image" Target="../media/image371.emf"/><Relationship Id="rId22" Type="http://schemas.openxmlformats.org/officeDocument/2006/relationships/image" Target="../media/image379.emf"/><Relationship Id="rId27" Type="http://schemas.openxmlformats.org/officeDocument/2006/relationships/image" Target="../media/image384.emf"/><Relationship Id="rId30" Type="http://schemas.openxmlformats.org/officeDocument/2006/relationships/image" Target="../media/image387.emf"/><Relationship Id="rId35" Type="http://schemas.openxmlformats.org/officeDocument/2006/relationships/image" Target="../media/image392.emf"/><Relationship Id="rId43" Type="http://schemas.openxmlformats.org/officeDocument/2006/relationships/image" Target="../media/image400.emf"/><Relationship Id="rId48" Type="http://schemas.openxmlformats.org/officeDocument/2006/relationships/image" Target="../media/image405.emf"/><Relationship Id="rId56" Type="http://schemas.openxmlformats.org/officeDocument/2006/relationships/image" Target="../media/image413.emf"/><Relationship Id="rId64" Type="http://schemas.openxmlformats.org/officeDocument/2006/relationships/image" Target="../media/image421.emf"/><Relationship Id="rId69" Type="http://schemas.openxmlformats.org/officeDocument/2006/relationships/image" Target="../media/image426.emf"/><Relationship Id="rId77" Type="http://schemas.openxmlformats.org/officeDocument/2006/relationships/image" Target="../media/image434.emf"/><Relationship Id="rId100" Type="http://schemas.openxmlformats.org/officeDocument/2006/relationships/image" Target="../media/image457.emf"/><Relationship Id="rId105" Type="http://schemas.openxmlformats.org/officeDocument/2006/relationships/image" Target="../media/image462.emf"/><Relationship Id="rId8" Type="http://schemas.openxmlformats.org/officeDocument/2006/relationships/image" Target="../media/image365.emf"/><Relationship Id="rId51" Type="http://schemas.openxmlformats.org/officeDocument/2006/relationships/image" Target="../media/image408.emf"/><Relationship Id="rId72" Type="http://schemas.openxmlformats.org/officeDocument/2006/relationships/image" Target="../media/image429.emf"/><Relationship Id="rId80" Type="http://schemas.openxmlformats.org/officeDocument/2006/relationships/image" Target="../media/image437.emf"/><Relationship Id="rId85" Type="http://schemas.openxmlformats.org/officeDocument/2006/relationships/image" Target="../media/image442.emf"/><Relationship Id="rId93" Type="http://schemas.openxmlformats.org/officeDocument/2006/relationships/image" Target="../media/image450.emf"/><Relationship Id="rId98" Type="http://schemas.openxmlformats.org/officeDocument/2006/relationships/image" Target="../media/image455.emf"/><Relationship Id="rId3" Type="http://schemas.openxmlformats.org/officeDocument/2006/relationships/image" Target="../media/image360.emf"/><Relationship Id="rId12" Type="http://schemas.openxmlformats.org/officeDocument/2006/relationships/image" Target="../media/image369.emf"/><Relationship Id="rId17" Type="http://schemas.openxmlformats.org/officeDocument/2006/relationships/image" Target="../media/image374.emf"/><Relationship Id="rId25" Type="http://schemas.openxmlformats.org/officeDocument/2006/relationships/image" Target="../media/image382.emf"/><Relationship Id="rId33" Type="http://schemas.openxmlformats.org/officeDocument/2006/relationships/image" Target="../media/image390.emf"/><Relationship Id="rId38" Type="http://schemas.openxmlformats.org/officeDocument/2006/relationships/image" Target="../media/image395.emf"/><Relationship Id="rId46" Type="http://schemas.openxmlformats.org/officeDocument/2006/relationships/image" Target="../media/image403.emf"/><Relationship Id="rId59" Type="http://schemas.openxmlformats.org/officeDocument/2006/relationships/image" Target="../media/image416.emf"/><Relationship Id="rId67" Type="http://schemas.openxmlformats.org/officeDocument/2006/relationships/image" Target="../media/image424.emf"/><Relationship Id="rId103" Type="http://schemas.openxmlformats.org/officeDocument/2006/relationships/image" Target="../media/image460.emf"/><Relationship Id="rId108" Type="http://schemas.openxmlformats.org/officeDocument/2006/relationships/image" Target="../media/image465.emf"/><Relationship Id="rId20" Type="http://schemas.openxmlformats.org/officeDocument/2006/relationships/image" Target="../media/image377.emf"/><Relationship Id="rId41" Type="http://schemas.openxmlformats.org/officeDocument/2006/relationships/image" Target="../media/image398.emf"/><Relationship Id="rId54" Type="http://schemas.openxmlformats.org/officeDocument/2006/relationships/image" Target="../media/image411.emf"/><Relationship Id="rId62" Type="http://schemas.openxmlformats.org/officeDocument/2006/relationships/image" Target="../media/image419.emf"/><Relationship Id="rId70" Type="http://schemas.openxmlformats.org/officeDocument/2006/relationships/image" Target="../media/image427.emf"/><Relationship Id="rId75" Type="http://schemas.openxmlformats.org/officeDocument/2006/relationships/image" Target="../media/image432.emf"/><Relationship Id="rId83" Type="http://schemas.openxmlformats.org/officeDocument/2006/relationships/image" Target="../media/image440.emf"/><Relationship Id="rId88" Type="http://schemas.openxmlformats.org/officeDocument/2006/relationships/image" Target="../media/image445.emf"/><Relationship Id="rId91" Type="http://schemas.openxmlformats.org/officeDocument/2006/relationships/image" Target="../media/image448.emf"/><Relationship Id="rId96" Type="http://schemas.openxmlformats.org/officeDocument/2006/relationships/image" Target="../media/image453.emf"/><Relationship Id="rId1" Type="http://schemas.openxmlformats.org/officeDocument/2006/relationships/image" Target="../media/image358.emf"/><Relationship Id="rId6" Type="http://schemas.openxmlformats.org/officeDocument/2006/relationships/image" Target="../media/image363.emf"/><Relationship Id="rId15" Type="http://schemas.openxmlformats.org/officeDocument/2006/relationships/image" Target="../media/image372.emf"/><Relationship Id="rId23" Type="http://schemas.openxmlformats.org/officeDocument/2006/relationships/image" Target="../media/image380.emf"/><Relationship Id="rId28" Type="http://schemas.openxmlformats.org/officeDocument/2006/relationships/image" Target="../media/image385.emf"/><Relationship Id="rId36" Type="http://schemas.openxmlformats.org/officeDocument/2006/relationships/image" Target="../media/image393.emf"/><Relationship Id="rId49" Type="http://schemas.openxmlformats.org/officeDocument/2006/relationships/image" Target="../media/image406.emf"/><Relationship Id="rId57" Type="http://schemas.openxmlformats.org/officeDocument/2006/relationships/image" Target="../media/image414.emf"/><Relationship Id="rId106" Type="http://schemas.openxmlformats.org/officeDocument/2006/relationships/image" Target="../media/image463.emf"/><Relationship Id="rId10" Type="http://schemas.openxmlformats.org/officeDocument/2006/relationships/image" Target="../media/image367.emf"/><Relationship Id="rId31" Type="http://schemas.openxmlformats.org/officeDocument/2006/relationships/image" Target="../media/image388.emf"/><Relationship Id="rId44" Type="http://schemas.openxmlformats.org/officeDocument/2006/relationships/image" Target="../media/image401.emf"/><Relationship Id="rId52" Type="http://schemas.openxmlformats.org/officeDocument/2006/relationships/image" Target="../media/image409.emf"/><Relationship Id="rId60" Type="http://schemas.openxmlformats.org/officeDocument/2006/relationships/image" Target="../media/image417.emf"/><Relationship Id="rId65" Type="http://schemas.openxmlformats.org/officeDocument/2006/relationships/image" Target="../media/image422.emf"/><Relationship Id="rId73" Type="http://schemas.openxmlformats.org/officeDocument/2006/relationships/image" Target="../media/image430.emf"/><Relationship Id="rId78" Type="http://schemas.openxmlformats.org/officeDocument/2006/relationships/image" Target="../media/image435.emf"/><Relationship Id="rId81" Type="http://schemas.openxmlformats.org/officeDocument/2006/relationships/image" Target="../media/image438.emf"/><Relationship Id="rId86" Type="http://schemas.openxmlformats.org/officeDocument/2006/relationships/image" Target="../media/image443.emf"/><Relationship Id="rId94" Type="http://schemas.openxmlformats.org/officeDocument/2006/relationships/image" Target="../media/image451.emf"/><Relationship Id="rId99" Type="http://schemas.openxmlformats.org/officeDocument/2006/relationships/image" Target="../media/image456.emf"/><Relationship Id="rId101" Type="http://schemas.openxmlformats.org/officeDocument/2006/relationships/image" Target="../media/image458.emf"/><Relationship Id="rId4" Type="http://schemas.openxmlformats.org/officeDocument/2006/relationships/image" Target="../media/image361.emf"/><Relationship Id="rId9" Type="http://schemas.openxmlformats.org/officeDocument/2006/relationships/image" Target="../media/image366.emf"/><Relationship Id="rId13" Type="http://schemas.openxmlformats.org/officeDocument/2006/relationships/image" Target="../media/image370.emf"/><Relationship Id="rId18" Type="http://schemas.openxmlformats.org/officeDocument/2006/relationships/image" Target="../media/image375.emf"/><Relationship Id="rId39" Type="http://schemas.openxmlformats.org/officeDocument/2006/relationships/image" Target="../media/image396.emf"/><Relationship Id="rId109" Type="http://schemas.openxmlformats.org/officeDocument/2006/relationships/image" Target="../media/image466.emf"/><Relationship Id="rId34" Type="http://schemas.openxmlformats.org/officeDocument/2006/relationships/image" Target="../media/image391.emf"/><Relationship Id="rId50" Type="http://schemas.openxmlformats.org/officeDocument/2006/relationships/image" Target="../media/image407.emf"/><Relationship Id="rId55" Type="http://schemas.openxmlformats.org/officeDocument/2006/relationships/image" Target="../media/image412.emf"/><Relationship Id="rId76" Type="http://schemas.openxmlformats.org/officeDocument/2006/relationships/image" Target="../media/image433.emf"/><Relationship Id="rId97" Type="http://schemas.openxmlformats.org/officeDocument/2006/relationships/image" Target="../media/image454.emf"/><Relationship Id="rId104" Type="http://schemas.openxmlformats.org/officeDocument/2006/relationships/image" Target="../media/image461.emf"/><Relationship Id="rId7" Type="http://schemas.openxmlformats.org/officeDocument/2006/relationships/image" Target="../media/image364.emf"/><Relationship Id="rId71" Type="http://schemas.openxmlformats.org/officeDocument/2006/relationships/image" Target="../media/image428.emf"/><Relationship Id="rId92" Type="http://schemas.openxmlformats.org/officeDocument/2006/relationships/image" Target="../media/image449.emf"/></Relationships>
</file>

<file path=xl/drawings/_rels/vmlDrawing5.vml.rels><?xml version="1.0" encoding="UTF-8" standalone="yes"?>
<Relationships xmlns="http://schemas.openxmlformats.org/package/2006/relationships"><Relationship Id="rId13" Type="http://schemas.openxmlformats.org/officeDocument/2006/relationships/image" Target="../media/image480.emf"/><Relationship Id="rId18" Type="http://schemas.openxmlformats.org/officeDocument/2006/relationships/image" Target="../media/image485.emf"/><Relationship Id="rId26" Type="http://schemas.openxmlformats.org/officeDocument/2006/relationships/image" Target="../media/image493.emf"/><Relationship Id="rId39" Type="http://schemas.openxmlformats.org/officeDocument/2006/relationships/image" Target="../media/image506.emf"/><Relationship Id="rId21" Type="http://schemas.openxmlformats.org/officeDocument/2006/relationships/image" Target="../media/image488.emf"/><Relationship Id="rId34" Type="http://schemas.openxmlformats.org/officeDocument/2006/relationships/image" Target="../media/image501.emf"/><Relationship Id="rId42" Type="http://schemas.openxmlformats.org/officeDocument/2006/relationships/image" Target="../media/image509.emf"/><Relationship Id="rId47" Type="http://schemas.openxmlformats.org/officeDocument/2006/relationships/image" Target="../media/image514.emf"/><Relationship Id="rId50" Type="http://schemas.openxmlformats.org/officeDocument/2006/relationships/image" Target="../media/image517.emf"/><Relationship Id="rId55" Type="http://schemas.openxmlformats.org/officeDocument/2006/relationships/image" Target="../media/image522.emf"/><Relationship Id="rId7" Type="http://schemas.openxmlformats.org/officeDocument/2006/relationships/image" Target="../media/image474.emf"/><Relationship Id="rId12" Type="http://schemas.openxmlformats.org/officeDocument/2006/relationships/image" Target="../media/image479.emf"/><Relationship Id="rId17" Type="http://schemas.openxmlformats.org/officeDocument/2006/relationships/image" Target="../media/image484.emf"/><Relationship Id="rId25" Type="http://schemas.openxmlformats.org/officeDocument/2006/relationships/image" Target="../media/image492.emf"/><Relationship Id="rId33" Type="http://schemas.openxmlformats.org/officeDocument/2006/relationships/image" Target="../media/image500.emf"/><Relationship Id="rId38" Type="http://schemas.openxmlformats.org/officeDocument/2006/relationships/image" Target="../media/image505.emf"/><Relationship Id="rId46" Type="http://schemas.openxmlformats.org/officeDocument/2006/relationships/image" Target="../media/image513.emf"/><Relationship Id="rId59" Type="http://schemas.openxmlformats.org/officeDocument/2006/relationships/image" Target="../media/image526.emf"/><Relationship Id="rId2" Type="http://schemas.openxmlformats.org/officeDocument/2006/relationships/image" Target="../media/image469.emf"/><Relationship Id="rId16" Type="http://schemas.openxmlformats.org/officeDocument/2006/relationships/image" Target="../media/image483.emf"/><Relationship Id="rId20" Type="http://schemas.openxmlformats.org/officeDocument/2006/relationships/image" Target="../media/image487.emf"/><Relationship Id="rId29" Type="http://schemas.openxmlformats.org/officeDocument/2006/relationships/image" Target="../media/image496.emf"/><Relationship Id="rId41" Type="http://schemas.openxmlformats.org/officeDocument/2006/relationships/image" Target="../media/image508.emf"/><Relationship Id="rId54" Type="http://schemas.openxmlformats.org/officeDocument/2006/relationships/image" Target="../media/image521.emf"/><Relationship Id="rId1" Type="http://schemas.openxmlformats.org/officeDocument/2006/relationships/image" Target="../media/image468.emf"/><Relationship Id="rId6" Type="http://schemas.openxmlformats.org/officeDocument/2006/relationships/image" Target="../media/image473.emf"/><Relationship Id="rId11" Type="http://schemas.openxmlformats.org/officeDocument/2006/relationships/image" Target="../media/image478.emf"/><Relationship Id="rId24" Type="http://schemas.openxmlformats.org/officeDocument/2006/relationships/image" Target="../media/image491.emf"/><Relationship Id="rId32" Type="http://schemas.openxmlformats.org/officeDocument/2006/relationships/image" Target="../media/image499.emf"/><Relationship Id="rId37" Type="http://schemas.openxmlformats.org/officeDocument/2006/relationships/image" Target="../media/image504.emf"/><Relationship Id="rId40" Type="http://schemas.openxmlformats.org/officeDocument/2006/relationships/image" Target="../media/image507.emf"/><Relationship Id="rId45" Type="http://schemas.openxmlformats.org/officeDocument/2006/relationships/image" Target="../media/image512.emf"/><Relationship Id="rId53" Type="http://schemas.openxmlformats.org/officeDocument/2006/relationships/image" Target="../media/image520.emf"/><Relationship Id="rId58" Type="http://schemas.openxmlformats.org/officeDocument/2006/relationships/image" Target="../media/image525.emf"/><Relationship Id="rId5" Type="http://schemas.openxmlformats.org/officeDocument/2006/relationships/image" Target="../media/image472.emf"/><Relationship Id="rId15" Type="http://schemas.openxmlformats.org/officeDocument/2006/relationships/image" Target="../media/image482.emf"/><Relationship Id="rId23" Type="http://schemas.openxmlformats.org/officeDocument/2006/relationships/image" Target="../media/image490.emf"/><Relationship Id="rId28" Type="http://schemas.openxmlformats.org/officeDocument/2006/relationships/image" Target="../media/image495.emf"/><Relationship Id="rId36" Type="http://schemas.openxmlformats.org/officeDocument/2006/relationships/image" Target="../media/image503.emf"/><Relationship Id="rId49" Type="http://schemas.openxmlformats.org/officeDocument/2006/relationships/image" Target="../media/image516.emf"/><Relationship Id="rId57" Type="http://schemas.openxmlformats.org/officeDocument/2006/relationships/image" Target="../media/image524.emf"/><Relationship Id="rId10" Type="http://schemas.openxmlformats.org/officeDocument/2006/relationships/image" Target="../media/image477.emf"/><Relationship Id="rId19" Type="http://schemas.openxmlformats.org/officeDocument/2006/relationships/image" Target="../media/image486.emf"/><Relationship Id="rId31" Type="http://schemas.openxmlformats.org/officeDocument/2006/relationships/image" Target="../media/image498.emf"/><Relationship Id="rId44" Type="http://schemas.openxmlformats.org/officeDocument/2006/relationships/image" Target="../media/image511.emf"/><Relationship Id="rId52" Type="http://schemas.openxmlformats.org/officeDocument/2006/relationships/image" Target="../media/image519.emf"/><Relationship Id="rId60" Type="http://schemas.openxmlformats.org/officeDocument/2006/relationships/image" Target="../media/image527.emf"/><Relationship Id="rId4" Type="http://schemas.openxmlformats.org/officeDocument/2006/relationships/image" Target="../media/image471.emf"/><Relationship Id="rId9" Type="http://schemas.openxmlformats.org/officeDocument/2006/relationships/image" Target="../media/image476.emf"/><Relationship Id="rId14" Type="http://schemas.openxmlformats.org/officeDocument/2006/relationships/image" Target="../media/image481.emf"/><Relationship Id="rId22" Type="http://schemas.openxmlformats.org/officeDocument/2006/relationships/image" Target="../media/image489.emf"/><Relationship Id="rId27" Type="http://schemas.openxmlformats.org/officeDocument/2006/relationships/image" Target="../media/image494.emf"/><Relationship Id="rId30" Type="http://schemas.openxmlformats.org/officeDocument/2006/relationships/image" Target="../media/image497.emf"/><Relationship Id="rId35" Type="http://schemas.openxmlformats.org/officeDocument/2006/relationships/image" Target="../media/image502.emf"/><Relationship Id="rId43" Type="http://schemas.openxmlformats.org/officeDocument/2006/relationships/image" Target="../media/image510.emf"/><Relationship Id="rId48" Type="http://schemas.openxmlformats.org/officeDocument/2006/relationships/image" Target="../media/image515.emf"/><Relationship Id="rId56" Type="http://schemas.openxmlformats.org/officeDocument/2006/relationships/image" Target="../media/image523.emf"/><Relationship Id="rId8" Type="http://schemas.openxmlformats.org/officeDocument/2006/relationships/image" Target="../media/image475.emf"/><Relationship Id="rId51" Type="http://schemas.openxmlformats.org/officeDocument/2006/relationships/image" Target="../media/image518.emf"/><Relationship Id="rId3" Type="http://schemas.openxmlformats.org/officeDocument/2006/relationships/image" Target="../media/image470.emf"/></Relationships>
</file>

<file path=xl/drawings/_rels/vmlDrawing6.vml.rels><?xml version="1.0" encoding="UTF-8" standalone="yes"?>
<Relationships xmlns="http://schemas.openxmlformats.org/package/2006/relationships"><Relationship Id="rId13" Type="http://schemas.openxmlformats.org/officeDocument/2006/relationships/image" Target="../media/image540.emf"/><Relationship Id="rId18" Type="http://schemas.openxmlformats.org/officeDocument/2006/relationships/image" Target="../media/image545.emf"/><Relationship Id="rId26" Type="http://schemas.openxmlformats.org/officeDocument/2006/relationships/image" Target="../media/image553.emf"/><Relationship Id="rId39" Type="http://schemas.openxmlformats.org/officeDocument/2006/relationships/image" Target="../media/image566.emf"/><Relationship Id="rId21" Type="http://schemas.openxmlformats.org/officeDocument/2006/relationships/image" Target="../media/image548.emf"/><Relationship Id="rId34" Type="http://schemas.openxmlformats.org/officeDocument/2006/relationships/image" Target="../media/image561.emf"/><Relationship Id="rId42" Type="http://schemas.openxmlformats.org/officeDocument/2006/relationships/image" Target="../media/image569.emf"/><Relationship Id="rId47" Type="http://schemas.openxmlformats.org/officeDocument/2006/relationships/image" Target="../media/image574.emf"/><Relationship Id="rId50" Type="http://schemas.openxmlformats.org/officeDocument/2006/relationships/image" Target="../media/image577.emf"/><Relationship Id="rId55" Type="http://schemas.openxmlformats.org/officeDocument/2006/relationships/image" Target="../media/image582.emf"/><Relationship Id="rId7" Type="http://schemas.openxmlformats.org/officeDocument/2006/relationships/image" Target="../media/image534.emf"/><Relationship Id="rId12" Type="http://schemas.openxmlformats.org/officeDocument/2006/relationships/image" Target="../media/image539.emf"/><Relationship Id="rId17" Type="http://schemas.openxmlformats.org/officeDocument/2006/relationships/image" Target="../media/image544.emf"/><Relationship Id="rId25" Type="http://schemas.openxmlformats.org/officeDocument/2006/relationships/image" Target="../media/image552.emf"/><Relationship Id="rId33" Type="http://schemas.openxmlformats.org/officeDocument/2006/relationships/image" Target="../media/image560.emf"/><Relationship Id="rId38" Type="http://schemas.openxmlformats.org/officeDocument/2006/relationships/image" Target="../media/image565.emf"/><Relationship Id="rId46" Type="http://schemas.openxmlformats.org/officeDocument/2006/relationships/image" Target="../media/image573.emf"/><Relationship Id="rId59" Type="http://schemas.openxmlformats.org/officeDocument/2006/relationships/image" Target="../media/image586.emf"/><Relationship Id="rId2" Type="http://schemas.openxmlformats.org/officeDocument/2006/relationships/image" Target="../media/image529.emf"/><Relationship Id="rId16" Type="http://schemas.openxmlformats.org/officeDocument/2006/relationships/image" Target="../media/image543.emf"/><Relationship Id="rId20" Type="http://schemas.openxmlformats.org/officeDocument/2006/relationships/image" Target="../media/image547.emf"/><Relationship Id="rId29" Type="http://schemas.openxmlformats.org/officeDocument/2006/relationships/image" Target="../media/image556.emf"/><Relationship Id="rId41" Type="http://schemas.openxmlformats.org/officeDocument/2006/relationships/image" Target="../media/image568.emf"/><Relationship Id="rId54" Type="http://schemas.openxmlformats.org/officeDocument/2006/relationships/image" Target="../media/image581.emf"/><Relationship Id="rId1" Type="http://schemas.openxmlformats.org/officeDocument/2006/relationships/image" Target="../media/image528.emf"/><Relationship Id="rId6" Type="http://schemas.openxmlformats.org/officeDocument/2006/relationships/image" Target="../media/image533.emf"/><Relationship Id="rId11" Type="http://schemas.openxmlformats.org/officeDocument/2006/relationships/image" Target="../media/image538.emf"/><Relationship Id="rId24" Type="http://schemas.openxmlformats.org/officeDocument/2006/relationships/image" Target="../media/image551.emf"/><Relationship Id="rId32" Type="http://schemas.openxmlformats.org/officeDocument/2006/relationships/image" Target="../media/image559.emf"/><Relationship Id="rId37" Type="http://schemas.openxmlformats.org/officeDocument/2006/relationships/image" Target="../media/image564.emf"/><Relationship Id="rId40" Type="http://schemas.openxmlformats.org/officeDocument/2006/relationships/image" Target="../media/image567.emf"/><Relationship Id="rId45" Type="http://schemas.openxmlformats.org/officeDocument/2006/relationships/image" Target="../media/image572.emf"/><Relationship Id="rId53" Type="http://schemas.openxmlformats.org/officeDocument/2006/relationships/image" Target="../media/image580.emf"/><Relationship Id="rId58" Type="http://schemas.openxmlformats.org/officeDocument/2006/relationships/image" Target="../media/image585.emf"/><Relationship Id="rId5" Type="http://schemas.openxmlformats.org/officeDocument/2006/relationships/image" Target="../media/image532.emf"/><Relationship Id="rId15" Type="http://schemas.openxmlformats.org/officeDocument/2006/relationships/image" Target="../media/image542.emf"/><Relationship Id="rId23" Type="http://schemas.openxmlformats.org/officeDocument/2006/relationships/image" Target="../media/image550.emf"/><Relationship Id="rId28" Type="http://schemas.openxmlformats.org/officeDocument/2006/relationships/image" Target="../media/image555.emf"/><Relationship Id="rId36" Type="http://schemas.openxmlformats.org/officeDocument/2006/relationships/image" Target="../media/image563.emf"/><Relationship Id="rId49" Type="http://schemas.openxmlformats.org/officeDocument/2006/relationships/image" Target="../media/image576.emf"/><Relationship Id="rId57" Type="http://schemas.openxmlformats.org/officeDocument/2006/relationships/image" Target="../media/image584.emf"/><Relationship Id="rId10" Type="http://schemas.openxmlformats.org/officeDocument/2006/relationships/image" Target="../media/image537.emf"/><Relationship Id="rId19" Type="http://schemas.openxmlformats.org/officeDocument/2006/relationships/image" Target="../media/image546.emf"/><Relationship Id="rId31" Type="http://schemas.openxmlformats.org/officeDocument/2006/relationships/image" Target="../media/image558.emf"/><Relationship Id="rId44" Type="http://schemas.openxmlformats.org/officeDocument/2006/relationships/image" Target="../media/image571.emf"/><Relationship Id="rId52" Type="http://schemas.openxmlformats.org/officeDocument/2006/relationships/image" Target="../media/image579.emf"/><Relationship Id="rId60" Type="http://schemas.openxmlformats.org/officeDocument/2006/relationships/image" Target="../media/image587.emf"/><Relationship Id="rId4" Type="http://schemas.openxmlformats.org/officeDocument/2006/relationships/image" Target="../media/image531.emf"/><Relationship Id="rId9" Type="http://schemas.openxmlformats.org/officeDocument/2006/relationships/image" Target="../media/image536.emf"/><Relationship Id="rId14" Type="http://schemas.openxmlformats.org/officeDocument/2006/relationships/image" Target="../media/image541.emf"/><Relationship Id="rId22" Type="http://schemas.openxmlformats.org/officeDocument/2006/relationships/image" Target="../media/image549.emf"/><Relationship Id="rId27" Type="http://schemas.openxmlformats.org/officeDocument/2006/relationships/image" Target="../media/image554.emf"/><Relationship Id="rId30" Type="http://schemas.openxmlformats.org/officeDocument/2006/relationships/image" Target="../media/image557.emf"/><Relationship Id="rId35" Type="http://schemas.openxmlformats.org/officeDocument/2006/relationships/image" Target="../media/image562.emf"/><Relationship Id="rId43" Type="http://schemas.openxmlformats.org/officeDocument/2006/relationships/image" Target="../media/image570.emf"/><Relationship Id="rId48" Type="http://schemas.openxmlformats.org/officeDocument/2006/relationships/image" Target="../media/image575.emf"/><Relationship Id="rId56" Type="http://schemas.openxmlformats.org/officeDocument/2006/relationships/image" Target="../media/image583.emf"/><Relationship Id="rId8" Type="http://schemas.openxmlformats.org/officeDocument/2006/relationships/image" Target="../media/image535.emf"/><Relationship Id="rId51" Type="http://schemas.openxmlformats.org/officeDocument/2006/relationships/image" Target="../media/image578.emf"/><Relationship Id="rId3" Type="http://schemas.openxmlformats.org/officeDocument/2006/relationships/image" Target="../media/image530.emf"/></Relationships>
</file>

<file path=xl/drawings/_rels/vmlDrawing7.vml.rels><?xml version="1.0" encoding="UTF-8" standalone="yes"?>
<Relationships xmlns="http://schemas.openxmlformats.org/package/2006/relationships"><Relationship Id="rId13" Type="http://schemas.openxmlformats.org/officeDocument/2006/relationships/image" Target="../media/image600.emf"/><Relationship Id="rId18" Type="http://schemas.openxmlformats.org/officeDocument/2006/relationships/image" Target="../media/image605.emf"/><Relationship Id="rId26" Type="http://schemas.openxmlformats.org/officeDocument/2006/relationships/image" Target="../media/image613.emf"/><Relationship Id="rId39" Type="http://schemas.openxmlformats.org/officeDocument/2006/relationships/image" Target="../media/image626.emf"/><Relationship Id="rId21" Type="http://schemas.openxmlformats.org/officeDocument/2006/relationships/image" Target="../media/image608.emf"/><Relationship Id="rId34" Type="http://schemas.openxmlformats.org/officeDocument/2006/relationships/image" Target="../media/image621.emf"/><Relationship Id="rId42" Type="http://schemas.openxmlformats.org/officeDocument/2006/relationships/image" Target="../media/image629.emf"/><Relationship Id="rId47" Type="http://schemas.openxmlformats.org/officeDocument/2006/relationships/image" Target="../media/image634.emf"/><Relationship Id="rId50" Type="http://schemas.openxmlformats.org/officeDocument/2006/relationships/image" Target="../media/image637.emf"/><Relationship Id="rId55" Type="http://schemas.openxmlformats.org/officeDocument/2006/relationships/image" Target="../media/image642.emf"/><Relationship Id="rId7" Type="http://schemas.openxmlformats.org/officeDocument/2006/relationships/image" Target="../media/image594.emf"/><Relationship Id="rId12" Type="http://schemas.openxmlformats.org/officeDocument/2006/relationships/image" Target="../media/image599.emf"/><Relationship Id="rId17" Type="http://schemas.openxmlformats.org/officeDocument/2006/relationships/image" Target="../media/image604.emf"/><Relationship Id="rId25" Type="http://schemas.openxmlformats.org/officeDocument/2006/relationships/image" Target="../media/image612.emf"/><Relationship Id="rId33" Type="http://schemas.openxmlformats.org/officeDocument/2006/relationships/image" Target="../media/image620.emf"/><Relationship Id="rId38" Type="http://schemas.openxmlformats.org/officeDocument/2006/relationships/image" Target="../media/image625.emf"/><Relationship Id="rId46" Type="http://schemas.openxmlformats.org/officeDocument/2006/relationships/image" Target="../media/image633.emf"/><Relationship Id="rId59" Type="http://schemas.openxmlformats.org/officeDocument/2006/relationships/image" Target="../media/image646.emf"/><Relationship Id="rId2" Type="http://schemas.openxmlformats.org/officeDocument/2006/relationships/image" Target="../media/image589.emf"/><Relationship Id="rId16" Type="http://schemas.openxmlformats.org/officeDocument/2006/relationships/image" Target="../media/image603.emf"/><Relationship Id="rId20" Type="http://schemas.openxmlformats.org/officeDocument/2006/relationships/image" Target="../media/image607.emf"/><Relationship Id="rId29" Type="http://schemas.openxmlformats.org/officeDocument/2006/relationships/image" Target="../media/image616.emf"/><Relationship Id="rId41" Type="http://schemas.openxmlformats.org/officeDocument/2006/relationships/image" Target="../media/image628.emf"/><Relationship Id="rId54" Type="http://schemas.openxmlformats.org/officeDocument/2006/relationships/image" Target="../media/image641.emf"/><Relationship Id="rId1" Type="http://schemas.openxmlformats.org/officeDocument/2006/relationships/image" Target="../media/image588.emf"/><Relationship Id="rId6" Type="http://schemas.openxmlformats.org/officeDocument/2006/relationships/image" Target="../media/image593.emf"/><Relationship Id="rId11" Type="http://schemas.openxmlformats.org/officeDocument/2006/relationships/image" Target="../media/image598.emf"/><Relationship Id="rId24" Type="http://schemas.openxmlformats.org/officeDocument/2006/relationships/image" Target="../media/image611.emf"/><Relationship Id="rId32" Type="http://schemas.openxmlformats.org/officeDocument/2006/relationships/image" Target="../media/image619.emf"/><Relationship Id="rId37" Type="http://schemas.openxmlformats.org/officeDocument/2006/relationships/image" Target="../media/image624.emf"/><Relationship Id="rId40" Type="http://schemas.openxmlformats.org/officeDocument/2006/relationships/image" Target="../media/image627.emf"/><Relationship Id="rId45" Type="http://schemas.openxmlformats.org/officeDocument/2006/relationships/image" Target="../media/image632.emf"/><Relationship Id="rId53" Type="http://schemas.openxmlformats.org/officeDocument/2006/relationships/image" Target="../media/image640.emf"/><Relationship Id="rId58" Type="http://schemas.openxmlformats.org/officeDocument/2006/relationships/image" Target="../media/image645.emf"/><Relationship Id="rId5" Type="http://schemas.openxmlformats.org/officeDocument/2006/relationships/image" Target="../media/image592.emf"/><Relationship Id="rId15" Type="http://schemas.openxmlformats.org/officeDocument/2006/relationships/image" Target="../media/image602.emf"/><Relationship Id="rId23" Type="http://schemas.openxmlformats.org/officeDocument/2006/relationships/image" Target="../media/image610.emf"/><Relationship Id="rId28" Type="http://schemas.openxmlformats.org/officeDocument/2006/relationships/image" Target="../media/image615.emf"/><Relationship Id="rId36" Type="http://schemas.openxmlformats.org/officeDocument/2006/relationships/image" Target="../media/image623.emf"/><Relationship Id="rId49" Type="http://schemas.openxmlformats.org/officeDocument/2006/relationships/image" Target="../media/image636.emf"/><Relationship Id="rId57" Type="http://schemas.openxmlformats.org/officeDocument/2006/relationships/image" Target="../media/image644.emf"/><Relationship Id="rId10" Type="http://schemas.openxmlformats.org/officeDocument/2006/relationships/image" Target="../media/image597.emf"/><Relationship Id="rId19" Type="http://schemas.openxmlformats.org/officeDocument/2006/relationships/image" Target="../media/image606.emf"/><Relationship Id="rId31" Type="http://schemas.openxmlformats.org/officeDocument/2006/relationships/image" Target="../media/image618.emf"/><Relationship Id="rId44" Type="http://schemas.openxmlformats.org/officeDocument/2006/relationships/image" Target="../media/image631.emf"/><Relationship Id="rId52" Type="http://schemas.openxmlformats.org/officeDocument/2006/relationships/image" Target="../media/image639.emf"/><Relationship Id="rId60" Type="http://schemas.openxmlformats.org/officeDocument/2006/relationships/image" Target="../media/image647.emf"/><Relationship Id="rId4" Type="http://schemas.openxmlformats.org/officeDocument/2006/relationships/image" Target="../media/image591.emf"/><Relationship Id="rId9" Type="http://schemas.openxmlformats.org/officeDocument/2006/relationships/image" Target="../media/image596.emf"/><Relationship Id="rId14" Type="http://schemas.openxmlformats.org/officeDocument/2006/relationships/image" Target="../media/image601.emf"/><Relationship Id="rId22" Type="http://schemas.openxmlformats.org/officeDocument/2006/relationships/image" Target="../media/image609.emf"/><Relationship Id="rId27" Type="http://schemas.openxmlformats.org/officeDocument/2006/relationships/image" Target="../media/image614.emf"/><Relationship Id="rId30" Type="http://schemas.openxmlformats.org/officeDocument/2006/relationships/image" Target="../media/image617.emf"/><Relationship Id="rId35" Type="http://schemas.openxmlformats.org/officeDocument/2006/relationships/image" Target="../media/image622.emf"/><Relationship Id="rId43" Type="http://schemas.openxmlformats.org/officeDocument/2006/relationships/image" Target="../media/image630.emf"/><Relationship Id="rId48" Type="http://schemas.openxmlformats.org/officeDocument/2006/relationships/image" Target="../media/image635.emf"/><Relationship Id="rId56" Type="http://schemas.openxmlformats.org/officeDocument/2006/relationships/image" Target="../media/image643.emf"/><Relationship Id="rId8" Type="http://schemas.openxmlformats.org/officeDocument/2006/relationships/image" Target="../media/image595.emf"/><Relationship Id="rId51" Type="http://schemas.openxmlformats.org/officeDocument/2006/relationships/image" Target="../media/image638.emf"/><Relationship Id="rId3" Type="http://schemas.openxmlformats.org/officeDocument/2006/relationships/image" Target="../media/image590.emf"/></Relationships>
</file>

<file path=xl/drawings/_rels/vmlDrawing8.vml.rels><?xml version="1.0" encoding="UTF-8" standalone="yes"?>
<Relationships xmlns="http://schemas.openxmlformats.org/package/2006/relationships"><Relationship Id="rId8" Type="http://schemas.openxmlformats.org/officeDocument/2006/relationships/image" Target="../media/image655.emf"/><Relationship Id="rId3" Type="http://schemas.openxmlformats.org/officeDocument/2006/relationships/image" Target="../media/image650.emf"/><Relationship Id="rId7" Type="http://schemas.openxmlformats.org/officeDocument/2006/relationships/image" Target="../media/image654.emf"/><Relationship Id="rId2" Type="http://schemas.openxmlformats.org/officeDocument/2006/relationships/image" Target="../media/image649.emf"/><Relationship Id="rId1" Type="http://schemas.openxmlformats.org/officeDocument/2006/relationships/image" Target="../media/image648.emf"/><Relationship Id="rId6" Type="http://schemas.openxmlformats.org/officeDocument/2006/relationships/image" Target="../media/image653.emf"/><Relationship Id="rId5" Type="http://schemas.openxmlformats.org/officeDocument/2006/relationships/image" Target="../media/image652.emf"/><Relationship Id="rId10" Type="http://schemas.openxmlformats.org/officeDocument/2006/relationships/image" Target="../media/image657.emf"/><Relationship Id="rId4" Type="http://schemas.openxmlformats.org/officeDocument/2006/relationships/image" Target="../media/image651.emf"/><Relationship Id="rId9" Type="http://schemas.openxmlformats.org/officeDocument/2006/relationships/image" Target="../media/image656.emf"/></Relationships>
</file>

<file path=xl/drawings/_rels/vmlDrawing9.vml.rels><?xml version="1.0" encoding="UTF-8" standalone="yes"?>
<Relationships xmlns="http://schemas.openxmlformats.org/package/2006/relationships"><Relationship Id="rId8" Type="http://schemas.openxmlformats.org/officeDocument/2006/relationships/image" Target="../media/image665.emf"/><Relationship Id="rId3" Type="http://schemas.openxmlformats.org/officeDocument/2006/relationships/image" Target="../media/image660.emf"/><Relationship Id="rId7" Type="http://schemas.openxmlformats.org/officeDocument/2006/relationships/image" Target="../media/image664.emf"/><Relationship Id="rId2" Type="http://schemas.openxmlformats.org/officeDocument/2006/relationships/image" Target="../media/image659.emf"/><Relationship Id="rId1" Type="http://schemas.openxmlformats.org/officeDocument/2006/relationships/image" Target="../media/image658.emf"/><Relationship Id="rId6" Type="http://schemas.openxmlformats.org/officeDocument/2006/relationships/image" Target="../media/image663.emf"/><Relationship Id="rId5" Type="http://schemas.openxmlformats.org/officeDocument/2006/relationships/image" Target="../media/image662.emf"/><Relationship Id="rId10" Type="http://schemas.openxmlformats.org/officeDocument/2006/relationships/image" Target="../media/image667.emf"/><Relationship Id="rId4" Type="http://schemas.openxmlformats.org/officeDocument/2006/relationships/image" Target="../media/image661.emf"/><Relationship Id="rId9" Type="http://schemas.openxmlformats.org/officeDocument/2006/relationships/image" Target="../media/image666.emf"/></Relationships>
</file>

<file path=xl/drawings/_rels/vmlDrawing14.vml.rels><?xml version="1.0" encoding="UTF-8" standalone="yes"?>
<Relationships xmlns="http://schemas.openxmlformats.org/package/2006/relationships"><Relationship Id="rId1" Type="http://schemas.openxmlformats.org/officeDocument/2006/relationships/image" Target="../media/image668.emf"/></Relationships>
</file>

<file path=xl/drawings/_rels/vmlDrawing16.vml.rels><?xml version="1.0" encoding="UTF-8" standalone="yes"?>
<Relationships xmlns="http://schemas.openxmlformats.org/package/2006/relationships"><Relationship Id="rId8" Type="http://schemas.openxmlformats.org/officeDocument/2006/relationships/image" Target="../media/image676.emf"/><Relationship Id="rId13" Type="http://schemas.openxmlformats.org/officeDocument/2006/relationships/image" Target="../media/image681.emf"/><Relationship Id="rId18" Type="http://schemas.openxmlformats.org/officeDocument/2006/relationships/image" Target="../media/image686.emf"/><Relationship Id="rId26" Type="http://schemas.openxmlformats.org/officeDocument/2006/relationships/image" Target="../media/image694.emf"/><Relationship Id="rId3" Type="http://schemas.openxmlformats.org/officeDocument/2006/relationships/image" Target="../media/image671.emf"/><Relationship Id="rId21" Type="http://schemas.openxmlformats.org/officeDocument/2006/relationships/image" Target="../media/image689.emf"/><Relationship Id="rId7" Type="http://schemas.openxmlformats.org/officeDocument/2006/relationships/image" Target="../media/image675.emf"/><Relationship Id="rId12" Type="http://schemas.openxmlformats.org/officeDocument/2006/relationships/image" Target="../media/image680.emf"/><Relationship Id="rId17" Type="http://schemas.openxmlformats.org/officeDocument/2006/relationships/image" Target="../media/image685.emf"/><Relationship Id="rId25" Type="http://schemas.openxmlformats.org/officeDocument/2006/relationships/image" Target="../media/image693.emf"/><Relationship Id="rId2" Type="http://schemas.openxmlformats.org/officeDocument/2006/relationships/image" Target="../media/image670.emf"/><Relationship Id="rId16" Type="http://schemas.openxmlformats.org/officeDocument/2006/relationships/image" Target="../media/image684.emf"/><Relationship Id="rId20" Type="http://schemas.openxmlformats.org/officeDocument/2006/relationships/image" Target="../media/image688.emf"/><Relationship Id="rId29" Type="http://schemas.openxmlformats.org/officeDocument/2006/relationships/image" Target="../media/image697.emf"/><Relationship Id="rId1" Type="http://schemas.openxmlformats.org/officeDocument/2006/relationships/image" Target="../media/image669.emf"/><Relationship Id="rId6" Type="http://schemas.openxmlformats.org/officeDocument/2006/relationships/image" Target="../media/image674.emf"/><Relationship Id="rId11" Type="http://schemas.openxmlformats.org/officeDocument/2006/relationships/image" Target="../media/image679.emf"/><Relationship Id="rId24" Type="http://schemas.openxmlformats.org/officeDocument/2006/relationships/image" Target="../media/image692.emf"/><Relationship Id="rId5" Type="http://schemas.openxmlformats.org/officeDocument/2006/relationships/image" Target="../media/image673.emf"/><Relationship Id="rId15" Type="http://schemas.openxmlformats.org/officeDocument/2006/relationships/image" Target="../media/image683.emf"/><Relationship Id="rId23" Type="http://schemas.openxmlformats.org/officeDocument/2006/relationships/image" Target="../media/image691.emf"/><Relationship Id="rId28" Type="http://schemas.openxmlformats.org/officeDocument/2006/relationships/image" Target="../media/image696.emf"/><Relationship Id="rId10" Type="http://schemas.openxmlformats.org/officeDocument/2006/relationships/image" Target="../media/image678.emf"/><Relationship Id="rId19" Type="http://schemas.openxmlformats.org/officeDocument/2006/relationships/image" Target="../media/image687.emf"/><Relationship Id="rId4" Type="http://schemas.openxmlformats.org/officeDocument/2006/relationships/image" Target="../media/image672.emf"/><Relationship Id="rId9" Type="http://schemas.openxmlformats.org/officeDocument/2006/relationships/image" Target="../media/image677.emf"/><Relationship Id="rId14" Type="http://schemas.openxmlformats.org/officeDocument/2006/relationships/image" Target="../media/image682.emf"/><Relationship Id="rId22" Type="http://schemas.openxmlformats.org/officeDocument/2006/relationships/image" Target="../media/image690.emf"/><Relationship Id="rId27" Type="http://schemas.openxmlformats.org/officeDocument/2006/relationships/image" Target="../media/image695.emf"/></Relationships>
</file>

<file path=xl/drawings/_rels/vmlDrawing17.vml.rels><?xml version="1.0" encoding="UTF-8" standalone="yes"?>
<Relationships xmlns="http://schemas.openxmlformats.org/package/2006/relationships"><Relationship Id="rId8" Type="http://schemas.openxmlformats.org/officeDocument/2006/relationships/image" Target="../media/image705.emf"/><Relationship Id="rId3" Type="http://schemas.openxmlformats.org/officeDocument/2006/relationships/image" Target="../media/image700.emf"/><Relationship Id="rId7" Type="http://schemas.openxmlformats.org/officeDocument/2006/relationships/image" Target="../media/image704.emf"/><Relationship Id="rId12" Type="http://schemas.openxmlformats.org/officeDocument/2006/relationships/image" Target="../media/image709.emf"/><Relationship Id="rId2" Type="http://schemas.openxmlformats.org/officeDocument/2006/relationships/image" Target="../media/image699.emf"/><Relationship Id="rId1" Type="http://schemas.openxmlformats.org/officeDocument/2006/relationships/image" Target="../media/image698.emf"/><Relationship Id="rId6" Type="http://schemas.openxmlformats.org/officeDocument/2006/relationships/image" Target="../media/image703.emf"/><Relationship Id="rId11" Type="http://schemas.openxmlformats.org/officeDocument/2006/relationships/image" Target="../media/image708.emf"/><Relationship Id="rId5" Type="http://schemas.openxmlformats.org/officeDocument/2006/relationships/image" Target="../media/image702.emf"/><Relationship Id="rId10" Type="http://schemas.openxmlformats.org/officeDocument/2006/relationships/image" Target="../media/image707.emf"/><Relationship Id="rId4" Type="http://schemas.openxmlformats.org/officeDocument/2006/relationships/image" Target="../media/image701.emf"/><Relationship Id="rId9" Type="http://schemas.openxmlformats.org/officeDocument/2006/relationships/image" Target="../media/image706.emf"/></Relationships>
</file>

<file path=xl/drawings/drawing1.xml><?xml version="1.0" encoding="utf-8"?>
<xdr:wsDr xmlns:xdr="http://schemas.openxmlformats.org/drawingml/2006/spreadsheetDrawing" xmlns:a="http://schemas.openxmlformats.org/drawingml/2006/main">
  <xdr:twoCellAnchor>
    <xdr:from>
      <xdr:col>4</xdr:col>
      <xdr:colOff>63499</xdr:colOff>
      <xdr:row>277</xdr:row>
      <xdr:rowOff>12700</xdr:rowOff>
    </xdr:from>
    <xdr:to>
      <xdr:col>4</xdr:col>
      <xdr:colOff>2603499</xdr:colOff>
      <xdr:row>277</xdr:row>
      <xdr:rowOff>1409700</xdr:rowOff>
    </xdr:to>
    <xdr:pic>
      <xdr:nvPicPr>
        <xdr:cNvPr id="2" name="Picture 1">
          <a:extLst>
            <a:ext uri="{FF2B5EF4-FFF2-40B4-BE49-F238E27FC236}">
              <a16:creationId xmlns:a16="http://schemas.microsoft.com/office/drawing/2014/main" id="{E4A97AD6-B2CC-4C07-A9C7-31CFF298D5B0}"/>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603499" y="51022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278</xdr:row>
      <xdr:rowOff>12700</xdr:rowOff>
    </xdr:from>
    <xdr:to>
      <xdr:col>4</xdr:col>
      <xdr:colOff>2603499</xdr:colOff>
      <xdr:row>278</xdr:row>
      <xdr:rowOff>1409700</xdr:rowOff>
    </xdr:to>
    <xdr:pic>
      <xdr:nvPicPr>
        <xdr:cNvPr id="3" name="Picture 2">
          <a:extLst>
            <a:ext uri="{FF2B5EF4-FFF2-40B4-BE49-F238E27FC236}">
              <a16:creationId xmlns:a16="http://schemas.microsoft.com/office/drawing/2014/main" id="{1015581F-449F-43CA-9D1D-3D52F2EC3842}"/>
            </a:ext>
          </a:extLst>
        </xdr:cNvPr>
        <xdr:cNvPicPr>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03499" y="51206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279</xdr:row>
      <xdr:rowOff>12700</xdr:rowOff>
    </xdr:from>
    <xdr:to>
      <xdr:col>4</xdr:col>
      <xdr:colOff>2603499</xdr:colOff>
      <xdr:row>279</xdr:row>
      <xdr:rowOff>1409700</xdr:rowOff>
    </xdr:to>
    <xdr:pic>
      <xdr:nvPicPr>
        <xdr:cNvPr id="4" name="Picture 3">
          <a:extLst>
            <a:ext uri="{FF2B5EF4-FFF2-40B4-BE49-F238E27FC236}">
              <a16:creationId xmlns:a16="http://schemas.microsoft.com/office/drawing/2014/main" id="{3A7072F3-21FF-4D8B-9D05-B25E5C008B02}"/>
            </a:ext>
          </a:extLst>
        </xdr:cNvPr>
        <xdr:cNvPicPr>
          <a:picLocks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03499" y="51390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280</xdr:row>
      <xdr:rowOff>12700</xdr:rowOff>
    </xdr:from>
    <xdr:to>
      <xdr:col>4</xdr:col>
      <xdr:colOff>2603499</xdr:colOff>
      <xdr:row>280</xdr:row>
      <xdr:rowOff>1409700</xdr:rowOff>
    </xdr:to>
    <xdr:pic>
      <xdr:nvPicPr>
        <xdr:cNvPr id="5" name="Picture 4">
          <a:extLst>
            <a:ext uri="{FF2B5EF4-FFF2-40B4-BE49-F238E27FC236}">
              <a16:creationId xmlns:a16="http://schemas.microsoft.com/office/drawing/2014/main" id="{591A843E-8C04-4CF1-9734-1BC67C9E0830}"/>
            </a:ext>
          </a:extLst>
        </xdr:cNvPr>
        <xdr:cNvPicPr>
          <a:picLocks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03499" y="51574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281</xdr:row>
      <xdr:rowOff>12700</xdr:rowOff>
    </xdr:from>
    <xdr:to>
      <xdr:col>4</xdr:col>
      <xdr:colOff>2603499</xdr:colOff>
      <xdr:row>281</xdr:row>
      <xdr:rowOff>1409700</xdr:rowOff>
    </xdr:to>
    <xdr:pic>
      <xdr:nvPicPr>
        <xdr:cNvPr id="6" name="Picture 5">
          <a:extLst>
            <a:ext uri="{FF2B5EF4-FFF2-40B4-BE49-F238E27FC236}">
              <a16:creationId xmlns:a16="http://schemas.microsoft.com/office/drawing/2014/main" id="{12676781-D9C4-44A1-9AA4-CF18941D7CCF}"/>
            </a:ext>
          </a:extLst>
        </xdr:cNvPr>
        <xdr:cNvPicPr>
          <a:picLocks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03499" y="51758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282</xdr:row>
      <xdr:rowOff>12700</xdr:rowOff>
    </xdr:from>
    <xdr:to>
      <xdr:col>4</xdr:col>
      <xdr:colOff>2603499</xdr:colOff>
      <xdr:row>282</xdr:row>
      <xdr:rowOff>1409700</xdr:rowOff>
    </xdr:to>
    <xdr:pic>
      <xdr:nvPicPr>
        <xdr:cNvPr id="7" name="Picture 6">
          <a:extLst>
            <a:ext uri="{FF2B5EF4-FFF2-40B4-BE49-F238E27FC236}">
              <a16:creationId xmlns:a16="http://schemas.microsoft.com/office/drawing/2014/main" id="{B6FB7D0F-AB66-4246-822B-1DDEB4D4ED94}"/>
            </a:ext>
          </a:extLst>
        </xdr:cNvPr>
        <xdr:cNvPicPr>
          <a:picLocks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03499" y="51943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283</xdr:row>
      <xdr:rowOff>12700</xdr:rowOff>
    </xdr:from>
    <xdr:to>
      <xdr:col>4</xdr:col>
      <xdr:colOff>2603499</xdr:colOff>
      <xdr:row>283</xdr:row>
      <xdr:rowOff>1409700</xdr:rowOff>
    </xdr:to>
    <xdr:pic>
      <xdr:nvPicPr>
        <xdr:cNvPr id="8" name="Picture 7">
          <a:extLst>
            <a:ext uri="{FF2B5EF4-FFF2-40B4-BE49-F238E27FC236}">
              <a16:creationId xmlns:a16="http://schemas.microsoft.com/office/drawing/2014/main" id="{CC929E93-D8B8-46D3-9875-08D31BF7A647}"/>
            </a:ext>
          </a:extLst>
        </xdr:cNvPr>
        <xdr:cNvPicPr>
          <a:picLocks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603499" y="52127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284</xdr:row>
      <xdr:rowOff>12700</xdr:rowOff>
    </xdr:from>
    <xdr:to>
      <xdr:col>4</xdr:col>
      <xdr:colOff>2603499</xdr:colOff>
      <xdr:row>284</xdr:row>
      <xdr:rowOff>1409700</xdr:rowOff>
    </xdr:to>
    <xdr:pic>
      <xdr:nvPicPr>
        <xdr:cNvPr id="9" name="Picture 8">
          <a:extLst>
            <a:ext uri="{FF2B5EF4-FFF2-40B4-BE49-F238E27FC236}">
              <a16:creationId xmlns:a16="http://schemas.microsoft.com/office/drawing/2014/main" id="{DAD0BFC6-ADDB-4453-8230-C9CEF0A468C7}"/>
            </a:ext>
          </a:extLst>
        </xdr:cNvPr>
        <xdr:cNvPicPr>
          <a:picLocks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603499" y="52311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285</xdr:row>
      <xdr:rowOff>12700</xdr:rowOff>
    </xdr:from>
    <xdr:to>
      <xdr:col>4</xdr:col>
      <xdr:colOff>2603499</xdr:colOff>
      <xdr:row>285</xdr:row>
      <xdr:rowOff>1409700</xdr:rowOff>
    </xdr:to>
    <xdr:pic>
      <xdr:nvPicPr>
        <xdr:cNvPr id="10" name="Picture 9">
          <a:extLst>
            <a:ext uri="{FF2B5EF4-FFF2-40B4-BE49-F238E27FC236}">
              <a16:creationId xmlns:a16="http://schemas.microsoft.com/office/drawing/2014/main" id="{1770B621-4D36-4BE6-B1D1-4ADCFDFB48C8}"/>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603499" y="52495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286</xdr:row>
      <xdr:rowOff>12700</xdr:rowOff>
    </xdr:from>
    <xdr:to>
      <xdr:col>4</xdr:col>
      <xdr:colOff>2603499</xdr:colOff>
      <xdr:row>286</xdr:row>
      <xdr:rowOff>1409700</xdr:rowOff>
    </xdr:to>
    <xdr:pic>
      <xdr:nvPicPr>
        <xdr:cNvPr id="11" name="Picture 10">
          <a:extLst>
            <a:ext uri="{FF2B5EF4-FFF2-40B4-BE49-F238E27FC236}">
              <a16:creationId xmlns:a16="http://schemas.microsoft.com/office/drawing/2014/main" id="{B2B6E89B-8F5F-4165-BB51-C61F5227DB4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603499" y="52679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287</xdr:row>
      <xdr:rowOff>12700</xdr:rowOff>
    </xdr:from>
    <xdr:to>
      <xdr:col>4</xdr:col>
      <xdr:colOff>2603499</xdr:colOff>
      <xdr:row>287</xdr:row>
      <xdr:rowOff>1409700</xdr:rowOff>
    </xdr:to>
    <xdr:pic>
      <xdr:nvPicPr>
        <xdr:cNvPr id="12" name="Picture 11">
          <a:extLst>
            <a:ext uri="{FF2B5EF4-FFF2-40B4-BE49-F238E27FC236}">
              <a16:creationId xmlns:a16="http://schemas.microsoft.com/office/drawing/2014/main" id="{7052BB67-7324-4101-8198-2415BE52EE53}"/>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603499" y="52863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288</xdr:row>
      <xdr:rowOff>12700</xdr:rowOff>
    </xdr:from>
    <xdr:to>
      <xdr:col>4</xdr:col>
      <xdr:colOff>2603499</xdr:colOff>
      <xdr:row>288</xdr:row>
      <xdr:rowOff>1409700</xdr:rowOff>
    </xdr:to>
    <xdr:pic>
      <xdr:nvPicPr>
        <xdr:cNvPr id="13" name="Picture 12">
          <a:extLst>
            <a:ext uri="{FF2B5EF4-FFF2-40B4-BE49-F238E27FC236}">
              <a16:creationId xmlns:a16="http://schemas.microsoft.com/office/drawing/2014/main" id="{B667C423-FA63-43F1-96C7-5158DE58ABE4}"/>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603499" y="53047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289</xdr:row>
      <xdr:rowOff>12700</xdr:rowOff>
    </xdr:from>
    <xdr:to>
      <xdr:col>4</xdr:col>
      <xdr:colOff>2603499</xdr:colOff>
      <xdr:row>289</xdr:row>
      <xdr:rowOff>1409700</xdr:rowOff>
    </xdr:to>
    <xdr:pic>
      <xdr:nvPicPr>
        <xdr:cNvPr id="14" name="Picture 13">
          <a:extLst>
            <a:ext uri="{FF2B5EF4-FFF2-40B4-BE49-F238E27FC236}">
              <a16:creationId xmlns:a16="http://schemas.microsoft.com/office/drawing/2014/main" id="{60100800-A8DE-412B-83EE-8F564B0CB18A}"/>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03499" y="53232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290</xdr:row>
      <xdr:rowOff>12700</xdr:rowOff>
    </xdr:from>
    <xdr:to>
      <xdr:col>4</xdr:col>
      <xdr:colOff>2603499</xdr:colOff>
      <xdr:row>290</xdr:row>
      <xdr:rowOff>1409700</xdr:rowOff>
    </xdr:to>
    <xdr:pic>
      <xdr:nvPicPr>
        <xdr:cNvPr id="15" name="Picture 14">
          <a:extLst>
            <a:ext uri="{FF2B5EF4-FFF2-40B4-BE49-F238E27FC236}">
              <a16:creationId xmlns:a16="http://schemas.microsoft.com/office/drawing/2014/main" id="{FF531EFF-186F-4319-B6DC-37802ABB6ABE}"/>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603499" y="53416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291</xdr:row>
      <xdr:rowOff>12700</xdr:rowOff>
    </xdr:from>
    <xdr:to>
      <xdr:col>4</xdr:col>
      <xdr:colOff>2603499</xdr:colOff>
      <xdr:row>291</xdr:row>
      <xdr:rowOff>1409700</xdr:rowOff>
    </xdr:to>
    <xdr:pic>
      <xdr:nvPicPr>
        <xdr:cNvPr id="16" name="Picture 15">
          <a:extLst>
            <a:ext uri="{FF2B5EF4-FFF2-40B4-BE49-F238E27FC236}">
              <a16:creationId xmlns:a16="http://schemas.microsoft.com/office/drawing/2014/main" id="{95993E44-9A9E-4085-8C47-AA720F611A25}"/>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603499" y="53600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292</xdr:row>
      <xdr:rowOff>12700</xdr:rowOff>
    </xdr:from>
    <xdr:to>
      <xdr:col>4</xdr:col>
      <xdr:colOff>2603499</xdr:colOff>
      <xdr:row>292</xdr:row>
      <xdr:rowOff>1409700</xdr:rowOff>
    </xdr:to>
    <xdr:pic>
      <xdr:nvPicPr>
        <xdr:cNvPr id="17" name="Picture 16">
          <a:extLst>
            <a:ext uri="{FF2B5EF4-FFF2-40B4-BE49-F238E27FC236}">
              <a16:creationId xmlns:a16="http://schemas.microsoft.com/office/drawing/2014/main" id="{FE1D8056-64E9-4B15-BDAD-1A6E117E5552}"/>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03499" y="53784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293</xdr:row>
      <xdr:rowOff>12700</xdr:rowOff>
    </xdr:from>
    <xdr:to>
      <xdr:col>4</xdr:col>
      <xdr:colOff>2603499</xdr:colOff>
      <xdr:row>293</xdr:row>
      <xdr:rowOff>1409700</xdr:rowOff>
    </xdr:to>
    <xdr:pic>
      <xdr:nvPicPr>
        <xdr:cNvPr id="18" name="Picture 17">
          <a:extLst>
            <a:ext uri="{FF2B5EF4-FFF2-40B4-BE49-F238E27FC236}">
              <a16:creationId xmlns:a16="http://schemas.microsoft.com/office/drawing/2014/main" id="{0E11026E-4242-4A4D-AA39-E8E820202CE1}"/>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603499" y="53968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294</xdr:row>
      <xdr:rowOff>12700</xdr:rowOff>
    </xdr:from>
    <xdr:to>
      <xdr:col>4</xdr:col>
      <xdr:colOff>2603499</xdr:colOff>
      <xdr:row>294</xdr:row>
      <xdr:rowOff>1409700</xdr:rowOff>
    </xdr:to>
    <xdr:pic>
      <xdr:nvPicPr>
        <xdr:cNvPr id="19" name="Picture 18">
          <a:extLst>
            <a:ext uri="{FF2B5EF4-FFF2-40B4-BE49-F238E27FC236}">
              <a16:creationId xmlns:a16="http://schemas.microsoft.com/office/drawing/2014/main" id="{502B44FD-13C3-4929-AE3A-3123E61748BD}"/>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603499" y="54152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295</xdr:row>
      <xdr:rowOff>12700</xdr:rowOff>
    </xdr:from>
    <xdr:to>
      <xdr:col>4</xdr:col>
      <xdr:colOff>2603499</xdr:colOff>
      <xdr:row>295</xdr:row>
      <xdr:rowOff>1409700</xdr:rowOff>
    </xdr:to>
    <xdr:pic>
      <xdr:nvPicPr>
        <xdr:cNvPr id="20" name="Picture 19">
          <a:extLst>
            <a:ext uri="{FF2B5EF4-FFF2-40B4-BE49-F238E27FC236}">
              <a16:creationId xmlns:a16="http://schemas.microsoft.com/office/drawing/2014/main" id="{6CA012AB-6B2C-4FFE-8246-F175FE3C9B48}"/>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603499" y="54336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296</xdr:row>
      <xdr:rowOff>12700</xdr:rowOff>
    </xdr:from>
    <xdr:to>
      <xdr:col>4</xdr:col>
      <xdr:colOff>2603499</xdr:colOff>
      <xdr:row>296</xdr:row>
      <xdr:rowOff>1409700</xdr:rowOff>
    </xdr:to>
    <xdr:pic>
      <xdr:nvPicPr>
        <xdr:cNvPr id="21" name="Picture 20">
          <a:extLst>
            <a:ext uri="{FF2B5EF4-FFF2-40B4-BE49-F238E27FC236}">
              <a16:creationId xmlns:a16="http://schemas.microsoft.com/office/drawing/2014/main" id="{E1EEC80C-24B4-4392-A8A4-38968A8553E0}"/>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603499" y="54521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297</xdr:row>
      <xdr:rowOff>12700</xdr:rowOff>
    </xdr:from>
    <xdr:to>
      <xdr:col>4</xdr:col>
      <xdr:colOff>2603499</xdr:colOff>
      <xdr:row>297</xdr:row>
      <xdr:rowOff>1409700</xdr:rowOff>
    </xdr:to>
    <xdr:pic>
      <xdr:nvPicPr>
        <xdr:cNvPr id="22" name="Picture 21">
          <a:extLst>
            <a:ext uri="{FF2B5EF4-FFF2-40B4-BE49-F238E27FC236}">
              <a16:creationId xmlns:a16="http://schemas.microsoft.com/office/drawing/2014/main" id="{25FE6EB4-9F15-4C10-9CFB-2ED4E54ACB3D}"/>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603499" y="54705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298</xdr:row>
      <xdr:rowOff>12700</xdr:rowOff>
    </xdr:from>
    <xdr:to>
      <xdr:col>4</xdr:col>
      <xdr:colOff>2603499</xdr:colOff>
      <xdr:row>298</xdr:row>
      <xdr:rowOff>1409700</xdr:rowOff>
    </xdr:to>
    <xdr:pic>
      <xdr:nvPicPr>
        <xdr:cNvPr id="23" name="Picture 22">
          <a:extLst>
            <a:ext uri="{FF2B5EF4-FFF2-40B4-BE49-F238E27FC236}">
              <a16:creationId xmlns:a16="http://schemas.microsoft.com/office/drawing/2014/main" id="{1866B214-FFC5-46F5-9CBC-830E4C6ACDDC}"/>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2603499" y="54889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299</xdr:row>
      <xdr:rowOff>12700</xdr:rowOff>
    </xdr:from>
    <xdr:to>
      <xdr:col>4</xdr:col>
      <xdr:colOff>2603499</xdr:colOff>
      <xdr:row>299</xdr:row>
      <xdr:rowOff>1409700</xdr:rowOff>
    </xdr:to>
    <xdr:pic>
      <xdr:nvPicPr>
        <xdr:cNvPr id="24" name="Picture 23">
          <a:extLst>
            <a:ext uri="{FF2B5EF4-FFF2-40B4-BE49-F238E27FC236}">
              <a16:creationId xmlns:a16="http://schemas.microsoft.com/office/drawing/2014/main" id="{039FFFD5-A9C6-448E-A2DD-771A1F9B14E9}"/>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603499" y="55073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300</xdr:row>
      <xdr:rowOff>12700</xdr:rowOff>
    </xdr:from>
    <xdr:to>
      <xdr:col>4</xdr:col>
      <xdr:colOff>2603499</xdr:colOff>
      <xdr:row>300</xdr:row>
      <xdr:rowOff>1409700</xdr:rowOff>
    </xdr:to>
    <xdr:pic>
      <xdr:nvPicPr>
        <xdr:cNvPr id="25" name="Picture 24">
          <a:extLst>
            <a:ext uri="{FF2B5EF4-FFF2-40B4-BE49-F238E27FC236}">
              <a16:creationId xmlns:a16="http://schemas.microsoft.com/office/drawing/2014/main" id="{C3534BB2-E763-4465-A5ED-1E4F3E1ED54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2603499" y="55257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301</xdr:row>
      <xdr:rowOff>12700</xdr:rowOff>
    </xdr:from>
    <xdr:to>
      <xdr:col>4</xdr:col>
      <xdr:colOff>2603499</xdr:colOff>
      <xdr:row>301</xdr:row>
      <xdr:rowOff>1409700</xdr:rowOff>
    </xdr:to>
    <xdr:pic>
      <xdr:nvPicPr>
        <xdr:cNvPr id="26" name="Picture 25">
          <a:extLst>
            <a:ext uri="{FF2B5EF4-FFF2-40B4-BE49-F238E27FC236}">
              <a16:creationId xmlns:a16="http://schemas.microsoft.com/office/drawing/2014/main" id="{12064FC4-CFDD-4962-8DF7-BC966CC5E47F}"/>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2603499" y="55441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302</xdr:row>
      <xdr:rowOff>12700</xdr:rowOff>
    </xdr:from>
    <xdr:to>
      <xdr:col>4</xdr:col>
      <xdr:colOff>2603499</xdr:colOff>
      <xdr:row>302</xdr:row>
      <xdr:rowOff>1409700</xdr:rowOff>
    </xdr:to>
    <xdr:pic>
      <xdr:nvPicPr>
        <xdr:cNvPr id="27" name="Picture 26">
          <a:extLst>
            <a:ext uri="{FF2B5EF4-FFF2-40B4-BE49-F238E27FC236}">
              <a16:creationId xmlns:a16="http://schemas.microsoft.com/office/drawing/2014/main" id="{84F7B543-E9E7-4C72-B8B2-605BB738EF15}"/>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2603499" y="55626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303</xdr:row>
      <xdr:rowOff>12700</xdr:rowOff>
    </xdr:from>
    <xdr:to>
      <xdr:col>4</xdr:col>
      <xdr:colOff>2603499</xdr:colOff>
      <xdr:row>303</xdr:row>
      <xdr:rowOff>1409700</xdr:rowOff>
    </xdr:to>
    <xdr:pic>
      <xdr:nvPicPr>
        <xdr:cNvPr id="28" name="Picture 27">
          <a:extLst>
            <a:ext uri="{FF2B5EF4-FFF2-40B4-BE49-F238E27FC236}">
              <a16:creationId xmlns:a16="http://schemas.microsoft.com/office/drawing/2014/main" id="{6853CEE1-0FDB-43FC-962B-CEE233F290A2}"/>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2603499" y="55810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304</xdr:row>
      <xdr:rowOff>12700</xdr:rowOff>
    </xdr:from>
    <xdr:to>
      <xdr:col>4</xdr:col>
      <xdr:colOff>2603499</xdr:colOff>
      <xdr:row>304</xdr:row>
      <xdr:rowOff>1409700</xdr:rowOff>
    </xdr:to>
    <xdr:pic>
      <xdr:nvPicPr>
        <xdr:cNvPr id="29" name="Picture 28">
          <a:extLst>
            <a:ext uri="{FF2B5EF4-FFF2-40B4-BE49-F238E27FC236}">
              <a16:creationId xmlns:a16="http://schemas.microsoft.com/office/drawing/2014/main" id="{94484FF9-3C5D-4AC9-8BC1-0D3A602CB38B}"/>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2603499" y="55994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305</xdr:row>
      <xdr:rowOff>12700</xdr:rowOff>
    </xdr:from>
    <xdr:to>
      <xdr:col>4</xdr:col>
      <xdr:colOff>2603499</xdr:colOff>
      <xdr:row>305</xdr:row>
      <xdr:rowOff>1409700</xdr:rowOff>
    </xdr:to>
    <xdr:pic>
      <xdr:nvPicPr>
        <xdr:cNvPr id="30" name="Picture 29">
          <a:extLst>
            <a:ext uri="{FF2B5EF4-FFF2-40B4-BE49-F238E27FC236}">
              <a16:creationId xmlns:a16="http://schemas.microsoft.com/office/drawing/2014/main" id="{110A2214-D609-4C3A-8C08-8301BE5C4B6E}"/>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603499" y="56178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306</xdr:row>
      <xdr:rowOff>12700</xdr:rowOff>
    </xdr:from>
    <xdr:to>
      <xdr:col>4</xdr:col>
      <xdr:colOff>2603499</xdr:colOff>
      <xdr:row>306</xdr:row>
      <xdr:rowOff>1409700</xdr:rowOff>
    </xdr:to>
    <xdr:pic>
      <xdr:nvPicPr>
        <xdr:cNvPr id="31" name="Picture 30">
          <a:extLst>
            <a:ext uri="{FF2B5EF4-FFF2-40B4-BE49-F238E27FC236}">
              <a16:creationId xmlns:a16="http://schemas.microsoft.com/office/drawing/2014/main" id="{2E0DC829-6D27-4D86-8895-7B65FA034FAA}"/>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603499" y="56362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307</xdr:row>
      <xdr:rowOff>12700</xdr:rowOff>
    </xdr:from>
    <xdr:to>
      <xdr:col>4</xdr:col>
      <xdr:colOff>2603499</xdr:colOff>
      <xdr:row>307</xdr:row>
      <xdr:rowOff>1409700</xdr:rowOff>
    </xdr:to>
    <xdr:pic>
      <xdr:nvPicPr>
        <xdr:cNvPr id="32" name="Picture 31">
          <a:extLst>
            <a:ext uri="{FF2B5EF4-FFF2-40B4-BE49-F238E27FC236}">
              <a16:creationId xmlns:a16="http://schemas.microsoft.com/office/drawing/2014/main" id="{4DE912E3-DE20-438C-A210-45C9AFF1E186}"/>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2603499" y="56546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308</xdr:row>
      <xdr:rowOff>12700</xdr:rowOff>
    </xdr:from>
    <xdr:to>
      <xdr:col>4</xdr:col>
      <xdr:colOff>2603499</xdr:colOff>
      <xdr:row>308</xdr:row>
      <xdr:rowOff>1409700</xdr:rowOff>
    </xdr:to>
    <xdr:pic>
      <xdr:nvPicPr>
        <xdr:cNvPr id="33" name="Picture 32">
          <a:extLst>
            <a:ext uri="{FF2B5EF4-FFF2-40B4-BE49-F238E27FC236}">
              <a16:creationId xmlns:a16="http://schemas.microsoft.com/office/drawing/2014/main" id="{A2089470-F97E-4D15-9BC6-10F02ED2E00D}"/>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2603499" y="56730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309</xdr:row>
      <xdr:rowOff>12700</xdr:rowOff>
    </xdr:from>
    <xdr:to>
      <xdr:col>4</xdr:col>
      <xdr:colOff>2603499</xdr:colOff>
      <xdr:row>309</xdr:row>
      <xdr:rowOff>1409700</xdr:rowOff>
    </xdr:to>
    <xdr:pic>
      <xdr:nvPicPr>
        <xdr:cNvPr id="34" name="Picture 33">
          <a:extLst>
            <a:ext uri="{FF2B5EF4-FFF2-40B4-BE49-F238E27FC236}">
              <a16:creationId xmlns:a16="http://schemas.microsoft.com/office/drawing/2014/main" id="{F8B7207B-2561-4EEB-B7A9-6CC7664B6EE2}"/>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2603499" y="56915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310</xdr:row>
      <xdr:rowOff>12700</xdr:rowOff>
    </xdr:from>
    <xdr:to>
      <xdr:col>4</xdr:col>
      <xdr:colOff>2603499</xdr:colOff>
      <xdr:row>310</xdr:row>
      <xdr:rowOff>1409700</xdr:rowOff>
    </xdr:to>
    <xdr:pic>
      <xdr:nvPicPr>
        <xdr:cNvPr id="35" name="Picture 34">
          <a:extLst>
            <a:ext uri="{FF2B5EF4-FFF2-40B4-BE49-F238E27FC236}">
              <a16:creationId xmlns:a16="http://schemas.microsoft.com/office/drawing/2014/main" id="{0AE79720-7911-4EC2-B1FE-2E90455E3C4F}"/>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2603499" y="57099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311</xdr:row>
      <xdr:rowOff>12700</xdr:rowOff>
    </xdr:from>
    <xdr:to>
      <xdr:col>4</xdr:col>
      <xdr:colOff>2603499</xdr:colOff>
      <xdr:row>311</xdr:row>
      <xdr:rowOff>1409700</xdr:rowOff>
    </xdr:to>
    <xdr:pic>
      <xdr:nvPicPr>
        <xdr:cNvPr id="36" name="Picture 35">
          <a:extLst>
            <a:ext uri="{FF2B5EF4-FFF2-40B4-BE49-F238E27FC236}">
              <a16:creationId xmlns:a16="http://schemas.microsoft.com/office/drawing/2014/main" id="{81E4E881-1CE4-4A79-B623-1B7E0A54160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603499" y="57283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312</xdr:row>
      <xdr:rowOff>12700</xdr:rowOff>
    </xdr:from>
    <xdr:to>
      <xdr:col>4</xdr:col>
      <xdr:colOff>2603499</xdr:colOff>
      <xdr:row>312</xdr:row>
      <xdr:rowOff>1409700</xdr:rowOff>
    </xdr:to>
    <xdr:pic>
      <xdr:nvPicPr>
        <xdr:cNvPr id="37" name="Picture 36">
          <a:extLst>
            <a:ext uri="{FF2B5EF4-FFF2-40B4-BE49-F238E27FC236}">
              <a16:creationId xmlns:a16="http://schemas.microsoft.com/office/drawing/2014/main" id="{8C099DAD-21A4-4A07-989F-42316FD673BC}"/>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2603499" y="57467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313</xdr:row>
      <xdr:rowOff>12700</xdr:rowOff>
    </xdr:from>
    <xdr:to>
      <xdr:col>4</xdr:col>
      <xdr:colOff>2603499</xdr:colOff>
      <xdr:row>313</xdr:row>
      <xdr:rowOff>1409700</xdr:rowOff>
    </xdr:to>
    <xdr:pic>
      <xdr:nvPicPr>
        <xdr:cNvPr id="38" name="Picture 37">
          <a:extLst>
            <a:ext uri="{FF2B5EF4-FFF2-40B4-BE49-F238E27FC236}">
              <a16:creationId xmlns:a16="http://schemas.microsoft.com/office/drawing/2014/main" id="{7BC92E88-A04A-4176-9DCD-F4D639094123}"/>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2603499" y="57651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314</xdr:row>
      <xdr:rowOff>12700</xdr:rowOff>
    </xdr:from>
    <xdr:to>
      <xdr:col>4</xdr:col>
      <xdr:colOff>2603499</xdr:colOff>
      <xdr:row>314</xdr:row>
      <xdr:rowOff>1409700</xdr:rowOff>
    </xdr:to>
    <xdr:pic>
      <xdr:nvPicPr>
        <xdr:cNvPr id="39" name="Picture 38">
          <a:extLst>
            <a:ext uri="{FF2B5EF4-FFF2-40B4-BE49-F238E27FC236}">
              <a16:creationId xmlns:a16="http://schemas.microsoft.com/office/drawing/2014/main" id="{0F52EB11-FEA0-4400-8BAA-1D8F554E602E}"/>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2603499" y="57835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315</xdr:row>
      <xdr:rowOff>12700</xdr:rowOff>
    </xdr:from>
    <xdr:to>
      <xdr:col>4</xdr:col>
      <xdr:colOff>2603499</xdr:colOff>
      <xdr:row>315</xdr:row>
      <xdr:rowOff>1409700</xdr:rowOff>
    </xdr:to>
    <xdr:pic>
      <xdr:nvPicPr>
        <xdr:cNvPr id="40" name="Picture 39">
          <a:extLst>
            <a:ext uri="{FF2B5EF4-FFF2-40B4-BE49-F238E27FC236}">
              <a16:creationId xmlns:a16="http://schemas.microsoft.com/office/drawing/2014/main" id="{B3AEE705-A1FC-4CC4-8903-B4682CF1EAE3}"/>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2603499" y="58019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316</xdr:row>
      <xdr:rowOff>12700</xdr:rowOff>
    </xdr:from>
    <xdr:to>
      <xdr:col>4</xdr:col>
      <xdr:colOff>2603499</xdr:colOff>
      <xdr:row>316</xdr:row>
      <xdr:rowOff>1409700</xdr:rowOff>
    </xdr:to>
    <xdr:pic>
      <xdr:nvPicPr>
        <xdr:cNvPr id="41" name="Picture 40">
          <a:extLst>
            <a:ext uri="{FF2B5EF4-FFF2-40B4-BE49-F238E27FC236}">
              <a16:creationId xmlns:a16="http://schemas.microsoft.com/office/drawing/2014/main" id="{FC4C723A-EB76-4FC9-9685-13BF90209F53}"/>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2603499" y="58204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317</xdr:row>
      <xdr:rowOff>12700</xdr:rowOff>
    </xdr:from>
    <xdr:to>
      <xdr:col>4</xdr:col>
      <xdr:colOff>2603499</xdr:colOff>
      <xdr:row>317</xdr:row>
      <xdr:rowOff>1409700</xdr:rowOff>
    </xdr:to>
    <xdr:pic>
      <xdr:nvPicPr>
        <xdr:cNvPr id="42" name="Picture 41">
          <a:extLst>
            <a:ext uri="{FF2B5EF4-FFF2-40B4-BE49-F238E27FC236}">
              <a16:creationId xmlns:a16="http://schemas.microsoft.com/office/drawing/2014/main" id="{813BBEC8-026F-422D-9B14-86E08DAD1234}"/>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2603499" y="58388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318</xdr:row>
      <xdr:rowOff>12700</xdr:rowOff>
    </xdr:from>
    <xdr:to>
      <xdr:col>4</xdr:col>
      <xdr:colOff>2603499</xdr:colOff>
      <xdr:row>318</xdr:row>
      <xdr:rowOff>1409700</xdr:rowOff>
    </xdr:to>
    <xdr:pic>
      <xdr:nvPicPr>
        <xdr:cNvPr id="43" name="Picture 42">
          <a:extLst>
            <a:ext uri="{FF2B5EF4-FFF2-40B4-BE49-F238E27FC236}">
              <a16:creationId xmlns:a16="http://schemas.microsoft.com/office/drawing/2014/main" id="{A5B65953-DCD1-4148-BAE8-B1D245134D2C}"/>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2603499" y="58572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319</xdr:row>
      <xdr:rowOff>12700</xdr:rowOff>
    </xdr:from>
    <xdr:to>
      <xdr:col>4</xdr:col>
      <xdr:colOff>2603499</xdr:colOff>
      <xdr:row>319</xdr:row>
      <xdr:rowOff>1409700</xdr:rowOff>
    </xdr:to>
    <xdr:pic>
      <xdr:nvPicPr>
        <xdr:cNvPr id="44" name="Picture 43">
          <a:extLst>
            <a:ext uri="{FF2B5EF4-FFF2-40B4-BE49-F238E27FC236}">
              <a16:creationId xmlns:a16="http://schemas.microsoft.com/office/drawing/2014/main" id="{A49436B7-2468-440C-8835-24910A371618}"/>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2603499" y="58756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320</xdr:row>
      <xdr:rowOff>12700</xdr:rowOff>
    </xdr:from>
    <xdr:to>
      <xdr:col>4</xdr:col>
      <xdr:colOff>2603499</xdr:colOff>
      <xdr:row>320</xdr:row>
      <xdr:rowOff>1409700</xdr:rowOff>
    </xdr:to>
    <xdr:pic>
      <xdr:nvPicPr>
        <xdr:cNvPr id="45" name="Picture 44">
          <a:extLst>
            <a:ext uri="{FF2B5EF4-FFF2-40B4-BE49-F238E27FC236}">
              <a16:creationId xmlns:a16="http://schemas.microsoft.com/office/drawing/2014/main" id="{850046CB-52AF-48B4-ADCF-5BFA37F38C44}"/>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2603499" y="58940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321</xdr:row>
      <xdr:rowOff>12700</xdr:rowOff>
    </xdr:from>
    <xdr:to>
      <xdr:col>4</xdr:col>
      <xdr:colOff>2603499</xdr:colOff>
      <xdr:row>321</xdr:row>
      <xdr:rowOff>1409700</xdr:rowOff>
    </xdr:to>
    <xdr:pic>
      <xdr:nvPicPr>
        <xdr:cNvPr id="46" name="Picture 45">
          <a:extLst>
            <a:ext uri="{FF2B5EF4-FFF2-40B4-BE49-F238E27FC236}">
              <a16:creationId xmlns:a16="http://schemas.microsoft.com/office/drawing/2014/main" id="{3D8299ED-2AEF-4182-8371-DE99121C9BA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2603499" y="59124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322</xdr:row>
      <xdr:rowOff>12700</xdr:rowOff>
    </xdr:from>
    <xdr:to>
      <xdr:col>4</xdr:col>
      <xdr:colOff>2603499</xdr:colOff>
      <xdr:row>322</xdr:row>
      <xdr:rowOff>1409700</xdr:rowOff>
    </xdr:to>
    <xdr:pic>
      <xdr:nvPicPr>
        <xdr:cNvPr id="47" name="Picture 46">
          <a:extLst>
            <a:ext uri="{FF2B5EF4-FFF2-40B4-BE49-F238E27FC236}">
              <a16:creationId xmlns:a16="http://schemas.microsoft.com/office/drawing/2014/main" id="{86C3076B-6D27-4624-ABA0-82A51382FF80}"/>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2603499" y="59309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323</xdr:row>
      <xdr:rowOff>12700</xdr:rowOff>
    </xdr:from>
    <xdr:to>
      <xdr:col>4</xdr:col>
      <xdr:colOff>2603499</xdr:colOff>
      <xdr:row>323</xdr:row>
      <xdr:rowOff>1409700</xdr:rowOff>
    </xdr:to>
    <xdr:pic>
      <xdr:nvPicPr>
        <xdr:cNvPr id="48" name="Picture 47">
          <a:extLst>
            <a:ext uri="{FF2B5EF4-FFF2-40B4-BE49-F238E27FC236}">
              <a16:creationId xmlns:a16="http://schemas.microsoft.com/office/drawing/2014/main" id="{4702662B-7F1B-4EEB-9A87-97EC2D746C49}"/>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2603499" y="59493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324</xdr:row>
      <xdr:rowOff>12700</xdr:rowOff>
    </xdr:from>
    <xdr:to>
      <xdr:col>4</xdr:col>
      <xdr:colOff>2603499</xdr:colOff>
      <xdr:row>324</xdr:row>
      <xdr:rowOff>1409700</xdr:rowOff>
    </xdr:to>
    <xdr:pic>
      <xdr:nvPicPr>
        <xdr:cNvPr id="49" name="Picture 48">
          <a:extLst>
            <a:ext uri="{FF2B5EF4-FFF2-40B4-BE49-F238E27FC236}">
              <a16:creationId xmlns:a16="http://schemas.microsoft.com/office/drawing/2014/main" id="{9684DCA8-339C-43FE-A62A-BA358E213BC6}"/>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2603499" y="59677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325</xdr:row>
      <xdr:rowOff>12700</xdr:rowOff>
    </xdr:from>
    <xdr:to>
      <xdr:col>4</xdr:col>
      <xdr:colOff>2603499</xdr:colOff>
      <xdr:row>325</xdr:row>
      <xdr:rowOff>1409700</xdr:rowOff>
    </xdr:to>
    <xdr:pic>
      <xdr:nvPicPr>
        <xdr:cNvPr id="50" name="Picture 49">
          <a:extLst>
            <a:ext uri="{FF2B5EF4-FFF2-40B4-BE49-F238E27FC236}">
              <a16:creationId xmlns:a16="http://schemas.microsoft.com/office/drawing/2014/main" id="{FC1E13EE-2463-4C3A-9836-81A7B6ED56DD}"/>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2603499" y="59861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326</xdr:row>
      <xdr:rowOff>12700</xdr:rowOff>
    </xdr:from>
    <xdr:to>
      <xdr:col>4</xdr:col>
      <xdr:colOff>2603499</xdr:colOff>
      <xdr:row>326</xdr:row>
      <xdr:rowOff>1409700</xdr:rowOff>
    </xdr:to>
    <xdr:pic>
      <xdr:nvPicPr>
        <xdr:cNvPr id="51" name="Picture 50">
          <a:extLst>
            <a:ext uri="{FF2B5EF4-FFF2-40B4-BE49-F238E27FC236}">
              <a16:creationId xmlns:a16="http://schemas.microsoft.com/office/drawing/2014/main" id="{413EA281-B9EC-45E3-B517-B54967A3C6E7}"/>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2603499" y="60045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327</xdr:row>
      <xdr:rowOff>12700</xdr:rowOff>
    </xdr:from>
    <xdr:to>
      <xdr:col>4</xdr:col>
      <xdr:colOff>2603499</xdr:colOff>
      <xdr:row>327</xdr:row>
      <xdr:rowOff>1409700</xdr:rowOff>
    </xdr:to>
    <xdr:pic>
      <xdr:nvPicPr>
        <xdr:cNvPr id="52" name="Picture 51">
          <a:extLst>
            <a:ext uri="{FF2B5EF4-FFF2-40B4-BE49-F238E27FC236}">
              <a16:creationId xmlns:a16="http://schemas.microsoft.com/office/drawing/2014/main" id="{B8D9BE7F-2E91-467A-BC53-29C2AD0C57DD}"/>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2603499" y="60229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328</xdr:row>
      <xdr:rowOff>12700</xdr:rowOff>
    </xdr:from>
    <xdr:to>
      <xdr:col>4</xdr:col>
      <xdr:colOff>2603499</xdr:colOff>
      <xdr:row>328</xdr:row>
      <xdr:rowOff>1409700</xdr:rowOff>
    </xdr:to>
    <xdr:pic>
      <xdr:nvPicPr>
        <xdr:cNvPr id="53" name="Picture 52">
          <a:extLst>
            <a:ext uri="{FF2B5EF4-FFF2-40B4-BE49-F238E27FC236}">
              <a16:creationId xmlns:a16="http://schemas.microsoft.com/office/drawing/2014/main" id="{AD7D74B6-C76C-43E0-B63D-A6B7F6AAC02C}"/>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2603499" y="60413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329</xdr:row>
      <xdr:rowOff>12700</xdr:rowOff>
    </xdr:from>
    <xdr:to>
      <xdr:col>4</xdr:col>
      <xdr:colOff>2603499</xdr:colOff>
      <xdr:row>329</xdr:row>
      <xdr:rowOff>1409700</xdr:rowOff>
    </xdr:to>
    <xdr:pic>
      <xdr:nvPicPr>
        <xdr:cNvPr id="54" name="Picture 53">
          <a:extLst>
            <a:ext uri="{FF2B5EF4-FFF2-40B4-BE49-F238E27FC236}">
              <a16:creationId xmlns:a16="http://schemas.microsoft.com/office/drawing/2014/main" id="{96F909A6-5C27-422C-848A-CF27AAA20BA1}"/>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2603499" y="60598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330</xdr:row>
      <xdr:rowOff>12700</xdr:rowOff>
    </xdr:from>
    <xdr:to>
      <xdr:col>4</xdr:col>
      <xdr:colOff>2603499</xdr:colOff>
      <xdr:row>330</xdr:row>
      <xdr:rowOff>1409700</xdr:rowOff>
    </xdr:to>
    <xdr:pic>
      <xdr:nvPicPr>
        <xdr:cNvPr id="55" name="Picture 54">
          <a:extLst>
            <a:ext uri="{FF2B5EF4-FFF2-40B4-BE49-F238E27FC236}">
              <a16:creationId xmlns:a16="http://schemas.microsoft.com/office/drawing/2014/main" id="{1837A834-0E63-4361-AE6A-D0364B41F04C}"/>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2603499" y="60782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331</xdr:row>
      <xdr:rowOff>12700</xdr:rowOff>
    </xdr:from>
    <xdr:to>
      <xdr:col>4</xdr:col>
      <xdr:colOff>2603499</xdr:colOff>
      <xdr:row>331</xdr:row>
      <xdr:rowOff>1409700</xdr:rowOff>
    </xdr:to>
    <xdr:pic>
      <xdr:nvPicPr>
        <xdr:cNvPr id="56" name="Picture 55">
          <a:extLst>
            <a:ext uri="{FF2B5EF4-FFF2-40B4-BE49-F238E27FC236}">
              <a16:creationId xmlns:a16="http://schemas.microsoft.com/office/drawing/2014/main" id="{7C9392C1-1ABB-4C52-B765-B925AA632EF7}"/>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2603499" y="60966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332</xdr:row>
      <xdr:rowOff>12700</xdr:rowOff>
    </xdr:from>
    <xdr:to>
      <xdr:col>4</xdr:col>
      <xdr:colOff>2603499</xdr:colOff>
      <xdr:row>332</xdr:row>
      <xdr:rowOff>1409700</xdr:rowOff>
    </xdr:to>
    <xdr:pic>
      <xdr:nvPicPr>
        <xdr:cNvPr id="57" name="Picture 56">
          <a:extLst>
            <a:ext uri="{FF2B5EF4-FFF2-40B4-BE49-F238E27FC236}">
              <a16:creationId xmlns:a16="http://schemas.microsoft.com/office/drawing/2014/main" id="{E991E157-55E3-48F8-90F9-B4C10F91C6AB}"/>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2603499" y="61150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333</xdr:row>
      <xdr:rowOff>12700</xdr:rowOff>
    </xdr:from>
    <xdr:to>
      <xdr:col>4</xdr:col>
      <xdr:colOff>2603499</xdr:colOff>
      <xdr:row>333</xdr:row>
      <xdr:rowOff>1409700</xdr:rowOff>
    </xdr:to>
    <xdr:pic>
      <xdr:nvPicPr>
        <xdr:cNvPr id="58" name="Picture 57">
          <a:extLst>
            <a:ext uri="{FF2B5EF4-FFF2-40B4-BE49-F238E27FC236}">
              <a16:creationId xmlns:a16="http://schemas.microsoft.com/office/drawing/2014/main" id="{9D7E647D-297F-4882-BAD0-7F270358928E}"/>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2603499" y="61334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334</xdr:row>
      <xdr:rowOff>12700</xdr:rowOff>
    </xdr:from>
    <xdr:to>
      <xdr:col>4</xdr:col>
      <xdr:colOff>2603499</xdr:colOff>
      <xdr:row>334</xdr:row>
      <xdr:rowOff>1409700</xdr:rowOff>
    </xdr:to>
    <xdr:pic>
      <xdr:nvPicPr>
        <xdr:cNvPr id="59" name="Picture 58">
          <a:extLst>
            <a:ext uri="{FF2B5EF4-FFF2-40B4-BE49-F238E27FC236}">
              <a16:creationId xmlns:a16="http://schemas.microsoft.com/office/drawing/2014/main" id="{8A4FC080-B8F1-4F89-AEEA-B90332875DA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2603499" y="61518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335</xdr:row>
      <xdr:rowOff>12700</xdr:rowOff>
    </xdr:from>
    <xdr:to>
      <xdr:col>4</xdr:col>
      <xdr:colOff>2603499</xdr:colOff>
      <xdr:row>335</xdr:row>
      <xdr:rowOff>1409700</xdr:rowOff>
    </xdr:to>
    <xdr:pic>
      <xdr:nvPicPr>
        <xdr:cNvPr id="60" name="Picture 59">
          <a:extLst>
            <a:ext uri="{FF2B5EF4-FFF2-40B4-BE49-F238E27FC236}">
              <a16:creationId xmlns:a16="http://schemas.microsoft.com/office/drawing/2014/main" id="{0C1AA045-3CEE-44BB-98DF-A0E2C483D1E7}"/>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2603499" y="61702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336</xdr:row>
      <xdr:rowOff>12700</xdr:rowOff>
    </xdr:from>
    <xdr:to>
      <xdr:col>4</xdr:col>
      <xdr:colOff>2603499</xdr:colOff>
      <xdr:row>336</xdr:row>
      <xdr:rowOff>1409700</xdr:rowOff>
    </xdr:to>
    <xdr:pic>
      <xdr:nvPicPr>
        <xdr:cNvPr id="61" name="Picture 60">
          <a:extLst>
            <a:ext uri="{FF2B5EF4-FFF2-40B4-BE49-F238E27FC236}">
              <a16:creationId xmlns:a16="http://schemas.microsoft.com/office/drawing/2014/main" id="{8E2B5BD4-C222-4104-95F0-33D08063AEA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2603499" y="61887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337</xdr:row>
      <xdr:rowOff>12700</xdr:rowOff>
    </xdr:from>
    <xdr:to>
      <xdr:col>4</xdr:col>
      <xdr:colOff>2603499</xdr:colOff>
      <xdr:row>337</xdr:row>
      <xdr:rowOff>1409700</xdr:rowOff>
    </xdr:to>
    <xdr:pic>
      <xdr:nvPicPr>
        <xdr:cNvPr id="62" name="Picture 61">
          <a:extLst>
            <a:ext uri="{FF2B5EF4-FFF2-40B4-BE49-F238E27FC236}">
              <a16:creationId xmlns:a16="http://schemas.microsoft.com/office/drawing/2014/main" id="{5FCED084-0CED-4C57-9C6F-1E663591653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2603499" y="62071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338</xdr:row>
      <xdr:rowOff>12700</xdr:rowOff>
    </xdr:from>
    <xdr:to>
      <xdr:col>4</xdr:col>
      <xdr:colOff>2603499</xdr:colOff>
      <xdr:row>338</xdr:row>
      <xdr:rowOff>1409700</xdr:rowOff>
    </xdr:to>
    <xdr:pic>
      <xdr:nvPicPr>
        <xdr:cNvPr id="63" name="Picture 62">
          <a:extLst>
            <a:ext uri="{FF2B5EF4-FFF2-40B4-BE49-F238E27FC236}">
              <a16:creationId xmlns:a16="http://schemas.microsoft.com/office/drawing/2014/main" id="{6A827993-B351-4D55-B60F-3775E6F3FAC5}"/>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2603499" y="62255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339</xdr:row>
      <xdr:rowOff>12700</xdr:rowOff>
    </xdr:from>
    <xdr:to>
      <xdr:col>4</xdr:col>
      <xdr:colOff>2603499</xdr:colOff>
      <xdr:row>339</xdr:row>
      <xdr:rowOff>1409700</xdr:rowOff>
    </xdr:to>
    <xdr:pic>
      <xdr:nvPicPr>
        <xdr:cNvPr id="64" name="Picture 63">
          <a:extLst>
            <a:ext uri="{FF2B5EF4-FFF2-40B4-BE49-F238E27FC236}">
              <a16:creationId xmlns:a16="http://schemas.microsoft.com/office/drawing/2014/main" id="{5CA7C8E7-A572-4EF1-AA0F-0CCC9ECC3901}"/>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2603499" y="62439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340</xdr:row>
      <xdr:rowOff>12700</xdr:rowOff>
    </xdr:from>
    <xdr:to>
      <xdr:col>4</xdr:col>
      <xdr:colOff>2603499</xdr:colOff>
      <xdr:row>340</xdr:row>
      <xdr:rowOff>1409700</xdr:rowOff>
    </xdr:to>
    <xdr:pic>
      <xdr:nvPicPr>
        <xdr:cNvPr id="65" name="Picture 64">
          <a:extLst>
            <a:ext uri="{FF2B5EF4-FFF2-40B4-BE49-F238E27FC236}">
              <a16:creationId xmlns:a16="http://schemas.microsoft.com/office/drawing/2014/main" id="{228BDB3A-7715-4B87-A9A3-CBFAD1D2DDB0}"/>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603499" y="62623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341</xdr:row>
      <xdr:rowOff>12700</xdr:rowOff>
    </xdr:from>
    <xdr:to>
      <xdr:col>4</xdr:col>
      <xdr:colOff>2603499</xdr:colOff>
      <xdr:row>341</xdr:row>
      <xdr:rowOff>1409700</xdr:rowOff>
    </xdr:to>
    <xdr:pic>
      <xdr:nvPicPr>
        <xdr:cNvPr id="66" name="Picture 65">
          <a:extLst>
            <a:ext uri="{FF2B5EF4-FFF2-40B4-BE49-F238E27FC236}">
              <a16:creationId xmlns:a16="http://schemas.microsoft.com/office/drawing/2014/main" id="{DE945A25-4FF1-4BE7-A5E9-4F2B7E88C370}"/>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2603499" y="62807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342</xdr:row>
      <xdr:rowOff>12700</xdr:rowOff>
    </xdr:from>
    <xdr:to>
      <xdr:col>4</xdr:col>
      <xdr:colOff>2603499</xdr:colOff>
      <xdr:row>342</xdr:row>
      <xdr:rowOff>1409700</xdr:rowOff>
    </xdr:to>
    <xdr:pic>
      <xdr:nvPicPr>
        <xdr:cNvPr id="67" name="Picture 66">
          <a:extLst>
            <a:ext uri="{FF2B5EF4-FFF2-40B4-BE49-F238E27FC236}">
              <a16:creationId xmlns:a16="http://schemas.microsoft.com/office/drawing/2014/main" id="{E84804EC-B576-4849-96CB-0231E710C8D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2603499" y="62992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343</xdr:row>
      <xdr:rowOff>12700</xdr:rowOff>
    </xdr:from>
    <xdr:to>
      <xdr:col>4</xdr:col>
      <xdr:colOff>2603499</xdr:colOff>
      <xdr:row>343</xdr:row>
      <xdr:rowOff>1409700</xdr:rowOff>
    </xdr:to>
    <xdr:pic>
      <xdr:nvPicPr>
        <xdr:cNvPr id="68" name="Picture 67">
          <a:extLst>
            <a:ext uri="{FF2B5EF4-FFF2-40B4-BE49-F238E27FC236}">
              <a16:creationId xmlns:a16="http://schemas.microsoft.com/office/drawing/2014/main" id="{25563A87-9A07-4261-A7C0-B0FEEF0F225F}"/>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603499" y="63176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344</xdr:row>
      <xdr:rowOff>12700</xdr:rowOff>
    </xdr:from>
    <xdr:to>
      <xdr:col>4</xdr:col>
      <xdr:colOff>2603499</xdr:colOff>
      <xdr:row>344</xdr:row>
      <xdr:rowOff>1409700</xdr:rowOff>
    </xdr:to>
    <xdr:pic>
      <xdr:nvPicPr>
        <xdr:cNvPr id="69" name="Picture 68">
          <a:extLst>
            <a:ext uri="{FF2B5EF4-FFF2-40B4-BE49-F238E27FC236}">
              <a16:creationId xmlns:a16="http://schemas.microsoft.com/office/drawing/2014/main" id="{D0FCED93-89CE-47DE-A560-38AFF834D93B}"/>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603499" y="63360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345</xdr:row>
      <xdr:rowOff>12700</xdr:rowOff>
    </xdr:from>
    <xdr:to>
      <xdr:col>4</xdr:col>
      <xdr:colOff>2603499</xdr:colOff>
      <xdr:row>345</xdr:row>
      <xdr:rowOff>1409700</xdr:rowOff>
    </xdr:to>
    <xdr:pic>
      <xdr:nvPicPr>
        <xdr:cNvPr id="70" name="Picture 69">
          <a:extLst>
            <a:ext uri="{FF2B5EF4-FFF2-40B4-BE49-F238E27FC236}">
              <a16:creationId xmlns:a16="http://schemas.microsoft.com/office/drawing/2014/main" id="{F2B1447E-643B-41AC-A36A-91D56CB36999}"/>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603499" y="63544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346</xdr:row>
      <xdr:rowOff>12700</xdr:rowOff>
    </xdr:from>
    <xdr:to>
      <xdr:col>4</xdr:col>
      <xdr:colOff>2603499</xdr:colOff>
      <xdr:row>346</xdr:row>
      <xdr:rowOff>1409700</xdr:rowOff>
    </xdr:to>
    <xdr:pic>
      <xdr:nvPicPr>
        <xdr:cNvPr id="71" name="Picture 70">
          <a:extLst>
            <a:ext uri="{FF2B5EF4-FFF2-40B4-BE49-F238E27FC236}">
              <a16:creationId xmlns:a16="http://schemas.microsoft.com/office/drawing/2014/main" id="{B930BE01-0822-4933-B329-3F7FFAAB8FCB}"/>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2603499" y="63728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347</xdr:row>
      <xdr:rowOff>12700</xdr:rowOff>
    </xdr:from>
    <xdr:to>
      <xdr:col>4</xdr:col>
      <xdr:colOff>2603499</xdr:colOff>
      <xdr:row>347</xdr:row>
      <xdr:rowOff>1409700</xdr:rowOff>
    </xdr:to>
    <xdr:pic>
      <xdr:nvPicPr>
        <xdr:cNvPr id="72" name="Picture 71">
          <a:extLst>
            <a:ext uri="{FF2B5EF4-FFF2-40B4-BE49-F238E27FC236}">
              <a16:creationId xmlns:a16="http://schemas.microsoft.com/office/drawing/2014/main" id="{A3D9BCCC-78F6-4699-81C6-03C7E43413DF}"/>
            </a:ext>
          </a:extLst>
        </xdr:cNvPr>
        <xdr:cNvPicPr>
          <a:picLocks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603499" y="63912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348</xdr:row>
      <xdr:rowOff>12700</xdr:rowOff>
    </xdr:from>
    <xdr:to>
      <xdr:col>4</xdr:col>
      <xdr:colOff>2603499</xdr:colOff>
      <xdr:row>348</xdr:row>
      <xdr:rowOff>1409700</xdr:rowOff>
    </xdr:to>
    <xdr:pic>
      <xdr:nvPicPr>
        <xdr:cNvPr id="73" name="Picture 72">
          <a:extLst>
            <a:ext uri="{FF2B5EF4-FFF2-40B4-BE49-F238E27FC236}">
              <a16:creationId xmlns:a16="http://schemas.microsoft.com/office/drawing/2014/main" id="{1B701765-F321-4E54-B077-603A84001BFE}"/>
            </a:ext>
          </a:extLst>
        </xdr:cNvPr>
        <xdr:cNvPicPr>
          <a:picLocks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2603499" y="64096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349</xdr:row>
      <xdr:rowOff>12700</xdr:rowOff>
    </xdr:from>
    <xdr:to>
      <xdr:col>4</xdr:col>
      <xdr:colOff>2603499</xdr:colOff>
      <xdr:row>349</xdr:row>
      <xdr:rowOff>1409700</xdr:rowOff>
    </xdr:to>
    <xdr:pic>
      <xdr:nvPicPr>
        <xdr:cNvPr id="74" name="Picture 73">
          <a:extLst>
            <a:ext uri="{FF2B5EF4-FFF2-40B4-BE49-F238E27FC236}">
              <a16:creationId xmlns:a16="http://schemas.microsoft.com/office/drawing/2014/main" id="{4E65F0F1-8851-41E1-A1A1-44B5925AF634}"/>
            </a:ext>
          </a:extLst>
        </xdr:cNvPr>
        <xdr:cNvPicPr>
          <a:picLocks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2603499" y="64281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350</xdr:row>
      <xdr:rowOff>12700</xdr:rowOff>
    </xdr:from>
    <xdr:to>
      <xdr:col>4</xdr:col>
      <xdr:colOff>2603499</xdr:colOff>
      <xdr:row>350</xdr:row>
      <xdr:rowOff>1409700</xdr:rowOff>
    </xdr:to>
    <xdr:pic>
      <xdr:nvPicPr>
        <xdr:cNvPr id="75" name="Picture 74">
          <a:extLst>
            <a:ext uri="{FF2B5EF4-FFF2-40B4-BE49-F238E27FC236}">
              <a16:creationId xmlns:a16="http://schemas.microsoft.com/office/drawing/2014/main" id="{73CE7D0E-FE56-4F00-B278-9D2B97BFAFF7}"/>
            </a:ext>
          </a:extLst>
        </xdr:cNvPr>
        <xdr:cNvPicPr>
          <a:picLocks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2603499" y="64465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351</xdr:row>
      <xdr:rowOff>12700</xdr:rowOff>
    </xdr:from>
    <xdr:to>
      <xdr:col>4</xdr:col>
      <xdr:colOff>2603499</xdr:colOff>
      <xdr:row>351</xdr:row>
      <xdr:rowOff>1409700</xdr:rowOff>
    </xdr:to>
    <xdr:pic>
      <xdr:nvPicPr>
        <xdr:cNvPr id="76" name="Picture 75">
          <a:extLst>
            <a:ext uri="{FF2B5EF4-FFF2-40B4-BE49-F238E27FC236}">
              <a16:creationId xmlns:a16="http://schemas.microsoft.com/office/drawing/2014/main" id="{400E0164-CA2B-408D-8B66-4F2A959FE69C}"/>
            </a:ext>
          </a:extLst>
        </xdr:cNvPr>
        <xdr:cNvPicPr>
          <a:picLocks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2603499" y="64649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352</xdr:row>
      <xdr:rowOff>12700</xdr:rowOff>
    </xdr:from>
    <xdr:to>
      <xdr:col>4</xdr:col>
      <xdr:colOff>2603499</xdr:colOff>
      <xdr:row>352</xdr:row>
      <xdr:rowOff>1409700</xdr:rowOff>
    </xdr:to>
    <xdr:pic>
      <xdr:nvPicPr>
        <xdr:cNvPr id="77" name="Picture 76">
          <a:extLst>
            <a:ext uri="{FF2B5EF4-FFF2-40B4-BE49-F238E27FC236}">
              <a16:creationId xmlns:a16="http://schemas.microsoft.com/office/drawing/2014/main" id="{09A0B9F7-99BF-42A5-8522-F6E4EECB2B3B}"/>
            </a:ext>
          </a:extLst>
        </xdr:cNvPr>
        <xdr:cNvPicPr>
          <a:picLocks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2603499" y="64833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353</xdr:row>
      <xdr:rowOff>12700</xdr:rowOff>
    </xdr:from>
    <xdr:to>
      <xdr:col>4</xdr:col>
      <xdr:colOff>2603499</xdr:colOff>
      <xdr:row>353</xdr:row>
      <xdr:rowOff>1409700</xdr:rowOff>
    </xdr:to>
    <xdr:pic>
      <xdr:nvPicPr>
        <xdr:cNvPr id="78" name="Picture 77">
          <a:extLst>
            <a:ext uri="{FF2B5EF4-FFF2-40B4-BE49-F238E27FC236}">
              <a16:creationId xmlns:a16="http://schemas.microsoft.com/office/drawing/2014/main" id="{EE2B0756-E134-4132-943D-96D56A28271F}"/>
            </a:ext>
          </a:extLst>
        </xdr:cNvPr>
        <xdr:cNvPicPr>
          <a:picLocks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2603499" y="65017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354</xdr:row>
      <xdr:rowOff>12700</xdr:rowOff>
    </xdr:from>
    <xdr:to>
      <xdr:col>4</xdr:col>
      <xdr:colOff>2603499</xdr:colOff>
      <xdr:row>354</xdr:row>
      <xdr:rowOff>1409700</xdr:rowOff>
    </xdr:to>
    <xdr:pic>
      <xdr:nvPicPr>
        <xdr:cNvPr id="79" name="Picture 78">
          <a:extLst>
            <a:ext uri="{FF2B5EF4-FFF2-40B4-BE49-F238E27FC236}">
              <a16:creationId xmlns:a16="http://schemas.microsoft.com/office/drawing/2014/main" id="{11D3B770-4BFF-4F1E-A18D-205278DC20C8}"/>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2603499" y="65201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355</xdr:row>
      <xdr:rowOff>12700</xdr:rowOff>
    </xdr:from>
    <xdr:to>
      <xdr:col>4</xdr:col>
      <xdr:colOff>2603499</xdr:colOff>
      <xdr:row>355</xdr:row>
      <xdr:rowOff>1409700</xdr:rowOff>
    </xdr:to>
    <xdr:pic>
      <xdr:nvPicPr>
        <xdr:cNvPr id="80" name="Picture 79">
          <a:extLst>
            <a:ext uri="{FF2B5EF4-FFF2-40B4-BE49-F238E27FC236}">
              <a16:creationId xmlns:a16="http://schemas.microsoft.com/office/drawing/2014/main" id="{AA5306F1-D92B-4AD7-AB01-309045886DF4}"/>
            </a:ext>
          </a:extLst>
        </xdr:cNvPr>
        <xdr:cNvPicPr>
          <a:picLocks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2603499" y="65385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356</xdr:row>
      <xdr:rowOff>12700</xdr:rowOff>
    </xdr:from>
    <xdr:to>
      <xdr:col>4</xdr:col>
      <xdr:colOff>2603499</xdr:colOff>
      <xdr:row>356</xdr:row>
      <xdr:rowOff>1409700</xdr:rowOff>
    </xdr:to>
    <xdr:pic>
      <xdr:nvPicPr>
        <xdr:cNvPr id="81" name="Picture 80">
          <a:extLst>
            <a:ext uri="{FF2B5EF4-FFF2-40B4-BE49-F238E27FC236}">
              <a16:creationId xmlns:a16="http://schemas.microsoft.com/office/drawing/2014/main" id="{F216BCB8-D662-44DF-BFD5-089ED1FF7901}"/>
            </a:ext>
          </a:extLst>
        </xdr:cNvPr>
        <xdr:cNvPicPr>
          <a:picLocks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2603499" y="65570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357</xdr:row>
      <xdr:rowOff>12700</xdr:rowOff>
    </xdr:from>
    <xdr:to>
      <xdr:col>4</xdr:col>
      <xdr:colOff>2603499</xdr:colOff>
      <xdr:row>357</xdr:row>
      <xdr:rowOff>1409700</xdr:rowOff>
    </xdr:to>
    <xdr:pic>
      <xdr:nvPicPr>
        <xdr:cNvPr id="82" name="Picture 81">
          <a:extLst>
            <a:ext uri="{FF2B5EF4-FFF2-40B4-BE49-F238E27FC236}">
              <a16:creationId xmlns:a16="http://schemas.microsoft.com/office/drawing/2014/main" id="{55A22A7E-8846-404F-83AB-76026570BCE6}"/>
            </a:ext>
          </a:extLst>
        </xdr:cNvPr>
        <xdr:cNvPicPr>
          <a:picLocks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2603499" y="65754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358</xdr:row>
      <xdr:rowOff>12700</xdr:rowOff>
    </xdr:from>
    <xdr:to>
      <xdr:col>4</xdr:col>
      <xdr:colOff>2603499</xdr:colOff>
      <xdr:row>358</xdr:row>
      <xdr:rowOff>1409700</xdr:rowOff>
    </xdr:to>
    <xdr:pic>
      <xdr:nvPicPr>
        <xdr:cNvPr id="83" name="Picture 82">
          <a:extLst>
            <a:ext uri="{FF2B5EF4-FFF2-40B4-BE49-F238E27FC236}">
              <a16:creationId xmlns:a16="http://schemas.microsoft.com/office/drawing/2014/main" id="{859F8593-480E-4B43-8B2E-C8600A3945C5}"/>
            </a:ext>
          </a:extLst>
        </xdr:cNvPr>
        <xdr:cNvPicPr>
          <a:picLocks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2603499" y="65938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359</xdr:row>
      <xdr:rowOff>12700</xdr:rowOff>
    </xdr:from>
    <xdr:to>
      <xdr:col>4</xdr:col>
      <xdr:colOff>2603499</xdr:colOff>
      <xdr:row>359</xdr:row>
      <xdr:rowOff>1409700</xdr:rowOff>
    </xdr:to>
    <xdr:pic>
      <xdr:nvPicPr>
        <xdr:cNvPr id="84" name="Picture 83">
          <a:extLst>
            <a:ext uri="{FF2B5EF4-FFF2-40B4-BE49-F238E27FC236}">
              <a16:creationId xmlns:a16="http://schemas.microsoft.com/office/drawing/2014/main" id="{EB7223C9-0E45-4145-813B-0932CA60DBD8}"/>
            </a:ext>
          </a:extLst>
        </xdr:cNvPr>
        <xdr:cNvPicPr>
          <a:picLocks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2603499" y="66122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360</xdr:row>
      <xdr:rowOff>12700</xdr:rowOff>
    </xdr:from>
    <xdr:to>
      <xdr:col>4</xdr:col>
      <xdr:colOff>2603499</xdr:colOff>
      <xdr:row>360</xdr:row>
      <xdr:rowOff>1409700</xdr:rowOff>
    </xdr:to>
    <xdr:pic>
      <xdr:nvPicPr>
        <xdr:cNvPr id="85" name="Picture 84">
          <a:extLst>
            <a:ext uri="{FF2B5EF4-FFF2-40B4-BE49-F238E27FC236}">
              <a16:creationId xmlns:a16="http://schemas.microsoft.com/office/drawing/2014/main" id="{CB26609C-024A-4DCA-917C-8A4C1B67FDB8}"/>
            </a:ext>
          </a:extLst>
        </xdr:cNvPr>
        <xdr:cNvPicPr>
          <a:picLocks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2603499" y="66306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361</xdr:row>
      <xdr:rowOff>12700</xdr:rowOff>
    </xdr:from>
    <xdr:to>
      <xdr:col>4</xdr:col>
      <xdr:colOff>2603499</xdr:colOff>
      <xdr:row>361</xdr:row>
      <xdr:rowOff>1409700</xdr:rowOff>
    </xdr:to>
    <xdr:pic>
      <xdr:nvPicPr>
        <xdr:cNvPr id="86" name="Picture 85">
          <a:extLst>
            <a:ext uri="{FF2B5EF4-FFF2-40B4-BE49-F238E27FC236}">
              <a16:creationId xmlns:a16="http://schemas.microsoft.com/office/drawing/2014/main" id="{5BB5FEBA-3E6B-48FC-8E2D-01591D91A95F}"/>
            </a:ext>
          </a:extLst>
        </xdr:cNvPr>
        <xdr:cNvPicPr>
          <a:picLocks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2603499" y="66490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362</xdr:row>
      <xdr:rowOff>12700</xdr:rowOff>
    </xdr:from>
    <xdr:to>
      <xdr:col>4</xdr:col>
      <xdr:colOff>2603499</xdr:colOff>
      <xdr:row>362</xdr:row>
      <xdr:rowOff>1409700</xdr:rowOff>
    </xdr:to>
    <xdr:pic>
      <xdr:nvPicPr>
        <xdr:cNvPr id="87" name="Picture 86">
          <a:extLst>
            <a:ext uri="{FF2B5EF4-FFF2-40B4-BE49-F238E27FC236}">
              <a16:creationId xmlns:a16="http://schemas.microsoft.com/office/drawing/2014/main" id="{3BE50BBA-FDF9-42D4-8872-E592FB536DA0}"/>
            </a:ext>
          </a:extLst>
        </xdr:cNvPr>
        <xdr:cNvPicPr>
          <a:picLocks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2603499" y="66675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363</xdr:row>
      <xdr:rowOff>12700</xdr:rowOff>
    </xdr:from>
    <xdr:to>
      <xdr:col>4</xdr:col>
      <xdr:colOff>2603499</xdr:colOff>
      <xdr:row>363</xdr:row>
      <xdr:rowOff>1409700</xdr:rowOff>
    </xdr:to>
    <xdr:pic>
      <xdr:nvPicPr>
        <xdr:cNvPr id="88" name="Picture 87">
          <a:extLst>
            <a:ext uri="{FF2B5EF4-FFF2-40B4-BE49-F238E27FC236}">
              <a16:creationId xmlns:a16="http://schemas.microsoft.com/office/drawing/2014/main" id="{6E9E2420-41A3-412C-B3C4-D85BD22A14DA}"/>
            </a:ext>
          </a:extLst>
        </xdr:cNvPr>
        <xdr:cNvPicPr>
          <a:picLocks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2603499" y="66859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364</xdr:row>
      <xdr:rowOff>12700</xdr:rowOff>
    </xdr:from>
    <xdr:to>
      <xdr:col>4</xdr:col>
      <xdr:colOff>2603499</xdr:colOff>
      <xdr:row>364</xdr:row>
      <xdr:rowOff>1409700</xdr:rowOff>
    </xdr:to>
    <xdr:pic>
      <xdr:nvPicPr>
        <xdr:cNvPr id="89" name="Picture 88">
          <a:extLst>
            <a:ext uri="{FF2B5EF4-FFF2-40B4-BE49-F238E27FC236}">
              <a16:creationId xmlns:a16="http://schemas.microsoft.com/office/drawing/2014/main" id="{8DA585FB-72C6-4B32-A10B-C0186E45725C}"/>
            </a:ext>
          </a:extLst>
        </xdr:cNvPr>
        <xdr:cNvPicPr>
          <a:picLocks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2603499" y="67043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365</xdr:row>
      <xdr:rowOff>12700</xdr:rowOff>
    </xdr:from>
    <xdr:to>
      <xdr:col>4</xdr:col>
      <xdr:colOff>2603499</xdr:colOff>
      <xdr:row>365</xdr:row>
      <xdr:rowOff>1409700</xdr:rowOff>
    </xdr:to>
    <xdr:pic>
      <xdr:nvPicPr>
        <xdr:cNvPr id="90" name="Picture 89">
          <a:extLst>
            <a:ext uri="{FF2B5EF4-FFF2-40B4-BE49-F238E27FC236}">
              <a16:creationId xmlns:a16="http://schemas.microsoft.com/office/drawing/2014/main" id="{A521FFC9-31AA-48DC-9DEF-999EB9E898AA}"/>
            </a:ext>
          </a:extLst>
        </xdr:cNvPr>
        <xdr:cNvPicPr>
          <a:picLocks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2603499" y="67227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366</xdr:row>
      <xdr:rowOff>12700</xdr:rowOff>
    </xdr:from>
    <xdr:to>
      <xdr:col>4</xdr:col>
      <xdr:colOff>2603499</xdr:colOff>
      <xdr:row>366</xdr:row>
      <xdr:rowOff>1409700</xdr:rowOff>
    </xdr:to>
    <xdr:pic>
      <xdr:nvPicPr>
        <xdr:cNvPr id="91" name="Picture 90">
          <a:extLst>
            <a:ext uri="{FF2B5EF4-FFF2-40B4-BE49-F238E27FC236}">
              <a16:creationId xmlns:a16="http://schemas.microsoft.com/office/drawing/2014/main" id="{597B2DD9-09AD-4A5C-A066-ADEFB41D4346}"/>
            </a:ext>
          </a:extLst>
        </xdr:cNvPr>
        <xdr:cNvPicPr>
          <a:picLocks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2603499" y="67411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367</xdr:row>
      <xdr:rowOff>12700</xdr:rowOff>
    </xdr:from>
    <xdr:to>
      <xdr:col>4</xdr:col>
      <xdr:colOff>2603499</xdr:colOff>
      <xdr:row>367</xdr:row>
      <xdr:rowOff>1409700</xdr:rowOff>
    </xdr:to>
    <xdr:pic>
      <xdr:nvPicPr>
        <xdr:cNvPr id="92" name="Picture 91">
          <a:extLst>
            <a:ext uri="{FF2B5EF4-FFF2-40B4-BE49-F238E27FC236}">
              <a16:creationId xmlns:a16="http://schemas.microsoft.com/office/drawing/2014/main" id="{8D712EB0-A867-4C84-AD6C-0F6B6371F1DD}"/>
            </a:ext>
          </a:extLst>
        </xdr:cNvPr>
        <xdr:cNvPicPr>
          <a:picLocks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2603499" y="67595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368</xdr:row>
      <xdr:rowOff>12700</xdr:rowOff>
    </xdr:from>
    <xdr:to>
      <xdr:col>4</xdr:col>
      <xdr:colOff>2603499</xdr:colOff>
      <xdr:row>368</xdr:row>
      <xdr:rowOff>1409700</xdr:rowOff>
    </xdr:to>
    <xdr:pic>
      <xdr:nvPicPr>
        <xdr:cNvPr id="93" name="Picture 92">
          <a:extLst>
            <a:ext uri="{FF2B5EF4-FFF2-40B4-BE49-F238E27FC236}">
              <a16:creationId xmlns:a16="http://schemas.microsoft.com/office/drawing/2014/main" id="{3F35213B-7678-4E31-921B-794F2659237E}"/>
            </a:ext>
          </a:extLst>
        </xdr:cNvPr>
        <xdr:cNvPicPr>
          <a:picLocks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2603499" y="67779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369</xdr:row>
      <xdr:rowOff>12700</xdr:rowOff>
    </xdr:from>
    <xdr:to>
      <xdr:col>4</xdr:col>
      <xdr:colOff>2603499</xdr:colOff>
      <xdr:row>369</xdr:row>
      <xdr:rowOff>1409700</xdr:rowOff>
    </xdr:to>
    <xdr:pic>
      <xdr:nvPicPr>
        <xdr:cNvPr id="94" name="Picture 93">
          <a:extLst>
            <a:ext uri="{FF2B5EF4-FFF2-40B4-BE49-F238E27FC236}">
              <a16:creationId xmlns:a16="http://schemas.microsoft.com/office/drawing/2014/main" id="{5592A64F-FC52-4141-BF72-84C34847010D}"/>
            </a:ext>
          </a:extLst>
        </xdr:cNvPr>
        <xdr:cNvPicPr>
          <a:picLocks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2603499" y="67964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370</xdr:row>
      <xdr:rowOff>12700</xdr:rowOff>
    </xdr:from>
    <xdr:to>
      <xdr:col>4</xdr:col>
      <xdr:colOff>2603499</xdr:colOff>
      <xdr:row>370</xdr:row>
      <xdr:rowOff>1409700</xdr:rowOff>
    </xdr:to>
    <xdr:pic>
      <xdr:nvPicPr>
        <xdr:cNvPr id="95" name="Picture 94">
          <a:extLst>
            <a:ext uri="{FF2B5EF4-FFF2-40B4-BE49-F238E27FC236}">
              <a16:creationId xmlns:a16="http://schemas.microsoft.com/office/drawing/2014/main" id="{1555EF04-9DD3-403D-8727-998A781E2971}"/>
            </a:ext>
          </a:extLst>
        </xdr:cNvPr>
        <xdr:cNvPicPr>
          <a:picLocks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2603499" y="68148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371</xdr:row>
      <xdr:rowOff>12700</xdr:rowOff>
    </xdr:from>
    <xdr:to>
      <xdr:col>4</xdr:col>
      <xdr:colOff>2603499</xdr:colOff>
      <xdr:row>371</xdr:row>
      <xdr:rowOff>1409700</xdr:rowOff>
    </xdr:to>
    <xdr:pic>
      <xdr:nvPicPr>
        <xdr:cNvPr id="96" name="Picture 95">
          <a:extLst>
            <a:ext uri="{FF2B5EF4-FFF2-40B4-BE49-F238E27FC236}">
              <a16:creationId xmlns:a16="http://schemas.microsoft.com/office/drawing/2014/main" id="{0CD3A406-94D4-4401-8725-9C1FF95A556B}"/>
            </a:ext>
          </a:extLst>
        </xdr:cNvPr>
        <xdr:cNvPicPr>
          <a:picLocks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2603499" y="68332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372</xdr:row>
      <xdr:rowOff>12700</xdr:rowOff>
    </xdr:from>
    <xdr:to>
      <xdr:col>4</xdr:col>
      <xdr:colOff>2603499</xdr:colOff>
      <xdr:row>372</xdr:row>
      <xdr:rowOff>1409700</xdr:rowOff>
    </xdr:to>
    <xdr:pic>
      <xdr:nvPicPr>
        <xdr:cNvPr id="97" name="Picture 96">
          <a:extLst>
            <a:ext uri="{FF2B5EF4-FFF2-40B4-BE49-F238E27FC236}">
              <a16:creationId xmlns:a16="http://schemas.microsoft.com/office/drawing/2014/main" id="{72B84B64-255F-43B8-B5F7-2D5EDC3616B0}"/>
            </a:ext>
          </a:extLst>
        </xdr:cNvPr>
        <xdr:cNvPicPr>
          <a:picLocks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2603499" y="68516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373</xdr:row>
      <xdr:rowOff>12700</xdr:rowOff>
    </xdr:from>
    <xdr:to>
      <xdr:col>4</xdr:col>
      <xdr:colOff>2603499</xdr:colOff>
      <xdr:row>373</xdr:row>
      <xdr:rowOff>1409700</xdr:rowOff>
    </xdr:to>
    <xdr:pic>
      <xdr:nvPicPr>
        <xdr:cNvPr id="98" name="Picture 97">
          <a:extLst>
            <a:ext uri="{FF2B5EF4-FFF2-40B4-BE49-F238E27FC236}">
              <a16:creationId xmlns:a16="http://schemas.microsoft.com/office/drawing/2014/main" id="{58980AA8-F8A3-4BF9-920C-05ADD0DBA83B}"/>
            </a:ext>
          </a:extLst>
        </xdr:cNvPr>
        <xdr:cNvPicPr>
          <a:picLocks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2603499" y="68700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374</xdr:row>
      <xdr:rowOff>12700</xdr:rowOff>
    </xdr:from>
    <xdr:to>
      <xdr:col>4</xdr:col>
      <xdr:colOff>2603499</xdr:colOff>
      <xdr:row>374</xdr:row>
      <xdr:rowOff>1409700</xdr:rowOff>
    </xdr:to>
    <xdr:pic>
      <xdr:nvPicPr>
        <xdr:cNvPr id="99" name="Picture 98">
          <a:extLst>
            <a:ext uri="{FF2B5EF4-FFF2-40B4-BE49-F238E27FC236}">
              <a16:creationId xmlns:a16="http://schemas.microsoft.com/office/drawing/2014/main" id="{3FF90161-85AF-48B1-A082-EEC12D54BB0D}"/>
            </a:ext>
          </a:extLst>
        </xdr:cNvPr>
        <xdr:cNvPicPr>
          <a:picLocks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2603499" y="68884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375</xdr:row>
      <xdr:rowOff>12700</xdr:rowOff>
    </xdr:from>
    <xdr:to>
      <xdr:col>4</xdr:col>
      <xdr:colOff>2603499</xdr:colOff>
      <xdr:row>375</xdr:row>
      <xdr:rowOff>1409700</xdr:rowOff>
    </xdr:to>
    <xdr:pic>
      <xdr:nvPicPr>
        <xdr:cNvPr id="100" name="Picture 99">
          <a:extLst>
            <a:ext uri="{FF2B5EF4-FFF2-40B4-BE49-F238E27FC236}">
              <a16:creationId xmlns:a16="http://schemas.microsoft.com/office/drawing/2014/main" id="{EEB78FA0-0C2F-4E27-A869-654558C8BFFD}"/>
            </a:ext>
          </a:extLst>
        </xdr:cNvPr>
        <xdr:cNvPicPr>
          <a:picLocks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2603499" y="69068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376</xdr:row>
      <xdr:rowOff>12700</xdr:rowOff>
    </xdr:from>
    <xdr:to>
      <xdr:col>4</xdr:col>
      <xdr:colOff>2603499</xdr:colOff>
      <xdr:row>376</xdr:row>
      <xdr:rowOff>1409700</xdr:rowOff>
    </xdr:to>
    <xdr:pic>
      <xdr:nvPicPr>
        <xdr:cNvPr id="101" name="Picture 100">
          <a:extLst>
            <a:ext uri="{FF2B5EF4-FFF2-40B4-BE49-F238E27FC236}">
              <a16:creationId xmlns:a16="http://schemas.microsoft.com/office/drawing/2014/main" id="{0F8F9598-CDE5-4563-B05A-6FBAE74EC0A8}"/>
            </a:ext>
          </a:extLst>
        </xdr:cNvPr>
        <xdr:cNvPicPr>
          <a:picLocks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2603499" y="69253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377</xdr:row>
      <xdr:rowOff>12700</xdr:rowOff>
    </xdr:from>
    <xdr:to>
      <xdr:col>4</xdr:col>
      <xdr:colOff>2603499</xdr:colOff>
      <xdr:row>377</xdr:row>
      <xdr:rowOff>1409700</xdr:rowOff>
    </xdr:to>
    <xdr:pic>
      <xdr:nvPicPr>
        <xdr:cNvPr id="102" name="Picture 101">
          <a:extLst>
            <a:ext uri="{FF2B5EF4-FFF2-40B4-BE49-F238E27FC236}">
              <a16:creationId xmlns:a16="http://schemas.microsoft.com/office/drawing/2014/main" id="{B51806BE-881F-4741-99D4-00DDD76FD6DF}"/>
            </a:ext>
          </a:extLst>
        </xdr:cNvPr>
        <xdr:cNvPicPr>
          <a:picLocks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2603499" y="69437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378</xdr:row>
      <xdr:rowOff>12700</xdr:rowOff>
    </xdr:from>
    <xdr:to>
      <xdr:col>4</xdr:col>
      <xdr:colOff>2603499</xdr:colOff>
      <xdr:row>378</xdr:row>
      <xdr:rowOff>1409700</xdr:rowOff>
    </xdr:to>
    <xdr:pic>
      <xdr:nvPicPr>
        <xdr:cNvPr id="103" name="Picture 102">
          <a:extLst>
            <a:ext uri="{FF2B5EF4-FFF2-40B4-BE49-F238E27FC236}">
              <a16:creationId xmlns:a16="http://schemas.microsoft.com/office/drawing/2014/main" id="{2EE061E6-3DA0-4EC3-B64E-06499758CABF}"/>
            </a:ext>
          </a:extLst>
        </xdr:cNvPr>
        <xdr:cNvPicPr>
          <a:picLocks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2603499" y="69621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379</xdr:row>
      <xdr:rowOff>12700</xdr:rowOff>
    </xdr:from>
    <xdr:to>
      <xdr:col>4</xdr:col>
      <xdr:colOff>2603499</xdr:colOff>
      <xdr:row>379</xdr:row>
      <xdr:rowOff>1409700</xdr:rowOff>
    </xdr:to>
    <xdr:pic>
      <xdr:nvPicPr>
        <xdr:cNvPr id="104" name="Picture 103">
          <a:extLst>
            <a:ext uri="{FF2B5EF4-FFF2-40B4-BE49-F238E27FC236}">
              <a16:creationId xmlns:a16="http://schemas.microsoft.com/office/drawing/2014/main" id="{7936AF2E-41FC-4E94-AE26-0585733F0C0D}"/>
            </a:ext>
          </a:extLst>
        </xdr:cNvPr>
        <xdr:cNvPicPr>
          <a:picLocks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2603499" y="69805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380</xdr:row>
      <xdr:rowOff>12700</xdr:rowOff>
    </xdr:from>
    <xdr:to>
      <xdr:col>4</xdr:col>
      <xdr:colOff>2603499</xdr:colOff>
      <xdr:row>380</xdr:row>
      <xdr:rowOff>1409700</xdr:rowOff>
    </xdr:to>
    <xdr:pic>
      <xdr:nvPicPr>
        <xdr:cNvPr id="105" name="Picture 104">
          <a:extLst>
            <a:ext uri="{FF2B5EF4-FFF2-40B4-BE49-F238E27FC236}">
              <a16:creationId xmlns:a16="http://schemas.microsoft.com/office/drawing/2014/main" id="{78C27D13-0360-4F1A-9846-5DBCC00D108A}"/>
            </a:ext>
          </a:extLst>
        </xdr:cNvPr>
        <xdr:cNvPicPr>
          <a:picLocks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2603499" y="69989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381</xdr:row>
      <xdr:rowOff>12700</xdr:rowOff>
    </xdr:from>
    <xdr:to>
      <xdr:col>4</xdr:col>
      <xdr:colOff>2603499</xdr:colOff>
      <xdr:row>381</xdr:row>
      <xdr:rowOff>1409700</xdr:rowOff>
    </xdr:to>
    <xdr:pic>
      <xdr:nvPicPr>
        <xdr:cNvPr id="106" name="Picture 105">
          <a:extLst>
            <a:ext uri="{FF2B5EF4-FFF2-40B4-BE49-F238E27FC236}">
              <a16:creationId xmlns:a16="http://schemas.microsoft.com/office/drawing/2014/main" id="{A4F20B70-51CC-4926-BDFC-098151481250}"/>
            </a:ext>
          </a:extLst>
        </xdr:cNvPr>
        <xdr:cNvPicPr>
          <a:picLocks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2603499" y="70173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382</xdr:row>
      <xdr:rowOff>12700</xdr:rowOff>
    </xdr:from>
    <xdr:to>
      <xdr:col>4</xdr:col>
      <xdr:colOff>2603499</xdr:colOff>
      <xdr:row>382</xdr:row>
      <xdr:rowOff>1409700</xdr:rowOff>
    </xdr:to>
    <xdr:pic>
      <xdr:nvPicPr>
        <xdr:cNvPr id="107" name="Picture 106">
          <a:extLst>
            <a:ext uri="{FF2B5EF4-FFF2-40B4-BE49-F238E27FC236}">
              <a16:creationId xmlns:a16="http://schemas.microsoft.com/office/drawing/2014/main" id="{D66F9931-5025-4683-8EE1-710828B0D6F7}"/>
            </a:ext>
          </a:extLst>
        </xdr:cNvPr>
        <xdr:cNvPicPr>
          <a:picLocks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2603499" y="70358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383</xdr:row>
      <xdr:rowOff>12700</xdr:rowOff>
    </xdr:from>
    <xdr:to>
      <xdr:col>4</xdr:col>
      <xdr:colOff>2603499</xdr:colOff>
      <xdr:row>383</xdr:row>
      <xdr:rowOff>1409700</xdr:rowOff>
    </xdr:to>
    <xdr:pic>
      <xdr:nvPicPr>
        <xdr:cNvPr id="108" name="Picture 107">
          <a:extLst>
            <a:ext uri="{FF2B5EF4-FFF2-40B4-BE49-F238E27FC236}">
              <a16:creationId xmlns:a16="http://schemas.microsoft.com/office/drawing/2014/main" id="{A10D4006-5162-4AFB-84F1-6D32C921D34B}"/>
            </a:ext>
          </a:extLst>
        </xdr:cNvPr>
        <xdr:cNvPicPr>
          <a:picLocks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2603499" y="70542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384</xdr:row>
      <xdr:rowOff>12700</xdr:rowOff>
    </xdr:from>
    <xdr:to>
      <xdr:col>4</xdr:col>
      <xdr:colOff>2603499</xdr:colOff>
      <xdr:row>384</xdr:row>
      <xdr:rowOff>1409700</xdr:rowOff>
    </xdr:to>
    <xdr:pic>
      <xdr:nvPicPr>
        <xdr:cNvPr id="109" name="Picture 108">
          <a:extLst>
            <a:ext uri="{FF2B5EF4-FFF2-40B4-BE49-F238E27FC236}">
              <a16:creationId xmlns:a16="http://schemas.microsoft.com/office/drawing/2014/main" id="{17A808FF-662C-4B9A-BEE4-5953126B2BD0}"/>
            </a:ext>
          </a:extLst>
        </xdr:cNvPr>
        <xdr:cNvPicPr>
          <a:picLocks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2603499" y="70726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385</xdr:row>
      <xdr:rowOff>12700</xdr:rowOff>
    </xdr:from>
    <xdr:to>
      <xdr:col>4</xdr:col>
      <xdr:colOff>2603499</xdr:colOff>
      <xdr:row>385</xdr:row>
      <xdr:rowOff>1409700</xdr:rowOff>
    </xdr:to>
    <xdr:pic>
      <xdr:nvPicPr>
        <xdr:cNvPr id="110" name="Picture 109">
          <a:extLst>
            <a:ext uri="{FF2B5EF4-FFF2-40B4-BE49-F238E27FC236}">
              <a16:creationId xmlns:a16="http://schemas.microsoft.com/office/drawing/2014/main" id="{025A0685-3B07-4510-B28C-33B6D7F223CE}"/>
            </a:ext>
          </a:extLst>
        </xdr:cNvPr>
        <xdr:cNvPicPr>
          <a:picLocks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2603499" y="70910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386</xdr:row>
      <xdr:rowOff>12700</xdr:rowOff>
    </xdr:from>
    <xdr:to>
      <xdr:col>4</xdr:col>
      <xdr:colOff>2603499</xdr:colOff>
      <xdr:row>386</xdr:row>
      <xdr:rowOff>1409700</xdr:rowOff>
    </xdr:to>
    <xdr:pic>
      <xdr:nvPicPr>
        <xdr:cNvPr id="111" name="Picture 110">
          <a:extLst>
            <a:ext uri="{FF2B5EF4-FFF2-40B4-BE49-F238E27FC236}">
              <a16:creationId xmlns:a16="http://schemas.microsoft.com/office/drawing/2014/main" id="{A13DB199-95BA-4C1A-9CBC-AB7A523A2B61}"/>
            </a:ext>
          </a:extLst>
        </xdr:cNvPr>
        <xdr:cNvPicPr>
          <a:picLocks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2603499" y="71094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387</xdr:row>
      <xdr:rowOff>12700</xdr:rowOff>
    </xdr:from>
    <xdr:to>
      <xdr:col>4</xdr:col>
      <xdr:colOff>2603499</xdr:colOff>
      <xdr:row>387</xdr:row>
      <xdr:rowOff>1409700</xdr:rowOff>
    </xdr:to>
    <xdr:pic>
      <xdr:nvPicPr>
        <xdr:cNvPr id="112" name="Picture 111">
          <a:extLst>
            <a:ext uri="{FF2B5EF4-FFF2-40B4-BE49-F238E27FC236}">
              <a16:creationId xmlns:a16="http://schemas.microsoft.com/office/drawing/2014/main" id="{D48FBDEE-2587-4E77-AB0D-357824C74732}"/>
            </a:ext>
          </a:extLst>
        </xdr:cNvPr>
        <xdr:cNvPicPr>
          <a:picLocks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2603499" y="71278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388</xdr:row>
      <xdr:rowOff>12700</xdr:rowOff>
    </xdr:from>
    <xdr:to>
      <xdr:col>4</xdr:col>
      <xdr:colOff>2603499</xdr:colOff>
      <xdr:row>388</xdr:row>
      <xdr:rowOff>1409700</xdr:rowOff>
    </xdr:to>
    <xdr:pic>
      <xdr:nvPicPr>
        <xdr:cNvPr id="113" name="Picture 112">
          <a:extLst>
            <a:ext uri="{FF2B5EF4-FFF2-40B4-BE49-F238E27FC236}">
              <a16:creationId xmlns:a16="http://schemas.microsoft.com/office/drawing/2014/main" id="{7D89A681-B3DB-413D-ABB4-2B50728A9E54}"/>
            </a:ext>
          </a:extLst>
        </xdr:cNvPr>
        <xdr:cNvPicPr>
          <a:picLocks noChangeArrowheads="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2603499" y="71462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389</xdr:row>
      <xdr:rowOff>12700</xdr:rowOff>
    </xdr:from>
    <xdr:to>
      <xdr:col>4</xdr:col>
      <xdr:colOff>2603499</xdr:colOff>
      <xdr:row>389</xdr:row>
      <xdr:rowOff>1409700</xdr:rowOff>
    </xdr:to>
    <xdr:pic>
      <xdr:nvPicPr>
        <xdr:cNvPr id="114" name="Picture 113">
          <a:extLst>
            <a:ext uri="{FF2B5EF4-FFF2-40B4-BE49-F238E27FC236}">
              <a16:creationId xmlns:a16="http://schemas.microsoft.com/office/drawing/2014/main" id="{B59F030F-88F0-478A-937A-C3046BC64D06}"/>
            </a:ext>
          </a:extLst>
        </xdr:cNvPr>
        <xdr:cNvPicPr>
          <a:picLocks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2603499" y="71647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6</xdr:row>
      <xdr:rowOff>12700</xdr:rowOff>
    </xdr:from>
    <xdr:to>
      <xdr:col>4</xdr:col>
      <xdr:colOff>2603499</xdr:colOff>
      <xdr:row>6</xdr:row>
      <xdr:rowOff>1409700</xdr:rowOff>
    </xdr:to>
    <xdr:pic>
      <xdr:nvPicPr>
        <xdr:cNvPr id="115" name="Picture 1">
          <a:extLst>
            <a:ext uri="{FF2B5EF4-FFF2-40B4-BE49-F238E27FC236}">
              <a16:creationId xmlns:a16="http://schemas.microsoft.com/office/drawing/2014/main" id="{94D51164-7FCD-40AF-B487-6395F4763E62}"/>
            </a:ext>
          </a:extLst>
        </xdr:cNvPr>
        <xdr:cNvPicPr>
          <a:picLocks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2603499" y="1117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7</xdr:row>
      <xdr:rowOff>12700</xdr:rowOff>
    </xdr:from>
    <xdr:to>
      <xdr:col>4</xdr:col>
      <xdr:colOff>2603499</xdr:colOff>
      <xdr:row>7</xdr:row>
      <xdr:rowOff>1409700</xdr:rowOff>
    </xdr:to>
    <xdr:pic>
      <xdr:nvPicPr>
        <xdr:cNvPr id="116" name="Picture 2">
          <a:extLst>
            <a:ext uri="{FF2B5EF4-FFF2-40B4-BE49-F238E27FC236}">
              <a16:creationId xmlns:a16="http://schemas.microsoft.com/office/drawing/2014/main" id="{8703A52B-7972-40E6-A106-B52D53512033}"/>
            </a:ext>
          </a:extLst>
        </xdr:cNvPr>
        <xdr:cNvPicPr>
          <a:picLocks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2603499" y="1301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8</xdr:row>
      <xdr:rowOff>12700</xdr:rowOff>
    </xdr:from>
    <xdr:to>
      <xdr:col>4</xdr:col>
      <xdr:colOff>2603499</xdr:colOff>
      <xdr:row>8</xdr:row>
      <xdr:rowOff>1409700</xdr:rowOff>
    </xdr:to>
    <xdr:pic>
      <xdr:nvPicPr>
        <xdr:cNvPr id="117" name="Picture 3">
          <a:extLst>
            <a:ext uri="{FF2B5EF4-FFF2-40B4-BE49-F238E27FC236}">
              <a16:creationId xmlns:a16="http://schemas.microsoft.com/office/drawing/2014/main" id="{964FE5A2-F76F-4FA7-8940-63E64F1430CE}"/>
            </a:ext>
          </a:extLst>
        </xdr:cNvPr>
        <xdr:cNvPicPr>
          <a:picLocks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2603499" y="1485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9</xdr:row>
      <xdr:rowOff>12700</xdr:rowOff>
    </xdr:from>
    <xdr:to>
      <xdr:col>4</xdr:col>
      <xdr:colOff>2603499</xdr:colOff>
      <xdr:row>9</xdr:row>
      <xdr:rowOff>1409700</xdr:rowOff>
    </xdr:to>
    <xdr:pic>
      <xdr:nvPicPr>
        <xdr:cNvPr id="118" name="Picture 4">
          <a:extLst>
            <a:ext uri="{FF2B5EF4-FFF2-40B4-BE49-F238E27FC236}">
              <a16:creationId xmlns:a16="http://schemas.microsoft.com/office/drawing/2014/main" id="{1C2B4937-E85B-45C3-86EA-9078A1EF3BD0}"/>
            </a:ext>
          </a:extLst>
        </xdr:cNvPr>
        <xdr:cNvPicPr>
          <a:picLocks noChangeArrowheads="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2603499" y="1670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10</xdr:row>
      <xdr:rowOff>12700</xdr:rowOff>
    </xdr:from>
    <xdr:to>
      <xdr:col>4</xdr:col>
      <xdr:colOff>2603499</xdr:colOff>
      <xdr:row>10</xdr:row>
      <xdr:rowOff>1409700</xdr:rowOff>
    </xdr:to>
    <xdr:pic>
      <xdr:nvPicPr>
        <xdr:cNvPr id="119" name="Picture 5">
          <a:extLst>
            <a:ext uri="{FF2B5EF4-FFF2-40B4-BE49-F238E27FC236}">
              <a16:creationId xmlns:a16="http://schemas.microsoft.com/office/drawing/2014/main" id="{5DBEA426-EB36-49E2-A334-9EDDA7700024}"/>
            </a:ext>
          </a:extLst>
        </xdr:cNvPr>
        <xdr:cNvPicPr>
          <a:picLocks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2603499" y="1854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11</xdr:row>
      <xdr:rowOff>12700</xdr:rowOff>
    </xdr:from>
    <xdr:to>
      <xdr:col>4</xdr:col>
      <xdr:colOff>2603499</xdr:colOff>
      <xdr:row>11</xdr:row>
      <xdr:rowOff>1409700</xdr:rowOff>
    </xdr:to>
    <xdr:pic>
      <xdr:nvPicPr>
        <xdr:cNvPr id="120" name="Picture 6">
          <a:extLst>
            <a:ext uri="{FF2B5EF4-FFF2-40B4-BE49-F238E27FC236}">
              <a16:creationId xmlns:a16="http://schemas.microsoft.com/office/drawing/2014/main" id="{7B1D4A93-F784-4440-98DE-015DEA7778C4}"/>
            </a:ext>
          </a:extLst>
        </xdr:cNvPr>
        <xdr:cNvPicPr>
          <a:picLocks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2603499" y="2038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12</xdr:row>
      <xdr:rowOff>12700</xdr:rowOff>
    </xdr:from>
    <xdr:to>
      <xdr:col>4</xdr:col>
      <xdr:colOff>2603499</xdr:colOff>
      <xdr:row>12</xdr:row>
      <xdr:rowOff>1409700</xdr:rowOff>
    </xdr:to>
    <xdr:pic>
      <xdr:nvPicPr>
        <xdr:cNvPr id="121" name="Picture 7">
          <a:extLst>
            <a:ext uri="{FF2B5EF4-FFF2-40B4-BE49-F238E27FC236}">
              <a16:creationId xmlns:a16="http://schemas.microsoft.com/office/drawing/2014/main" id="{6709DE1A-7D4D-48AF-8CAB-9F40180B7FF1}"/>
            </a:ext>
          </a:extLst>
        </xdr:cNvPr>
        <xdr:cNvPicPr>
          <a:picLocks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2603499" y="2222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13</xdr:row>
      <xdr:rowOff>12700</xdr:rowOff>
    </xdr:from>
    <xdr:to>
      <xdr:col>4</xdr:col>
      <xdr:colOff>2603499</xdr:colOff>
      <xdr:row>13</xdr:row>
      <xdr:rowOff>1409700</xdr:rowOff>
    </xdr:to>
    <xdr:pic>
      <xdr:nvPicPr>
        <xdr:cNvPr id="122" name="Picture 8">
          <a:extLst>
            <a:ext uri="{FF2B5EF4-FFF2-40B4-BE49-F238E27FC236}">
              <a16:creationId xmlns:a16="http://schemas.microsoft.com/office/drawing/2014/main" id="{53B0DA8E-1587-4D2B-88C2-18ED2A73A77E}"/>
            </a:ext>
          </a:extLst>
        </xdr:cNvPr>
        <xdr:cNvPicPr>
          <a:picLocks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2603499" y="2406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xdr:row>
      <xdr:rowOff>12700</xdr:rowOff>
    </xdr:from>
    <xdr:to>
      <xdr:col>4</xdr:col>
      <xdr:colOff>2603499</xdr:colOff>
      <xdr:row>14</xdr:row>
      <xdr:rowOff>1409700</xdr:rowOff>
    </xdr:to>
    <xdr:pic>
      <xdr:nvPicPr>
        <xdr:cNvPr id="123" name="Picture 9">
          <a:extLst>
            <a:ext uri="{FF2B5EF4-FFF2-40B4-BE49-F238E27FC236}">
              <a16:creationId xmlns:a16="http://schemas.microsoft.com/office/drawing/2014/main" id="{60DBB4B0-15EF-4D35-B760-43A1A6EF4AD0}"/>
            </a:ext>
          </a:extLst>
        </xdr:cNvPr>
        <xdr:cNvPicPr>
          <a:picLocks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2603499" y="2590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15</xdr:row>
      <xdr:rowOff>12700</xdr:rowOff>
    </xdr:from>
    <xdr:to>
      <xdr:col>4</xdr:col>
      <xdr:colOff>2603499</xdr:colOff>
      <xdr:row>15</xdr:row>
      <xdr:rowOff>1409700</xdr:rowOff>
    </xdr:to>
    <xdr:pic>
      <xdr:nvPicPr>
        <xdr:cNvPr id="124" name="Picture 10">
          <a:extLst>
            <a:ext uri="{FF2B5EF4-FFF2-40B4-BE49-F238E27FC236}">
              <a16:creationId xmlns:a16="http://schemas.microsoft.com/office/drawing/2014/main" id="{609B6632-0A7F-4579-AAC4-A45CDACC3B81}"/>
            </a:ext>
          </a:extLst>
        </xdr:cNvPr>
        <xdr:cNvPicPr>
          <a:picLocks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2603499" y="2774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17</xdr:row>
      <xdr:rowOff>12700</xdr:rowOff>
    </xdr:from>
    <xdr:to>
      <xdr:col>4</xdr:col>
      <xdr:colOff>2603499</xdr:colOff>
      <xdr:row>17</xdr:row>
      <xdr:rowOff>1409700</xdr:rowOff>
    </xdr:to>
    <xdr:pic>
      <xdr:nvPicPr>
        <xdr:cNvPr id="125" name="Picture 11">
          <a:extLst>
            <a:ext uri="{FF2B5EF4-FFF2-40B4-BE49-F238E27FC236}">
              <a16:creationId xmlns:a16="http://schemas.microsoft.com/office/drawing/2014/main" id="{65686AEC-80C3-47BB-B6B0-3D3A924EA230}"/>
            </a:ext>
          </a:extLst>
        </xdr:cNvPr>
        <xdr:cNvPicPr>
          <a:picLocks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2603499" y="3143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18</xdr:row>
      <xdr:rowOff>12700</xdr:rowOff>
    </xdr:from>
    <xdr:to>
      <xdr:col>4</xdr:col>
      <xdr:colOff>2603499</xdr:colOff>
      <xdr:row>18</xdr:row>
      <xdr:rowOff>1409700</xdr:rowOff>
    </xdr:to>
    <xdr:pic>
      <xdr:nvPicPr>
        <xdr:cNvPr id="126" name="Picture 12">
          <a:extLst>
            <a:ext uri="{FF2B5EF4-FFF2-40B4-BE49-F238E27FC236}">
              <a16:creationId xmlns:a16="http://schemas.microsoft.com/office/drawing/2014/main" id="{C760FE86-CD42-4E12-A17E-6155BE7E013C}"/>
            </a:ext>
          </a:extLst>
        </xdr:cNvPr>
        <xdr:cNvPicPr>
          <a:picLocks noChangeArrowheads="1"/>
        </xdr:cNvPicPr>
      </xdr:nvPicPr>
      <xdr:blipFill>
        <a:blip xmlns:r="http://schemas.openxmlformats.org/officeDocument/2006/relationships" r:embed="rId125">
          <a:extLst>
            <a:ext uri="{28A0092B-C50C-407E-A947-70E740481C1C}">
              <a14:useLocalDpi xmlns:a14="http://schemas.microsoft.com/office/drawing/2010/main" val="0"/>
            </a:ext>
          </a:extLst>
        </a:blip>
        <a:srcRect/>
        <a:stretch>
          <a:fillRect/>
        </a:stretch>
      </xdr:blipFill>
      <xdr:spPr bwMode="auto">
        <a:xfrm>
          <a:off x="2603499" y="3327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19</xdr:row>
      <xdr:rowOff>12700</xdr:rowOff>
    </xdr:from>
    <xdr:to>
      <xdr:col>4</xdr:col>
      <xdr:colOff>2603499</xdr:colOff>
      <xdr:row>19</xdr:row>
      <xdr:rowOff>1409700</xdr:rowOff>
    </xdr:to>
    <xdr:pic>
      <xdr:nvPicPr>
        <xdr:cNvPr id="127" name="Picture 13">
          <a:extLst>
            <a:ext uri="{FF2B5EF4-FFF2-40B4-BE49-F238E27FC236}">
              <a16:creationId xmlns:a16="http://schemas.microsoft.com/office/drawing/2014/main" id="{B875E4A6-6C81-423C-A479-208360E460DC}"/>
            </a:ext>
          </a:extLst>
        </xdr:cNvPr>
        <xdr:cNvPicPr>
          <a:picLocks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2603499" y="3511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20</xdr:row>
      <xdr:rowOff>12700</xdr:rowOff>
    </xdr:from>
    <xdr:to>
      <xdr:col>4</xdr:col>
      <xdr:colOff>2603499</xdr:colOff>
      <xdr:row>20</xdr:row>
      <xdr:rowOff>1409700</xdr:rowOff>
    </xdr:to>
    <xdr:pic>
      <xdr:nvPicPr>
        <xdr:cNvPr id="128" name="Picture 14">
          <a:extLst>
            <a:ext uri="{FF2B5EF4-FFF2-40B4-BE49-F238E27FC236}">
              <a16:creationId xmlns:a16="http://schemas.microsoft.com/office/drawing/2014/main" id="{B6F8A869-4C56-4457-A089-BE0202542A7C}"/>
            </a:ext>
          </a:extLst>
        </xdr:cNvPr>
        <xdr:cNvPicPr>
          <a:picLocks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2603499" y="3695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21</xdr:row>
      <xdr:rowOff>12700</xdr:rowOff>
    </xdr:from>
    <xdr:to>
      <xdr:col>4</xdr:col>
      <xdr:colOff>2603499</xdr:colOff>
      <xdr:row>21</xdr:row>
      <xdr:rowOff>1409700</xdr:rowOff>
    </xdr:to>
    <xdr:pic>
      <xdr:nvPicPr>
        <xdr:cNvPr id="129" name="Picture 15">
          <a:extLst>
            <a:ext uri="{FF2B5EF4-FFF2-40B4-BE49-F238E27FC236}">
              <a16:creationId xmlns:a16="http://schemas.microsoft.com/office/drawing/2014/main" id="{2D2FAC46-EA49-4BF2-852E-CCAE79706733}"/>
            </a:ext>
          </a:extLst>
        </xdr:cNvPr>
        <xdr:cNvPicPr>
          <a:picLocks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2603499" y="3879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22</xdr:row>
      <xdr:rowOff>12700</xdr:rowOff>
    </xdr:from>
    <xdr:to>
      <xdr:col>4</xdr:col>
      <xdr:colOff>2603499</xdr:colOff>
      <xdr:row>22</xdr:row>
      <xdr:rowOff>1409700</xdr:rowOff>
    </xdr:to>
    <xdr:pic>
      <xdr:nvPicPr>
        <xdr:cNvPr id="130" name="Picture 16">
          <a:extLst>
            <a:ext uri="{FF2B5EF4-FFF2-40B4-BE49-F238E27FC236}">
              <a16:creationId xmlns:a16="http://schemas.microsoft.com/office/drawing/2014/main" id="{C20A9AE6-83A1-41BA-92D6-358DF7E2671A}"/>
            </a:ext>
          </a:extLst>
        </xdr:cNvPr>
        <xdr:cNvPicPr>
          <a:picLocks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2603499" y="4064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23</xdr:row>
      <xdr:rowOff>12700</xdr:rowOff>
    </xdr:from>
    <xdr:to>
      <xdr:col>4</xdr:col>
      <xdr:colOff>2603499</xdr:colOff>
      <xdr:row>23</xdr:row>
      <xdr:rowOff>1409700</xdr:rowOff>
    </xdr:to>
    <xdr:pic>
      <xdr:nvPicPr>
        <xdr:cNvPr id="131" name="Picture 17">
          <a:extLst>
            <a:ext uri="{FF2B5EF4-FFF2-40B4-BE49-F238E27FC236}">
              <a16:creationId xmlns:a16="http://schemas.microsoft.com/office/drawing/2014/main" id="{7490ADF7-8AB3-46AF-98AB-2EE68F2B4BEC}"/>
            </a:ext>
          </a:extLst>
        </xdr:cNvPr>
        <xdr:cNvPicPr>
          <a:picLocks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2603499" y="4248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24</xdr:row>
      <xdr:rowOff>12700</xdr:rowOff>
    </xdr:from>
    <xdr:to>
      <xdr:col>4</xdr:col>
      <xdr:colOff>2603499</xdr:colOff>
      <xdr:row>24</xdr:row>
      <xdr:rowOff>1409700</xdr:rowOff>
    </xdr:to>
    <xdr:pic>
      <xdr:nvPicPr>
        <xdr:cNvPr id="132" name="Picture 18">
          <a:extLst>
            <a:ext uri="{FF2B5EF4-FFF2-40B4-BE49-F238E27FC236}">
              <a16:creationId xmlns:a16="http://schemas.microsoft.com/office/drawing/2014/main" id="{1EDBD727-A174-4222-9235-8F155EB39FE5}"/>
            </a:ext>
          </a:extLst>
        </xdr:cNvPr>
        <xdr:cNvPicPr>
          <a:picLocks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2603499" y="4432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25</xdr:row>
      <xdr:rowOff>12700</xdr:rowOff>
    </xdr:from>
    <xdr:to>
      <xdr:col>4</xdr:col>
      <xdr:colOff>2603499</xdr:colOff>
      <xdr:row>25</xdr:row>
      <xdr:rowOff>1409700</xdr:rowOff>
    </xdr:to>
    <xdr:pic>
      <xdr:nvPicPr>
        <xdr:cNvPr id="133" name="Picture 19">
          <a:extLst>
            <a:ext uri="{FF2B5EF4-FFF2-40B4-BE49-F238E27FC236}">
              <a16:creationId xmlns:a16="http://schemas.microsoft.com/office/drawing/2014/main" id="{AEB05090-CD01-468F-8ED9-6284C629C6B4}"/>
            </a:ext>
          </a:extLst>
        </xdr:cNvPr>
        <xdr:cNvPicPr>
          <a:picLocks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2603499" y="4616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26</xdr:row>
      <xdr:rowOff>12700</xdr:rowOff>
    </xdr:from>
    <xdr:to>
      <xdr:col>4</xdr:col>
      <xdr:colOff>2603499</xdr:colOff>
      <xdr:row>26</xdr:row>
      <xdr:rowOff>1409700</xdr:rowOff>
    </xdr:to>
    <xdr:pic>
      <xdr:nvPicPr>
        <xdr:cNvPr id="134" name="Picture 20">
          <a:extLst>
            <a:ext uri="{FF2B5EF4-FFF2-40B4-BE49-F238E27FC236}">
              <a16:creationId xmlns:a16="http://schemas.microsoft.com/office/drawing/2014/main" id="{F23AE508-62D5-4023-9A71-571186016876}"/>
            </a:ext>
          </a:extLst>
        </xdr:cNvPr>
        <xdr:cNvPicPr>
          <a:picLocks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2603499" y="4800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27</xdr:row>
      <xdr:rowOff>12700</xdr:rowOff>
    </xdr:from>
    <xdr:to>
      <xdr:col>4</xdr:col>
      <xdr:colOff>2603499</xdr:colOff>
      <xdr:row>27</xdr:row>
      <xdr:rowOff>1409700</xdr:rowOff>
    </xdr:to>
    <xdr:pic>
      <xdr:nvPicPr>
        <xdr:cNvPr id="135" name="Picture 21">
          <a:extLst>
            <a:ext uri="{FF2B5EF4-FFF2-40B4-BE49-F238E27FC236}">
              <a16:creationId xmlns:a16="http://schemas.microsoft.com/office/drawing/2014/main" id="{39498D33-7EC7-4A60-B845-A362CC0317A4}"/>
            </a:ext>
          </a:extLst>
        </xdr:cNvPr>
        <xdr:cNvPicPr>
          <a:picLocks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2603499" y="4984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28</xdr:row>
      <xdr:rowOff>12700</xdr:rowOff>
    </xdr:from>
    <xdr:to>
      <xdr:col>4</xdr:col>
      <xdr:colOff>2603499</xdr:colOff>
      <xdr:row>28</xdr:row>
      <xdr:rowOff>1409700</xdr:rowOff>
    </xdr:to>
    <xdr:pic>
      <xdr:nvPicPr>
        <xdr:cNvPr id="136" name="Picture 22">
          <a:extLst>
            <a:ext uri="{FF2B5EF4-FFF2-40B4-BE49-F238E27FC236}">
              <a16:creationId xmlns:a16="http://schemas.microsoft.com/office/drawing/2014/main" id="{B17D34E8-9CEE-4DF2-AE33-C754B7476FFE}"/>
            </a:ext>
          </a:extLst>
        </xdr:cNvPr>
        <xdr:cNvPicPr>
          <a:picLocks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2603499" y="5168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30</xdr:row>
      <xdr:rowOff>12700</xdr:rowOff>
    </xdr:from>
    <xdr:to>
      <xdr:col>4</xdr:col>
      <xdr:colOff>2603499</xdr:colOff>
      <xdr:row>30</xdr:row>
      <xdr:rowOff>1409700</xdr:rowOff>
    </xdr:to>
    <xdr:pic>
      <xdr:nvPicPr>
        <xdr:cNvPr id="137" name="Picture 23">
          <a:extLst>
            <a:ext uri="{FF2B5EF4-FFF2-40B4-BE49-F238E27FC236}">
              <a16:creationId xmlns:a16="http://schemas.microsoft.com/office/drawing/2014/main" id="{C2559C30-BC11-469F-8573-F303622B89D1}"/>
            </a:ext>
          </a:extLst>
        </xdr:cNvPr>
        <xdr:cNvPicPr>
          <a:picLocks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2603499" y="5537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31</xdr:row>
      <xdr:rowOff>12700</xdr:rowOff>
    </xdr:from>
    <xdr:to>
      <xdr:col>4</xdr:col>
      <xdr:colOff>2603499</xdr:colOff>
      <xdr:row>31</xdr:row>
      <xdr:rowOff>1409700</xdr:rowOff>
    </xdr:to>
    <xdr:pic>
      <xdr:nvPicPr>
        <xdr:cNvPr id="138" name="Picture 24">
          <a:extLst>
            <a:ext uri="{FF2B5EF4-FFF2-40B4-BE49-F238E27FC236}">
              <a16:creationId xmlns:a16="http://schemas.microsoft.com/office/drawing/2014/main" id="{6DA19C98-8C08-4C6E-A9C2-D61CA0A246F4}"/>
            </a:ext>
          </a:extLst>
        </xdr:cNvPr>
        <xdr:cNvPicPr>
          <a:picLocks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2603499" y="5721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32</xdr:row>
      <xdr:rowOff>12700</xdr:rowOff>
    </xdr:from>
    <xdr:to>
      <xdr:col>4</xdr:col>
      <xdr:colOff>2603499</xdr:colOff>
      <xdr:row>32</xdr:row>
      <xdr:rowOff>1409700</xdr:rowOff>
    </xdr:to>
    <xdr:pic>
      <xdr:nvPicPr>
        <xdr:cNvPr id="139" name="Picture 25">
          <a:extLst>
            <a:ext uri="{FF2B5EF4-FFF2-40B4-BE49-F238E27FC236}">
              <a16:creationId xmlns:a16="http://schemas.microsoft.com/office/drawing/2014/main" id="{C0866B3F-DB77-4C89-8B2B-00272EDECEBD}"/>
            </a:ext>
          </a:extLst>
        </xdr:cNvPr>
        <xdr:cNvPicPr>
          <a:picLocks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2603499" y="5905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33</xdr:row>
      <xdr:rowOff>12700</xdr:rowOff>
    </xdr:from>
    <xdr:to>
      <xdr:col>4</xdr:col>
      <xdr:colOff>2603499</xdr:colOff>
      <xdr:row>33</xdr:row>
      <xdr:rowOff>1409700</xdr:rowOff>
    </xdr:to>
    <xdr:pic>
      <xdr:nvPicPr>
        <xdr:cNvPr id="140" name="Picture 26">
          <a:extLst>
            <a:ext uri="{FF2B5EF4-FFF2-40B4-BE49-F238E27FC236}">
              <a16:creationId xmlns:a16="http://schemas.microsoft.com/office/drawing/2014/main" id="{AC50906F-970B-4498-BF93-3D9C9F43F99A}"/>
            </a:ext>
          </a:extLst>
        </xdr:cNvPr>
        <xdr:cNvPicPr>
          <a:picLocks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2603499" y="6089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34</xdr:row>
      <xdr:rowOff>12700</xdr:rowOff>
    </xdr:from>
    <xdr:to>
      <xdr:col>4</xdr:col>
      <xdr:colOff>2603499</xdr:colOff>
      <xdr:row>34</xdr:row>
      <xdr:rowOff>1409700</xdr:rowOff>
    </xdr:to>
    <xdr:pic>
      <xdr:nvPicPr>
        <xdr:cNvPr id="141" name="Picture 27">
          <a:extLst>
            <a:ext uri="{FF2B5EF4-FFF2-40B4-BE49-F238E27FC236}">
              <a16:creationId xmlns:a16="http://schemas.microsoft.com/office/drawing/2014/main" id="{628079C5-6DB0-42FE-B754-4EF2436933DE}"/>
            </a:ext>
          </a:extLst>
        </xdr:cNvPr>
        <xdr:cNvPicPr>
          <a:picLocks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2603499" y="6273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35</xdr:row>
      <xdr:rowOff>12700</xdr:rowOff>
    </xdr:from>
    <xdr:to>
      <xdr:col>4</xdr:col>
      <xdr:colOff>2603499</xdr:colOff>
      <xdr:row>35</xdr:row>
      <xdr:rowOff>1409700</xdr:rowOff>
    </xdr:to>
    <xdr:pic>
      <xdr:nvPicPr>
        <xdr:cNvPr id="142" name="Picture 28">
          <a:extLst>
            <a:ext uri="{FF2B5EF4-FFF2-40B4-BE49-F238E27FC236}">
              <a16:creationId xmlns:a16="http://schemas.microsoft.com/office/drawing/2014/main" id="{91EFECB1-0CD1-4D36-A22F-15C40FB64CEC}"/>
            </a:ext>
          </a:extLst>
        </xdr:cNvPr>
        <xdr:cNvPicPr>
          <a:picLocks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2603499" y="6457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36</xdr:row>
      <xdr:rowOff>12700</xdr:rowOff>
    </xdr:from>
    <xdr:to>
      <xdr:col>4</xdr:col>
      <xdr:colOff>2603499</xdr:colOff>
      <xdr:row>36</xdr:row>
      <xdr:rowOff>1409700</xdr:rowOff>
    </xdr:to>
    <xdr:pic>
      <xdr:nvPicPr>
        <xdr:cNvPr id="143" name="Picture 29">
          <a:extLst>
            <a:ext uri="{FF2B5EF4-FFF2-40B4-BE49-F238E27FC236}">
              <a16:creationId xmlns:a16="http://schemas.microsoft.com/office/drawing/2014/main" id="{B5F187FE-C2DE-4907-8A81-A39355BC523C}"/>
            </a:ext>
          </a:extLst>
        </xdr:cNvPr>
        <xdr:cNvPicPr>
          <a:picLocks noChangeArrowheads="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2603499" y="6642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37</xdr:row>
      <xdr:rowOff>12700</xdr:rowOff>
    </xdr:from>
    <xdr:to>
      <xdr:col>4</xdr:col>
      <xdr:colOff>2603499</xdr:colOff>
      <xdr:row>37</xdr:row>
      <xdr:rowOff>1409700</xdr:rowOff>
    </xdr:to>
    <xdr:pic>
      <xdr:nvPicPr>
        <xdr:cNvPr id="144" name="Picture 30">
          <a:extLst>
            <a:ext uri="{FF2B5EF4-FFF2-40B4-BE49-F238E27FC236}">
              <a16:creationId xmlns:a16="http://schemas.microsoft.com/office/drawing/2014/main" id="{4F5D543A-AF94-4B0E-9810-2BE260E1A0CB}"/>
            </a:ext>
          </a:extLst>
        </xdr:cNvPr>
        <xdr:cNvPicPr>
          <a:picLocks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2603499" y="6826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38</xdr:row>
      <xdr:rowOff>12700</xdr:rowOff>
    </xdr:from>
    <xdr:to>
      <xdr:col>4</xdr:col>
      <xdr:colOff>2603499</xdr:colOff>
      <xdr:row>38</xdr:row>
      <xdr:rowOff>1409700</xdr:rowOff>
    </xdr:to>
    <xdr:pic>
      <xdr:nvPicPr>
        <xdr:cNvPr id="145" name="Picture 31">
          <a:extLst>
            <a:ext uri="{FF2B5EF4-FFF2-40B4-BE49-F238E27FC236}">
              <a16:creationId xmlns:a16="http://schemas.microsoft.com/office/drawing/2014/main" id="{39C6962C-D394-4B12-8C45-7218F0C32A13}"/>
            </a:ext>
          </a:extLst>
        </xdr:cNvPr>
        <xdr:cNvPicPr>
          <a:picLocks noChangeArrowheads="1"/>
        </xdr:cNvPicPr>
      </xdr:nvPicPr>
      <xdr:blipFill>
        <a:blip xmlns:r="http://schemas.openxmlformats.org/officeDocument/2006/relationships" r:embed="rId144">
          <a:extLst>
            <a:ext uri="{28A0092B-C50C-407E-A947-70E740481C1C}">
              <a14:useLocalDpi xmlns:a14="http://schemas.microsoft.com/office/drawing/2010/main" val="0"/>
            </a:ext>
          </a:extLst>
        </a:blip>
        <a:srcRect/>
        <a:stretch>
          <a:fillRect/>
        </a:stretch>
      </xdr:blipFill>
      <xdr:spPr bwMode="auto">
        <a:xfrm>
          <a:off x="2603499" y="7010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39</xdr:row>
      <xdr:rowOff>12700</xdr:rowOff>
    </xdr:from>
    <xdr:to>
      <xdr:col>4</xdr:col>
      <xdr:colOff>2603499</xdr:colOff>
      <xdr:row>39</xdr:row>
      <xdr:rowOff>1409700</xdr:rowOff>
    </xdr:to>
    <xdr:pic>
      <xdr:nvPicPr>
        <xdr:cNvPr id="146" name="Picture 32">
          <a:extLst>
            <a:ext uri="{FF2B5EF4-FFF2-40B4-BE49-F238E27FC236}">
              <a16:creationId xmlns:a16="http://schemas.microsoft.com/office/drawing/2014/main" id="{11F3307A-41C6-4EEA-B78B-670A390BB27A}"/>
            </a:ext>
          </a:extLst>
        </xdr:cNvPr>
        <xdr:cNvPicPr>
          <a:picLocks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2603499" y="7194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41</xdr:row>
      <xdr:rowOff>12700</xdr:rowOff>
    </xdr:from>
    <xdr:to>
      <xdr:col>4</xdr:col>
      <xdr:colOff>2603499</xdr:colOff>
      <xdr:row>41</xdr:row>
      <xdr:rowOff>1409700</xdr:rowOff>
    </xdr:to>
    <xdr:pic>
      <xdr:nvPicPr>
        <xdr:cNvPr id="147" name="Picture 33">
          <a:extLst>
            <a:ext uri="{FF2B5EF4-FFF2-40B4-BE49-F238E27FC236}">
              <a16:creationId xmlns:a16="http://schemas.microsoft.com/office/drawing/2014/main" id="{4E5A777F-9D4A-4080-9081-CBA3EDA15ABA}"/>
            </a:ext>
          </a:extLst>
        </xdr:cNvPr>
        <xdr:cNvPicPr>
          <a:picLocks noChangeArrowheads="1"/>
        </xdr:cNvPicPr>
      </xdr:nvPicPr>
      <xdr:blipFill>
        <a:blip xmlns:r="http://schemas.openxmlformats.org/officeDocument/2006/relationships" r:embed="rId146">
          <a:extLst>
            <a:ext uri="{28A0092B-C50C-407E-A947-70E740481C1C}">
              <a14:useLocalDpi xmlns:a14="http://schemas.microsoft.com/office/drawing/2010/main" val="0"/>
            </a:ext>
          </a:extLst>
        </a:blip>
        <a:srcRect/>
        <a:stretch>
          <a:fillRect/>
        </a:stretch>
      </xdr:blipFill>
      <xdr:spPr bwMode="auto">
        <a:xfrm>
          <a:off x="2603499" y="7562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42</xdr:row>
      <xdr:rowOff>12700</xdr:rowOff>
    </xdr:from>
    <xdr:to>
      <xdr:col>4</xdr:col>
      <xdr:colOff>2603499</xdr:colOff>
      <xdr:row>42</xdr:row>
      <xdr:rowOff>1409700</xdr:rowOff>
    </xdr:to>
    <xdr:pic>
      <xdr:nvPicPr>
        <xdr:cNvPr id="148" name="Picture 34">
          <a:extLst>
            <a:ext uri="{FF2B5EF4-FFF2-40B4-BE49-F238E27FC236}">
              <a16:creationId xmlns:a16="http://schemas.microsoft.com/office/drawing/2014/main" id="{82C3CC31-61CA-4AA3-A227-A9547ECB32F6}"/>
            </a:ext>
          </a:extLst>
        </xdr:cNvPr>
        <xdr:cNvPicPr>
          <a:picLocks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2603499" y="7747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43</xdr:row>
      <xdr:rowOff>12700</xdr:rowOff>
    </xdr:from>
    <xdr:to>
      <xdr:col>4</xdr:col>
      <xdr:colOff>2603499</xdr:colOff>
      <xdr:row>43</xdr:row>
      <xdr:rowOff>1409700</xdr:rowOff>
    </xdr:to>
    <xdr:pic>
      <xdr:nvPicPr>
        <xdr:cNvPr id="149" name="Picture 35">
          <a:extLst>
            <a:ext uri="{FF2B5EF4-FFF2-40B4-BE49-F238E27FC236}">
              <a16:creationId xmlns:a16="http://schemas.microsoft.com/office/drawing/2014/main" id="{4DB77B7D-DDF7-4530-A5CC-10D2FD838F50}"/>
            </a:ext>
          </a:extLst>
        </xdr:cNvPr>
        <xdr:cNvPicPr>
          <a:picLocks noChangeArrowheads="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2603499" y="7931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44</xdr:row>
      <xdr:rowOff>12700</xdr:rowOff>
    </xdr:from>
    <xdr:to>
      <xdr:col>4</xdr:col>
      <xdr:colOff>2603499</xdr:colOff>
      <xdr:row>44</xdr:row>
      <xdr:rowOff>1409700</xdr:rowOff>
    </xdr:to>
    <xdr:pic>
      <xdr:nvPicPr>
        <xdr:cNvPr id="150" name="Picture 36">
          <a:extLst>
            <a:ext uri="{FF2B5EF4-FFF2-40B4-BE49-F238E27FC236}">
              <a16:creationId xmlns:a16="http://schemas.microsoft.com/office/drawing/2014/main" id="{2D1DF124-B17E-4680-BF0A-7AD67A20342E}"/>
            </a:ext>
          </a:extLst>
        </xdr:cNvPr>
        <xdr:cNvPicPr>
          <a:picLocks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2603499" y="8115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45</xdr:row>
      <xdr:rowOff>12700</xdr:rowOff>
    </xdr:from>
    <xdr:to>
      <xdr:col>4</xdr:col>
      <xdr:colOff>2603499</xdr:colOff>
      <xdr:row>45</xdr:row>
      <xdr:rowOff>1409700</xdr:rowOff>
    </xdr:to>
    <xdr:pic>
      <xdr:nvPicPr>
        <xdr:cNvPr id="151" name="Picture 37">
          <a:extLst>
            <a:ext uri="{FF2B5EF4-FFF2-40B4-BE49-F238E27FC236}">
              <a16:creationId xmlns:a16="http://schemas.microsoft.com/office/drawing/2014/main" id="{B992FF1D-CE3B-4857-904D-22CFD27709BD}"/>
            </a:ext>
          </a:extLst>
        </xdr:cNvPr>
        <xdr:cNvPicPr>
          <a:picLocks noChangeArrowheads="1"/>
        </xdr:cNvPicPr>
      </xdr:nvPicPr>
      <xdr:blipFill>
        <a:blip xmlns:r="http://schemas.openxmlformats.org/officeDocument/2006/relationships" r:embed="rId150">
          <a:extLst>
            <a:ext uri="{28A0092B-C50C-407E-A947-70E740481C1C}">
              <a14:useLocalDpi xmlns:a14="http://schemas.microsoft.com/office/drawing/2010/main" val="0"/>
            </a:ext>
          </a:extLst>
        </a:blip>
        <a:srcRect/>
        <a:stretch>
          <a:fillRect/>
        </a:stretch>
      </xdr:blipFill>
      <xdr:spPr bwMode="auto">
        <a:xfrm>
          <a:off x="2603499" y="8299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46</xdr:row>
      <xdr:rowOff>12700</xdr:rowOff>
    </xdr:from>
    <xdr:to>
      <xdr:col>4</xdr:col>
      <xdr:colOff>2603499</xdr:colOff>
      <xdr:row>46</xdr:row>
      <xdr:rowOff>1409700</xdr:rowOff>
    </xdr:to>
    <xdr:pic>
      <xdr:nvPicPr>
        <xdr:cNvPr id="152" name="Picture 38">
          <a:extLst>
            <a:ext uri="{FF2B5EF4-FFF2-40B4-BE49-F238E27FC236}">
              <a16:creationId xmlns:a16="http://schemas.microsoft.com/office/drawing/2014/main" id="{2E859442-AD24-4A32-85CE-E972ED3C0902}"/>
            </a:ext>
          </a:extLst>
        </xdr:cNvPr>
        <xdr:cNvPicPr>
          <a:picLocks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2603499" y="8483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47</xdr:row>
      <xdr:rowOff>12700</xdr:rowOff>
    </xdr:from>
    <xdr:to>
      <xdr:col>4</xdr:col>
      <xdr:colOff>2603499</xdr:colOff>
      <xdr:row>47</xdr:row>
      <xdr:rowOff>1409700</xdr:rowOff>
    </xdr:to>
    <xdr:pic>
      <xdr:nvPicPr>
        <xdr:cNvPr id="153" name="Picture 39">
          <a:extLst>
            <a:ext uri="{FF2B5EF4-FFF2-40B4-BE49-F238E27FC236}">
              <a16:creationId xmlns:a16="http://schemas.microsoft.com/office/drawing/2014/main" id="{B59EA442-7DA6-4CB8-9F48-345CC221A514}"/>
            </a:ext>
          </a:extLst>
        </xdr:cNvPr>
        <xdr:cNvPicPr>
          <a:picLocks noChangeArrowheads="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a:fillRect/>
        </a:stretch>
      </xdr:blipFill>
      <xdr:spPr bwMode="auto">
        <a:xfrm>
          <a:off x="2603499" y="8667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48</xdr:row>
      <xdr:rowOff>12700</xdr:rowOff>
    </xdr:from>
    <xdr:to>
      <xdr:col>4</xdr:col>
      <xdr:colOff>2603499</xdr:colOff>
      <xdr:row>48</xdr:row>
      <xdr:rowOff>1409700</xdr:rowOff>
    </xdr:to>
    <xdr:pic>
      <xdr:nvPicPr>
        <xdr:cNvPr id="154" name="Picture 40">
          <a:extLst>
            <a:ext uri="{FF2B5EF4-FFF2-40B4-BE49-F238E27FC236}">
              <a16:creationId xmlns:a16="http://schemas.microsoft.com/office/drawing/2014/main" id="{E81A47D1-9AF9-4092-A845-6FB982C582C4}"/>
            </a:ext>
          </a:extLst>
        </xdr:cNvPr>
        <xdr:cNvPicPr>
          <a:picLocks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2603499" y="8851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49</xdr:row>
      <xdr:rowOff>12700</xdr:rowOff>
    </xdr:from>
    <xdr:to>
      <xdr:col>4</xdr:col>
      <xdr:colOff>2603499</xdr:colOff>
      <xdr:row>49</xdr:row>
      <xdr:rowOff>1409700</xdr:rowOff>
    </xdr:to>
    <xdr:pic>
      <xdr:nvPicPr>
        <xdr:cNvPr id="155" name="Picture 41">
          <a:extLst>
            <a:ext uri="{FF2B5EF4-FFF2-40B4-BE49-F238E27FC236}">
              <a16:creationId xmlns:a16="http://schemas.microsoft.com/office/drawing/2014/main" id="{2E2157CD-98F6-4992-AFFC-D0B6F0AD2DEA}"/>
            </a:ext>
          </a:extLst>
        </xdr:cNvPr>
        <xdr:cNvPicPr>
          <a:picLocks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2603499" y="9036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50</xdr:row>
      <xdr:rowOff>12700</xdr:rowOff>
    </xdr:from>
    <xdr:to>
      <xdr:col>4</xdr:col>
      <xdr:colOff>2603499</xdr:colOff>
      <xdr:row>50</xdr:row>
      <xdr:rowOff>1409700</xdr:rowOff>
    </xdr:to>
    <xdr:pic>
      <xdr:nvPicPr>
        <xdr:cNvPr id="156" name="Picture 42">
          <a:extLst>
            <a:ext uri="{FF2B5EF4-FFF2-40B4-BE49-F238E27FC236}">
              <a16:creationId xmlns:a16="http://schemas.microsoft.com/office/drawing/2014/main" id="{C0E81C16-F68C-4859-8179-3DD5CCC1EC13}"/>
            </a:ext>
          </a:extLst>
        </xdr:cNvPr>
        <xdr:cNvPicPr>
          <a:picLocks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2603499" y="9220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52</xdr:row>
      <xdr:rowOff>12700</xdr:rowOff>
    </xdr:from>
    <xdr:to>
      <xdr:col>4</xdr:col>
      <xdr:colOff>2603499</xdr:colOff>
      <xdr:row>52</xdr:row>
      <xdr:rowOff>1409700</xdr:rowOff>
    </xdr:to>
    <xdr:pic>
      <xdr:nvPicPr>
        <xdr:cNvPr id="157" name="Picture 43">
          <a:extLst>
            <a:ext uri="{FF2B5EF4-FFF2-40B4-BE49-F238E27FC236}">
              <a16:creationId xmlns:a16="http://schemas.microsoft.com/office/drawing/2014/main" id="{FF30FE9F-B822-4052-91F9-34E13B38B950}"/>
            </a:ext>
          </a:extLst>
        </xdr:cNvPr>
        <xdr:cNvPicPr>
          <a:picLocks noChangeArrowheads="1"/>
        </xdr:cNvPicPr>
      </xdr:nvPicPr>
      <xdr:blipFill>
        <a:blip xmlns:r="http://schemas.openxmlformats.org/officeDocument/2006/relationships" r:embed="rId156">
          <a:extLst>
            <a:ext uri="{28A0092B-C50C-407E-A947-70E740481C1C}">
              <a14:useLocalDpi xmlns:a14="http://schemas.microsoft.com/office/drawing/2010/main" val="0"/>
            </a:ext>
          </a:extLst>
        </a:blip>
        <a:srcRect/>
        <a:stretch>
          <a:fillRect/>
        </a:stretch>
      </xdr:blipFill>
      <xdr:spPr bwMode="auto">
        <a:xfrm>
          <a:off x="2603499" y="9588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53</xdr:row>
      <xdr:rowOff>12700</xdr:rowOff>
    </xdr:from>
    <xdr:to>
      <xdr:col>4</xdr:col>
      <xdr:colOff>2603499</xdr:colOff>
      <xdr:row>53</xdr:row>
      <xdr:rowOff>1409700</xdr:rowOff>
    </xdr:to>
    <xdr:pic>
      <xdr:nvPicPr>
        <xdr:cNvPr id="158" name="Picture 44">
          <a:extLst>
            <a:ext uri="{FF2B5EF4-FFF2-40B4-BE49-F238E27FC236}">
              <a16:creationId xmlns:a16="http://schemas.microsoft.com/office/drawing/2014/main" id="{5A79248C-F93F-4768-8529-20FB0F8E3896}"/>
            </a:ext>
          </a:extLst>
        </xdr:cNvPr>
        <xdr:cNvPicPr>
          <a:picLocks noChangeArrowheads="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2603499" y="9772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54</xdr:row>
      <xdr:rowOff>12700</xdr:rowOff>
    </xdr:from>
    <xdr:to>
      <xdr:col>4</xdr:col>
      <xdr:colOff>2603499</xdr:colOff>
      <xdr:row>54</xdr:row>
      <xdr:rowOff>1409700</xdr:rowOff>
    </xdr:to>
    <xdr:pic>
      <xdr:nvPicPr>
        <xdr:cNvPr id="159" name="Picture 45">
          <a:extLst>
            <a:ext uri="{FF2B5EF4-FFF2-40B4-BE49-F238E27FC236}">
              <a16:creationId xmlns:a16="http://schemas.microsoft.com/office/drawing/2014/main" id="{DF722CBD-2A0A-49C0-9D6D-AB93DE97D49F}"/>
            </a:ext>
          </a:extLst>
        </xdr:cNvPr>
        <xdr:cNvPicPr>
          <a:picLocks noChangeArrowheads="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a:fillRect/>
        </a:stretch>
      </xdr:blipFill>
      <xdr:spPr bwMode="auto">
        <a:xfrm>
          <a:off x="2603499" y="9956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55</xdr:row>
      <xdr:rowOff>12700</xdr:rowOff>
    </xdr:from>
    <xdr:to>
      <xdr:col>4</xdr:col>
      <xdr:colOff>2603499</xdr:colOff>
      <xdr:row>55</xdr:row>
      <xdr:rowOff>1409700</xdr:rowOff>
    </xdr:to>
    <xdr:pic>
      <xdr:nvPicPr>
        <xdr:cNvPr id="160" name="Picture 46">
          <a:extLst>
            <a:ext uri="{FF2B5EF4-FFF2-40B4-BE49-F238E27FC236}">
              <a16:creationId xmlns:a16="http://schemas.microsoft.com/office/drawing/2014/main" id="{FCC7A691-BAB7-4268-A564-B59E52E854FD}"/>
            </a:ext>
          </a:extLst>
        </xdr:cNvPr>
        <xdr:cNvPicPr>
          <a:picLocks noChangeArrowheads="1"/>
        </xdr:cNvPicPr>
      </xdr:nvPicPr>
      <xdr:blipFill>
        <a:blip xmlns:r="http://schemas.openxmlformats.org/officeDocument/2006/relationships" r:embed="rId159">
          <a:extLst>
            <a:ext uri="{28A0092B-C50C-407E-A947-70E740481C1C}">
              <a14:useLocalDpi xmlns:a14="http://schemas.microsoft.com/office/drawing/2010/main" val="0"/>
            </a:ext>
          </a:extLst>
        </a:blip>
        <a:srcRect/>
        <a:stretch>
          <a:fillRect/>
        </a:stretch>
      </xdr:blipFill>
      <xdr:spPr bwMode="auto">
        <a:xfrm>
          <a:off x="2603499" y="10140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56</xdr:row>
      <xdr:rowOff>12700</xdr:rowOff>
    </xdr:from>
    <xdr:to>
      <xdr:col>4</xdr:col>
      <xdr:colOff>2603499</xdr:colOff>
      <xdr:row>56</xdr:row>
      <xdr:rowOff>1409700</xdr:rowOff>
    </xdr:to>
    <xdr:pic>
      <xdr:nvPicPr>
        <xdr:cNvPr id="161" name="Picture 47">
          <a:extLst>
            <a:ext uri="{FF2B5EF4-FFF2-40B4-BE49-F238E27FC236}">
              <a16:creationId xmlns:a16="http://schemas.microsoft.com/office/drawing/2014/main" id="{44BD571A-FD4D-49DA-A9EB-A99524CFA496}"/>
            </a:ext>
          </a:extLst>
        </xdr:cNvPr>
        <xdr:cNvPicPr>
          <a:picLocks noChangeArrowheads="1"/>
        </xdr:cNvPicPr>
      </xdr:nvPicPr>
      <xdr:blipFill>
        <a:blip xmlns:r="http://schemas.openxmlformats.org/officeDocument/2006/relationships" r:embed="rId160">
          <a:extLst>
            <a:ext uri="{28A0092B-C50C-407E-A947-70E740481C1C}">
              <a14:useLocalDpi xmlns:a14="http://schemas.microsoft.com/office/drawing/2010/main" val="0"/>
            </a:ext>
          </a:extLst>
        </a:blip>
        <a:srcRect/>
        <a:stretch>
          <a:fillRect/>
        </a:stretch>
      </xdr:blipFill>
      <xdr:spPr bwMode="auto">
        <a:xfrm>
          <a:off x="2603499" y="10325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57</xdr:row>
      <xdr:rowOff>12700</xdr:rowOff>
    </xdr:from>
    <xdr:to>
      <xdr:col>4</xdr:col>
      <xdr:colOff>2603499</xdr:colOff>
      <xdr:row>57</xdr:row>
      <xdr:rowOff>1409700</xdr:rowOff>
    </xdr:to>
    <xdr:pic>
      <xdr:nvPicPr>
        <xdr:cNvPr id="162" name="Picture 48">
          <a:extLst>
            <a:ext uri="{FF2B5EF4-FFF2-40B4-BE49-F238E27FC236}">
              <a16:creationId xmlns:a16="http://schemas.microsoft.com/office/drawing/2014/main" id="{0DC9B040-16A5-4713-8766-C07C872DA998}"/>
            </a:ext>
          </a:extLst>
        </xdr:cNvPr>
        <xdr:cNvPicPr>
          <a:picLocks noChangeArrowheads="1"/>
        </xdr:cNvPicPr>
      </xdr:nvPicPr>
      <xdr:blipFill>
        <a:blip xmlns:r="http://schemas.openxmlformats.org/officeDocument/2006/relationships" r:embed="rId161">
          <a:extLst>
            <a:ext uri="{28A0092B-C50C-407E-A947-70E740481C1C}">
              <a14:useLocalDpi xmlns:a14="http://schemas.microsoft.com/office/drawing/2010/main" val="0"/>
            </a:ext>
          </a:extLst>
        </a:blip>
        <a:srcRect/>
        <a:stretch>
          <a:fillRect/>
        </a:stretch>
      </xdr:blipFill>
      <xdr:spPr bwMode="auto">
        <a:xfrm>
          <a:off x="2603499" y="10509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58</xdr:row>
      <xdr:rowOff>12700</xdr:rowOff>
    </xdr:from>
    <xdr:to>
      <xdr:col>4</xdr:col>
      <xdr:colOff>2603499</xdr:colOff>
      <xdr:row>58</xdr:row>
      <xdr:rowOff>1409700</xdr:rowOff>
    </xdr:to>
    <xdr:pic>
      <xdr:nvPicPr>
        <xdr:cNvPr id="163" name="Picture 49">
          <a:extLst>
            <a:ext uri="{FF2B5EF4-FFF2-40B4-BE49-F238E27FC236}">
              <a16:creationId xmlns:a16="http://schemas.microsoft.com/office/drawing/2014/main" id="{1690BEF2-BB7C-404D-9288-411E4A6257C2}"/>
            </a:ext>
          </a:extLst>
        </xdr:cNvPr>
        <xdr:cNvPicPr>
          <a:picLocks noChangeArrowheads="1"/>
        </xdr:cNvPicPr>
      </xdr:nvPicPr>
      <xdr:blipFill>
        <a:blip xmlns:r="http://schemas.openxmlformats.org/officeDocument/2006/relationships" r:embed="rId162">
          <a:extLst>
            <a:ext uri="{28A0092B-C50C-407E-A947-70E740481C1C}">
              <a14:useLocalDpi xmlns:a14="http://schemas.microsoft.com/office/drawing/2010/main" val="0"/>
            </a:ext>
          </a:extLst>
        </a:blip>
        <a:srcRect/>
        <a:stretch>
          <a:fillRect/>
        </a:stretch>
      </xdr:blipFill>
      <xdr:spPr bwMode="auto">
        <a:xfrm>
          <a:off x="2603499" y="10693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59</xdr:row>
      <xdr:rowOff>12700</xdr:rowOff>
    </xdr:from>
    <xdr:to>
      <xdr:col>4</xdr:col>
      <xdr:colOff>2603499</xdr:colOff>
      <xdr:row>59</xdr:row>
      <xdr:rowOff>1409700</xdr:rowOff>
    </xdr:to>
    <xdr:pic>
      <xdr:nvPicPr>
        <xdr:cNvPr id="164" name="Picture 50">
          <a:extLst>
            <a:ext uri="{FF2B5EF4-FFF2-40B4-BE49-F238E27FC236}">
              <a16:creationId xmlns:a16="http://schemas.microsoft.com/office/drawing/2014/main" id="{2C0897FB-0D41-4C61-9F31-B8FC5CE0FEFA}"/>
            </a:ext>
          </a:extLst>
        </xdr:cNvPr>
        <xdr:cNvPicPr>
          <a:picLocks noChangeArrowheads="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2603499" y="10877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60</xdr:row>
      <xdr:rowOff>12700</xdr:rowOff>
    </xdr:from>
    <xdr:to>
      <xdr:col>4</xdr:col>
      <xdr:colOff>2603499</xdr:colOff>
      <xdr:row>60</xdr:row>
      <xdr:rowOff>1409700</xdr:rowOff>
    </xdr:to>
    <xdr:pic>
      <xdr:nvPicPr>
        <xdr:cNvPr id="165" name="Picture 51">
          <a:extLst>
            <a:ext uri="{FF2B5EF4-FFF2-40B4-BE49-F238E27FC236}">
              <a16:creationId xmlns:a16="http://schemas.microsoft.com/office/drawing/2014/main" id="{3C662571-FFB7-4272-A97E-7A6659D517B7}"/>
            </a:ext>
          </a:extLst>
        </xdr:cNvPr>
        <xdr:cNvPicPr>
          <a:picLocks noChangeArrowheads="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2603499" y="11061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61</xdr:row>
      <xdr:rowOff>12700</xdr:rowOff>
    </xdr:from>
    <xdr:to>
      <xdr:col>4</xdr:col>
      <xdr:colOff>2603499</xdr:colOff>
      <xdr:row>61</xdr:row>
      <xdr:rowOff>1409700</xdr:rowOff>
    </xdr:to>
    <xdr:pic>
      <xdr:nvPicPr>
        <xdr:cNvPr id="166" name="Picture 52">
          <a:extLst>
            <a:ext uri="{FF2B5EF4-FFF2-40B4-BE49-F238E27FC236}">
              <a16:creationId xmlns:a16="http://schemas.microsoft.com/office/drawing/2014/main" id="{39C4E28A-2D8F-4C26-9098-55F759B3F133}"/>
            </a:ext>
          </a:extLst>
        </xdr:cNvPr>
        <xdr:cNvPicPr>
          <a:picLocks noChangeArrowheads="1"/>
        </xdr:cNvPicPr>
      </xdr:nvPicPr>
      <xdr:blipFill>
        <a:blip xmlns:r="http://schemas.openxmlformats.org/officeDocument/2006/relationships" r:embed="rId165">
          <a:extLst>
            <a:ext uri="{28A0092B-C50C-407E-A947-70E740481C1C}">
              <a14:useLocalDpi xmlns:a14="http://schemas.microsoft.com/office/drawing/2010/main" val="0"/>
            </a:ext>
          </a:extLst>
        </a:blip>
        <a:srcRect/>
        <a:stretch>
          <a:fillRect/>
        </a:stretch>
      </xdr:blipFill>
      <xdr:spPr bwMode="auto">
        <a:xfrm>
          <a:off x="2603499" y="11245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63</xdr:row>
      <xdr:rowOff>12700</xdr:rowOff>
    </xdr:from>
    <xdr:to>
      <xdr:col>4</xdr:col>
      <xdr:colOff>2603499</xdr:colOff>
      <xdr:row>63</xdr:row>
      <xdr:rowOff>1409700</xdr:rowOff>
    </xdr:to>
    <xdr:pic>
      <xdr:nvPicPr>
        <xdr:cNvPr id="167" name="Picture 53">
          <a:extLst>
            <a:ext uri="{FF2B5EF4-FFF2-40B4-BE49-F238E27FC236}">
              <a16:creationId xmlns:a16="http://schemas.microsoft.com/office/drawing/2014/main" id="{EFB71303-F433-494B-8F2D-6F0B25F09FDD}"/>
            </a:ext>
          </a:extLst>
        </xdr:cNvPr>
        <xdr:cNvPicPr>
          <a:picLocks noChangeArrowheads="1"/>
        </xdr:cNvPicPr>
      </xdr:nvPicPr>
      <xdr:blipFill>
        <a:blip xmlns:r="http://schemas.openxmlformats.org/officeDocument/2006/relationships" r:embed="rId166">
          <a:extLst>
            <a:ext uri="{28A0092B-C50C-407E-A947-70E740481C1C}">
              <a14:useLocalDpi xmlns:a14="http://schemas.microsoft.com/office/drawing/2010/main" val="0"/>
            </a:ext>
          </a:extLst>
        </a:blip>
        <a:srcRect/>
        <a:stretch>
          <a:fillRect/>
        </a:stretch>
      </xdr:blipFill>
      <xdr:spPr bwMode="auto">
        <a:xfrm>
          <a:off x="2603499" y="11614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64</xdr:row>
      <xdr:rowOff>12700</xdr:rowOff>
    </xdr:from>
    <xdr:to>
      <xdr:col>4</xdr:col>
      <xdr:colOff>2603499</xdr:colOff>
      <xdr:row>64</xdr:row>
      <xdr:rowOff>1409700</xdr:rowOff>
    </xdr:to>
    <xdr:pic>
      <xdr:nvPicPr>
        <xdr:cNvPr id="168" name="Picture 54">
          <a:extLst>
            <a:ext uri="{FF2B5EF4-FFF2-40B4-BE49-F238E27FC236}">
              <a16:creationId xmlns:a16="http://schemas.microsoft.com/office/drawing/2014/main" id="{6C41F30C-73B0-4A3A-A700-14D5CCB177E4}"/>
            </a:ext>
          </a:extLst>
        </xdr:cNvPr>
        <xdr:cNvPicPr>
          <a:picLocks noChangeArrowheads="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2603499" y="11798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65</xdr:row>
      <xdr:rowOff>12700</xdr:rowOff>
    </xdr:from>
    <xdr:to>
      <xdr:col>4</xdr:col>
      <xdr:colOff>2603499</xdr:colOff>
      <xdr:row>65</xdr:row>
      <xdr:rowOff>1409700</xdr:rowOff>
    </xdr:to>
    <xdr:pic>
      <xdr:nvPicPr>
        <xdr:cNvPr id="169" name="Picture 55">
          <a:extLst>
            <a:ext uri="{FF2B5EF4-FFF2-40B4-BE49-F238E27FC236}">
              <a16:creationId xmlns:a16="http://schemas.microsoft.com/office/drawing/2014/main" id="{16466F82-47E1-4002-8D84-8AB0C68C8741}"/>
            </a:ext>
          </a:extLst>
        </xdr:cNvPr>
        <xdr:cNvPicPr>
          <a:picLocks noChangeArrowheads="1"/>
        </xdr:cNvPicPr>
      </xdr:nvPicPr>
      <xdr:blipFill>
        <a:blip xmlns:r="http://schemas.openxmlformats.org/officeDocument/2006/relationships" r:embed="rId168">
          <a:extLst>
            <a:ext uri="{28A0092B-C50C-407E-A947-70E740481C1C}">
              <a14:useLocalDpi xmlns:a14="http://schemas.microsoft.com/office/drawing/2010/main" val="0"/>
            </a:ext>
          </a:extLst>
        </a:blip>
        <a:srcRect/>
        <a:stretch>
          <a:fillRect/>
        </a:stretch>
      </xdr:blipFill>
      <xdr:spPr bwMode="auto">
        <a:xfrm>
          <a:off x="2603499" y="11982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66</xdr:row>
      <xdr:rowOff>12700</xdr:rowOff>
    </xdr:from>
    <xdr:to>
      <xdr:col>4</xdr:col>
      <xdr:colOff>2603499</xdr:colOff>
      <xdr:row>66</xdr:row>
      <xdr:rowOff>1409700</xdr:rowOff>
    </xdr:to>
    <xdr:pic>
      <xdr:nvPicPr>
        <xdr:cNvPr id="170" name="Picture 56">
          <a:extLst>
            <a:ext uri="{FF2B5EF4-FFF2-40B4-BE49-F238E27FC236}">
              <a16:creationId xmlns:a16="http://schemas.microsoft.com/office/drawing/2014/main" id="{F0E1FC86-04EA-4728-BB3A-86C19828431A}"/>
            </a:ext>
          </a:extLst>
        </xdr:cNvPr>
        <xdr:cNvPicPr>
          <a:picLocks noChangeArrowheads="1"/>
        </xdr:cNvPicPr>
      </xdr:nvPicPr>
      <xdr:blipFill>
        <a:blip xmlns:r="http://schemas.openxmlformats.org/officeDocument/2006/relationships" r:embed="rId169">
          <a:extLst>
            <a:ext uri="{28A0092B-C50C-407E-A947-70E740481C1C}">
              <a14:useLocalDpi xmlns:a14="http://schemas.microsoft.com/office/drawing/2010/main" val="0"/>
            </a:ext>
          </a:extLst>
        </a:blip>
        <a:srcRect/>
        <a:stretch>
          <a:fillRect/>
        </a:stretch>
      </xdr:blipFill>
      <xdr:spPr bwMode="auto">
        <a:xfrm>
          <a:off x="2603499" y="12166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67</xdr:row>
      <xdr:rowOff>12700</xdr:rowOff>
    </xdr:from>
    <xdr:to>
      <xdr:col>4</xdr:col>
      <xdr:colOff>2603499</xdr:colOff>
      <xdr:row>67</xdr:row>
      <xdr:rowOff>1409700</xdr:rowOff>
    </xdr:to>
    <xdr:pic>
      <xdr:nvPicPr>
        <xdr:cNvPr id="171" name="Picture 57">
          <a:extLst>
            <a:ext uri="{FF2B5EF4-FFF2-40B4-BE49-F238E27FC236}">
              <a16:creationId xmlns:a16="http://schemas.microsoft.com/office/drawing/2014/main" id="{7164C68D-7914-4E93-BE5D-4D4DB40F98EF}"/>
            </a:ext>
          </a:extLst>
        </xdr:cNvPr>
        <xdr:cNvPicPr>
          <a:picLocks noChangeArrowheads="1"/>
        </xdr:cNvPicPr>
      </xdr:nvPicPr>
      <xdr:blipFill>
        <a:blip xmlns:r="http://schemas.openxmlformats.org/officeDocument/2006/relationships" r:embed="rId170">
          <a:extLst>
            <a:ext uri="{28A0092B-C50C-407E-A947-70E740481C1C}">
              <a14:useLocalDpi xmlns:a14="http://schemas.microsoft.com/office/drawing/2010/main" val="0"/>
            </a:ext>
          </a:extLst>
        </a:blip>
        <a:srcRect/>
        <a:stretch>
          <a:fillRect/>
        </a:stretch>
      </xdr:blipFill>
      <xdr:spPr bwMode="auto">
        <a:xfrm>
          <a:off x="2603499" y="12350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68</xdr:row>
      <xdr:rowOff>12700</xdr:rowOff>
    </xdr:from>
    <xdr:to>
      <xdr:col>4</xdr:col>
      <xdr:colOff>2603499</xdr:colOff>
      <xdr:row>68</xdr:row>
      <xdr:rowOff>1409700</xdr:rowOff>
    </xdr:to>
    <xdr:pic>
      <xdr:nvPicPr>
        <xdr:cNvPr id="172" name="Picture 58">
          <a:extLst>
            <a:ext uri="{FF2B5EF4-FFF2-40B4-BE49-F238E27FC236}">
              <a16:creationId xmlns:a16="http://schemas.microsoft.com/office/drawing/2014/main" id="{3EAE1D20-3C25-4BA5-89EF-62463D039ECC}"/>
            </a:ext>
          </a:extLst>
        </xdr:cNvPr>
        <xdr:cNvPicPr>
          <a:picLocks noChangeArrowheads="1"/>
        </xdr:cNvPicPr>
      </xdr:nvPicPr>
      <xdr:blipFill>
        <a:blip xmlns:r="http://schemas.openxmlformats.org/officeDocument/2006/relationships" r:embed="rId171">
          <a:extLst>
            <a:ext uri="{28A0092B-C50C-407E-A947-70E740481C1C}">
              <a14:useLocalDpi xmlns:a14="http://schemas.microsoft.com/office/drawing/2010/main" val="0"/>
            </a:ext>
          </a:extLst>
        </a:blip>
        <a:srcRect/>
        <a:stretch>
          <a:fillRect/>
        </a:stretch>
      </xdr:blipFill>
      <xdr:spPr bwMode="auto">
        <a:xfrm>
          <a:off x="2603499" y="12534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69</xdr:row>
      <xdr:rowOff>12700</xdr:rowOff>
    </xdr:from>
    <xdr:to>
      <xdr:col>4</xdr:col>
      <xdr:colOff>2603499</xdr:colOff>
      <xdr:row>69</xdr:row>
      <xdr:rowOff>1409700</xdr:rowOff>
    </xdr:to>
    <xdr:pic>
      <xdr:nvPicPr>
        <xdr:cNvPr id="173" name="Picture 59">
          <a:extLst>
            <a:ext uri="{FF2B5EF4-FFF2-40B4-BE49-F238E27FC236}">
              <a16:creationId xmlns:a16="http://schemas.microsoft.com/office/drawing/2014/main" id="{9AA1D3E2-A8D6-418B-9726-E0FDB5B0255C}"/>
            </a:ext>
          </a:extLst>
        </xdr:cNvPr>
        <xdr:cNvPicPr>
          <a:picLocks noChangeArrowheads="1"/>
        </xdr:cNvPicPr>
      </xdr:nvPicPr>
      <xdr:blipFill>
        <a:blip xmlns:r="http://schemas.openxmlformats.org/officeDocument/2006/relationships" r:embed="rId172">
          <a:extLst>
            <a:ext uri="{28A0092B-C50C-407E-A947-70E740481C1C}">
              <a14:useLocalDpi xmlns:a14="http://schemas.microsoft.com/office/drawing/2010/main" val="0"/>
            </a:ext>
          </a:extLst>
        </a:blip>
        <a:srcRect/>
        <a:stretch>
          <a:fillRect/>
        </a:stretch>
      </xdr:blipFill>
      <xdr:spPr bwMode="auto">
        <a:xfrm>
          <a:off x="2603499" y="12719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70</xdr:row>
      <xdr:rowOff>12700</xdr:rowOff>
    </xdr:from>
    <xdr:to>
      <xdr:col>4</xdr:col>
      <xdr:colOff>2603499</xdr:colOff>
      <xdr:row>70</xdr:row>
      <xdr:rowOff>1409700</xdr:rowOff>
    </xdr:to>
    <xdr:pic>
      <xdr:nvPicPr>
        <xdr:cNvPr id="174" name="Picture 60">
          <a:extLst>
            <a:ext uri="{FF2B5EF4-FFF2-40B4-BE49-F238E27FC236}">
              <a16:creationId xmlns:a16="http://schemas.microsoft.com/office/drawing/2014/main" id="{B645A45F-6F58-4471-986C-EDBF44EEDE45}"/>
            </a:ext>
          </a:extLst>
        </xdr:cNvPr>
        <xdr:cNvPicPr>
          <a:picLocks noChangeArrowheads="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2603499" y="12903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71</xdr:row>
      <xdr:rowOff>12700</xdr:rowOff>
    </xdr:from>
    <xdr:to>
      <xdr:col>4</xdr:col>
      <xdr:colOff>2603499</xdr:colOff>
      <xdr:row>71</xdr:row>
      <xdr:rowOff>1409700</xdr:rowOff>
    </xdr:to>
    <xdr:pic>
      <xdr:nvPicPr>
        <xdr:cNvPr id="175" name="Picture 61">
          <a:extLst>
            <a:ext uri="{FF2B5EF4-FFF2-40B4-BE49-F238E27FC236}">
              <a16:creationId xmlns:a16="http://schemas.microsoft.com/office/drawing/2014/main" id="{EF054128-A56D-4115-A9A5-CEE138E372B1}"/>
            </a:ext>
          </a:extLst>
        </xdr:cNvPr>
        <xdr:cNvPicPr>
          <a:picLocks noChangeArrowheads="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2603499" y="13087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72</xdr:row>
      <xdr:rowOff>12700</xdr:rowOff>
    </xdr:from>
    <xdr:to>
      <xdr:col>4</xdr:col>
      <xdr:colOff>2603499</xdr:colOff>
      <xdr:row>72</xdr:row>
      <xdr:rowOff>1409700</xdr:rowOff>
    </xdr:to>
    <xdr:pic>
      <xdr:nvPicPr>
        <xdr:cNvPr id="176" name="Picture 62">
          <a:extLst>
            <a:ext uri="{FF2B5EF4-FFF2-40B4-BE49-F238E27FC236}">
              <a16:creationId xmlns:a16="http://schemas.microsoft.com/office/drawing/2014/main" id="{D8379868-5FD5-463A-A709-FDD18DC0189E}"/>
            </a:ext>
          </a:extLst>
        </xdr:cNvPr>
        <xdr:cNvPicPr>
          <a:picLocks noChangeArrowheads="1"/>
        </xdr:cNvPicPr>
      </xdr:nvPicPr>
      <xdr:blipFill>
        <a:blip xmlns:r="http://schemas.openxmlformats.org/officeDocument/2006/relationships" r:embed="rId175">
          <a:extLst>
            <a:ext uri="{28A0092B-C50C-407E-A947-70E740481C1C}">
              <a14:useLocalDpi xmlns:a14="http://schemas.microsoft.com/office/drawing/2010/main" val="0"/>
            </a:ext>
          </a:extLst>
        </a:blip>
        <a:srcRect/>
        <a:stretch>
          <a:fillRect/>
        </a:stretch>
      </xdr:blipFill>
      <xdr:spPr bwMode="auto">
        <a:xfrm>
          <a:off x="2603499" y="13271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74</xdr:row>
      <xdr:rowOff>12700</xdr:rowOff>
    </xdr:from>
    <xdr:to>
      <xdr:col>4</xdr:col>
      <xdr:colOff>2603499</xdr:colOff>
      <xdr:row>74</xdr:row>
      <xdr:rowOff>1409700</xdr:rowOff>
    </xdr:to>
    <xdr:pic>
      <xdr:nvPicPr>
        <xdr:cNvPr id="177" name="Picture 63">
          <a:extLst>
            <a:ext uri="{FF2B5EF4-FFF2-40B4-BE49-F238E27FC236}">
              <a16:creationId xmlns:a16="http://schemas.microsoft.com/office/drawing/2014/main" id="{14E34B4D-E5EB-42F8-9B81-33016C53AF0B}"/>
            </a:ext>
          </a:extLst>
        </xdr:cNvPr>
        <xdr:cNvPicPr>
          <a:picLocks noChangeArrowheads="1"/>
        </xdr:cNvPicPr>
      </xdr:nvPicPr>
      <xdr:blipFill>
        <a:blip xmlns:r="http://schemas.openxmlformats.org/officeDocument/2006/relationships" r:embed="rId176">
          <a:extLst>
            <a:ext uri="{28A0092B-C50C-407E-A947-70E740481C1C}">
              <a14:useLocalDpi xmlns:a14="http://schemas.microsoft.com/office/drawing/2010/main" val="0"/>
            </a:ext>
          </a:extLst>
        </a:blip>
        <a:srcRect/>
        <a:stretch>
          <a:fillRect/>
        </a:stretch>
      </xdr:blipFill>
      <xdr:spPr bwMode="auto">
        <a:xfrm>
          <a:off x="2603499" y="13639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75</xdr:row>
      <xdr:rowOff>12700</xdr:rowOff>
    </xdr:from>
    <xdr:to>
      <xdr:col>4</xdr:col>
      <xdr:colOff>2603499</xdr:colOff>
      <xdr:row>75</xdr:row>
      <xdr:rowOff>1409700</xdr:rowOff>
    </xdr:to>
    <xdr:pic>
      <xdr:nvPicPr>
        <xdr:cNvPr id="178" name="Picture 64">
          <a:extLst>
            <a:ext uri="{FF2B5EF4-FFF2-40B4-BE49-F238E27FC236}">
              <a16:creationId xmlns:a16="http://schemas.microsoft.com/office/drawing/2014/main" id="{F80199FE-5611-41F9-95FB-98C356E6CE1A}"/>
            </a:ext>
          </a:extLst>
        </xdr:cNvPr>
        <xdr:cNvPicPr>
          <a:picLocks noChangeArrowheads="1"/>
        </xdr:cNvPicPr>
      </xdr:nvPicPr>
      <xdr:blipFill>
        <a:blip xmlns:r="http://schemas.openxmlformats.org/officeDocument/2006/relationships" r:embed="rId177">
          <a:extLst>
            <a:ext uri="{28A0092B-C50C-407E-A947-70E740481C1C}">
              <a14:useLocalDpi xmlns:a14="http://schemas.microsoft.com/office/drawing/2010/main" val="0"/>
            </a:ext>
          </a:extLst>
        </a:blip>
        <a:srcRect/>
        <a:stretch>
          <a:fillRect/>
        </a:stretch>
      </xdr:blipFill>
      <xdr:spPr bwMode="auto">
        <a:xfrm>
          <a:off x="2603499" y="13823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76</xdr:row>
      <xdr:rowOff>12700</xdr:rowOff>
    </xdr:from>
    <xdr:to>
      <xdr:col>4</xdr:col>
      <xdr:colOff>2603499</xdr:colOff>
      <xdr:row>76</xdr:row>
      <xdr:rowOff>1409700</xdr:rowOff>
    </xdr:to>
    <xdr:pic>
      <xdr:nvPicPr>
        <xdr:cNvPr id="179" name="Picture 65">
          <a:extLst>
            <a:ext uri="{FF2B5EF4-FFF2-40B4-BE49-F238E27FC236}">
              <a16:creationId xmlns:a16="http://schemas.microsoft.com/office/drawing/2014/main" id="{280862C3-DF0A-478A-AFB1-119AD7C4B340}"/>
            </a:ext>
          </a:extLst>
        </xdr:cNvPr>
        <xdr:cNvPicPr>
          <a:picLocks noChangeArrowheads="1"/>
        </xdr:cNvPicPr>
      </xdr:nvPicPr>
      <xdr:blipFill>
        <a:blip xmlns:r="http://schemas.openxmlformats.org/officeDocument/2006/relationships" r:embed="rId178">
          <a:extLst>
            <a:ext uri="{28A0092B-C50C-407E-A947-70E740481C1C}">
              <a14:useLocalDpi xmlns:a14="http://schemas.microsoft.com/office/drawing/2010/main" val="0"/>
            </a:ext>
          </a:extLst>
        </a:blip>
        <a:srcRect/>
        <a:stretch>
          <a:fillRect/>
        </a:stretch>
      </xdr:blipFill>
      <xdr:spPr bwMode="auto">
        <a:xfrm>
          <a:off x="2603499" y="14008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77</xdr:row>
      <xdr:rowOff>12700</xdr:rowOff>
    </xdr:from>
    <xdr:to>
      <xdr:col>4</xdr:col>
      <xdr:colOff>2603499</xdr:colOff>
      <xdr:row>77</xdr:row>
      <xdr:rowOff>1409700</xdr:rowOff>
    </xdr:to>
    <xdr:pic>
      <xdr:nvPicPr>
        <xdr:cNvPr id="180" name="Picture 66">
          <a:extLst>
            <a:ext uri="{FF2B5EF4-FFF2-40B4-BE49-F238E27FC236}">
              <a16:creationId xmlns:a16="http://schemas.microsoft.com/office/drawing/2014/main" id="{28F03218-3078-4B42-85E0-4FC49A3AAFB6}"/>
            </a:ext>
          </a:extLst>
        </xdr:cNvPr>
        <xdr:cNvPicPr>
          <a:picLocks noChangeArrowheads="1"/>
        </xdr:cNvPicPr>
      </xdr:nvPicPr>
      <xdr:blipFill>
        <a:blip xmlns:r="http://schemas.openxmlformats.org/officeDocument/2006/relationships" r:embed="rId179">
          <a:extLst>
            <a:ext uri="{28A0092B-C50C-407E-A947-70E740481C1C}">
              <a14:useLocalDpi xmlns:a14="http://schemas.microsoft.com/office/drawing/2010/main" val="0"/>
            </a:ext>
          </a:extLst>
        </a:blip>
        <a:srcRect/>
        <a:stretch>
          <a:fillRect/>
        </a:stretch>
      </xdr:blipFill>
      <xdr:spPr bwMode="auto">
        <a:xfrm>
          <a:off x="2603499" y="14192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78</xdr:row>
      <xdr:rowOff>12700</xdr:rowOff>
    </xdr:from>
    <xdr:to>
      <xdr:col>4</xdr:col>
      <xdr:colOff>2603499</xdr:colOff>
      <xdr:row>78</xdr:row>
      <xdr:rowOff>1409700</xdr:rowOff>
    </xdr:to>
    <xdr:pic>
      <xdr:nvPicPr>
        <xdr:cNvPr id="181" name="Picture 67">
          <a:extLst>
            <a:ext uri="{FF2B5EF4-FFF2-40B4-BE49-F238E27FC236}">
              <a16:creationId xmlns:a16="http://schemas.microsoft.com/office/drawing/2014/main" id="{C7E2CADC-7FAB-4D87-A2A7-A6C50B6CEA03}"/>
            </a:ext>
          </a:extLst>
        </xdr:cNvPr>
        <xdr:cNvPicPr>
          <a:picLocks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2603499" y="14376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79</xdr:row>
      <xdr:rowOff>12700</xdr:rowOff>
    </xdr:from>
    <xdr:to>
      <xdr:col>4</xdr:col>
      <xdr:colOff>2603499</xdr:colOff>
      <xdr:row>79</xdr:row>
      <xdr:rowOff>1409700</xdr:rowOff>
    </xdr:to>
    <xdr:pic>
      <xdr:nvPicPr>
        <xdr:cNvPr id="182" name="Picture 68">
          <a:extLst>
            <a:ext uri="{FF2B5EF4-FFF2-40B4-BE49-F238E27FC236}">
              <a16:creationId xmlns:a16="http://schemas.microsoft.com/office/drawing/2014/main" id="{29D06EB3-969B-44C5-AD37-240774300F5D}"/>
            </a:ext>
          </a:extLst>
        </xdr:cNvPr>
        <xdr:cNvPicPr>
          <a:picLocks noChangeArrowheads="1"/>
        </xdr:cNvPicPr>
      </xdr:nvPicPr>
      <xdr:blipFill>
        <a:blip xmlns:r="http://schemas.openxmlformats.org/officeDocument/2006/relationships" r:embed="rId181">
          <a:extLst>
            <a:ext uri="{28A0092B-C50C-407E-A947-70E740481C1C}">
              <a14:useLocalDpi xmlns:a14="http://schemas.microsoft.com/office/drawing/2010/main" val="0"/>
            </a:ext>
          </a:extLst>
        </a:blip>
        <a:srcRect/>
        <a:stretch>
          <a:fillRect/>
        </a:stretch>
      </xdr:blipFill>
      <xdr:spPr bwMode="auto">
        <a:xfrm>
          <a:off x="2603499" y="14560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80</xdr:row>
      <xdr:rowOff>12700</xdr:rowOff>
    </xdr:from>
    <xdr:to>
      <xdr:col>4</xdr:col>
      <xdr:colOff>2603499</xdr:colOff>
      <xdr:row>80</xdr:row>
      <xdr:rowOff>1409700</xdr:rowOff>
    </xdr:to>
    <xdr:pic>
      <xdr:nvPicPr>
        <xdr:cNvPr id="183" name="Picture 69">
          <a:extLst>
            <a:ext uri="{FF2B5EF4-FFF2-40B4-BE49-F238E27FC236}">
              <a16:creationId xmlns:a16="http://schemas.microsoft.com/office/drawing/2014/main" id="{27BD7280-0622-4005-BCEC-AFD12B677E52}"/>
            </a:ext>
          </a:extLst>
        </xdr:cNvPr>
        <xdr:cNvPicPr>
          <a:picLocks noChangeArrowheads="1"/>
        </xdr:cNvPicPr>
      </xdr:nvPicPr>
      <xdr:blipFill>
        <a:blip xmlns:r="http://schemas.openxmlformats.org/officeDocument/2006/relationships" r:embed="rId182">
          <a:extLst>
            <a:ext uri="{28A0092B-C50C-407E-A947-70E740481C1C}">
              <a14:useLocalDpi xmlns:a14="http://schemas.microsoft.com/office/drawing/2010/main" val="0"/>
            </a:ext>
          </a:extLst>
        </a:blip>
        <a:srcRect/>
        <a:stretch>
          <a:fillRect/>
        </a:stretch>
      </xdr:blipFill>
      <xdr:spPr bwMode="auto">
        <a:xfrm>
          <a:off x="2603499" y="14744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81</xdr:row>
      <xdr:rowOff>12700</xdr:rowOff>
    </xdr:from>
    <xdr:to>
      <xdr:col>4</xdr:col>
      <xdr:colOff>2603499</xdr:colOff>
      <xdr:row>81</xdr:row>
      <xdr:rowOff>1409700</xdr:rowOff>
    </xdr:to>
    <xdr:pic>
      <xdr:nvPicPr>
        <xdr:cNvPr id="184" name="Picture 70">
          <a:extLst>
            <a:ext uri="{FF2B5EF4-FFF2-40B4-BE49-F238E27FC236}">
              <a16:creationId xmlns:a16="http://schemas.microsoft.com/office/drawing/2014/main" id="{253B94A7-E9BB-4FBD-8D0F-EA4F3A692832}"/>
            </a:ext>
          </a:extLst>
        </xdr:cNvPr>
        <xdr:cNvPicPr>
          <a:picLocks noChangeArrowheads="1"/>
        </xdr:cNvPicPr>
      </xdr:nvPicPr>
      <xdr:blipFill>
        <a:blip xmlns:r="http://schemas.openxmlformats.org/officeDocument/2006/relationships" r:embed="rId183">
          <a:extLst>
            <a:ext uri="{28A0092B-C50C-407E-A947-70E740481C1C}">
              <a14:useLocalDpi xmlns:a14="http://schemas.microsoft.com/office/drawing/2010/main" val="0"/>
            </a:ext>
          </a:extLst>
        </a:blip>
        <a:srcRect/>
        <a:stretch>
          <a:fillRect/>
        </a:stretch>
      </xdr:blipFill>
      <xdr:spPr bwMode="auto">
        <a:xfrm>
          <a:off x="2603499" y="14928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82</xdr:row>
      <xdr:rowOff>12700</xdr:rowOff>
    </xdr:from>
    <xdr:to>
      <xdr:col>4</xdr:col>
      <xdr:colOff>2603499</xdr:colOff>
      <xdr:row>82</xdr:row>
      <xdr:rowOff>1409700</xdr:rowOff>
    </xdr:to>
    <xdr:pic>
      <xdr:nvPicPr>
        <xdr:cNvPr id="185" name="Picture 71">
          <a:extLst>
            <a:ext uri="{FF2B5EF4-FFF2-40B4-BE49-F238E27FC236}">
              <a16:creationId xmlns:a16="http://schemas.microsoft.com/office/drawing/2014/main" id="{C5FEBF4F-BA84-4D42-A0A0-5DDA43716B93}"/>
            </a:ext>
          </a:extLst>
        </xdr:cNvPr>
        <xdr:cNvPicPr>
          <a:picLocks noChangeArrowheads="1"/>
        </xdr:cNvPicPr>
      </xdr:nvPicPr>
      <xdr:blipFill>
        <a:blip xmlns:r="http://schemas.openxmlformats.org/officeDocument/2006/relationships" r:embed="rId184">
          <a:extLst>
            <a:ext uri="{28A0092B-C50C-407E-A947-70E740481C1C}">
              <a14:useLocalDpi xmlns:a14="http://schemas.microsoft.com/office/drawing/2010/main" val="0"/>
            </a:ext>
          </a:extLst>
        </a:blip>
        <a:srcRect/>
        <a:stretch>
          <a:fillRect/>
        </a:stretch>
      </xdr:blipFill>
      <xdr:spPr bwMode="auto">
        <a:xfrm>
          <a:off x="2603499" y="15113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83</xdr:row>
      <xdr:rowOff>12700</xdr:rowOff>
    </xdr:from>
    <xdr:to>
      <xdr:col>4</xdr:col>
      <xdr:colOff>2603499</xdr:colOff>
      <xdr:row>83</xdr:row>
      <xdr:rowOff>1409700</xdr:rowOff>
    </xdr:to>
    <xdr:pic>
      <xdr:nvPicPr>
        <xdr:cNvPr id="186" name="Picture 72">
          <a:extLst>
            <a:ext uri="{FF2B5EF4-FFF2-40B4-BE49-F238E27FC236}">
              <a16:creationId xmlns:a16="http://schemas.microsoft.com/office/drawing/2014/main" id="{85970AFF-5A11-4C89-830E-16A9547B67C2}"/>
            </a:ext>
          </a:extLst>
        </xdr:cNvPr>
        <xdr:cNvPicPr>
          <a:picLocks noChangeArrowheads="1"/>
        </xdr:cNvPicPr>
      </xdr:nvPicPr>
      <xdr:blipFill>
        <a:blip xmlns:r="http://schemas.openxmlformats.org/officeDocument/2006/relationships" r:embed="rId185">
          <a:extLst>
            <a:ext uri="{28A0092B-C50C-407E-A947-70E740481C1C}">
              <a14:useLocalDpi xmlns:a14="http://schemas.microsoft.com/office/drawing/2010/main" val="0"/>
            </a:ext>
          </a:extLst>
        </a:blip>
        <a:srcRect/>
        <a:stretch>
          <a:fillRect/>
        </a:stretch>
      </xdr:blipFill>
      <xdr:spPr bwMode="auto">
        <a:xfrm>
          <a:off x="2603499" y="15297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85</xdr:row>
      <xdr:rowOff>12700</xdr:rowOff>
    </xdr:from>
    <xdr:to>
      <xdr:col>4</xdr:col>
      <xdr:colOff>2603499</xdr:colOff>
      <xdr:row>85</xdr:row>
      <xdr:rowOff>1409700</xdr:rowOff>
    </xdr:to>
    <xdr:pic>
      <xdr:nvPicPr>
        <xdr:cNvPr id="187" name="Picture 73">
          <a:extLst>
            <a:ext uri="{FF2B5EF4-FFF2-40B4-BE49-F238E27FC236}">
              <a16:creationId xmlns:a16="http://schemas.microsoft.com/office/drawing/2014/main" id="{B54DC8FA-805E-4B2E-8053-3A45616C7BDD}"/>
            </a:ext>
          </a:extLst>
        </xdr:cNvPr>
        <xdr:cNvPicPr>
          <a:picLocks noChangeArrowheads="1"/>
        </xdr:cNvPicPr>
      </xdr:nvPicPr>
      <xdr:blipFill>
        <a:blip xmlns:r="http://schemas.openxmlformats.org/officeDocument/2006/relationships" r:embed="rId186">
          <a:extLst>
            <a:ext uri="{28A0092B-C50C-407E-A947-70E740481C1C}">
              <a14:useLocalDpi xmlns:a14="http://schemas.microsoft.com/office/drawing/2010/main" val="0"/>
            </a:ext>
          </a:extLst>
        </a:blip>
        <a:srcRect/>
        <a:stretch>
          <a:fillRect/>
        </a:stretch>
      </xdr:blipFill>
      <xdr:spPr bwMode="auto">
        <a:xfrm>
          <a:off x="2603499" y="15665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86</xdr:row>
      <xdr:rowOff>12700</xdr:rowOff>
    </xdr:from>
    <xdr:to>
      <xdr:col>4</xdr:col>
      <xdr:colOff>2603499</xdr:colOff>
      <xdr:row>86</xdr:row>
      <xdr:rowOff>1409700</xdr:rowOff>
    </xdr:to>
    <xdr:pic>
      <xdr:nvPicPr>
        <xdr:cNvPr id="188" name="Picture 74">
          <a:extLst>
            <a:ext uri="{FF2B5EF4-FFF2-40B4-BE49-F238E27FC236}">
              <a16:creationId xmlns:a16="http://schemas.microsoft.com/office/drawing/2014/main" id="{34D67233-F851-4AE5-BC0A-53704667188C}"/>
            </a:ext>
          </a:extLst>
        </xdr:cNvPr>
        <xdr:cNvPicPr>
          <a:picLocks noChangeArrowheads="1"/>
        </xdr:cNvPicPr>
      </xdr:nvPicPr>
      <xdr:blipFill>
        <a:blip xmlns:r="http://schemas.openxmlformats.org/officeDocument/2006/relationships" r:embed="rId187">
          <a:extLst>
            <a:ext uri="{28A0092B-C50C-407E-A947-70E740481C1C}">
              <a14:useLocalDpi xmlns:a14="http://schemas.microsoft.com/office/drawing/2010/main" val="0"/>
            </a:ext>
          </a:extLst>
        </a:blip>
        <a:srcRect/>
        <a:stretch>
          <a:fillRect/>
        </a:stretch>
      </xdr:blipFill>
      <xdr:spPr bwMode="auto">
        <a:xfrm>
          <a:off x="2603499" y="15849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87</xdr:row>
      <xdr:rowOff>12700</xdr:rowOff>
    </xdr:from>
    <xdr:to>
      <xdr:col>4</xdr:col>
      <xdr:colOff>2603499</xdr:colOff>
      <xdr:row>87</xdr:row>
      <xdr:rowOff>1409700</xdr:rowOff>
    </xdr:to>
    <xdr:pic>
      <xdr:nvPicPr>
        <xdr:cNvPr id="189" name="Picture 75">
          <a:extLst>
            <a:ext uri="{FF2B5EF4-FFF2-40B4-BE49-F238E27FC236}">
              <a16:creationId xmlns:a16="http://schemas.microsoft.com/office/drawing/2014/main" id="{C5436FC3-93EB-4BAE-AD5D-08080B1CB340}"/>
            </a:ext>
          </a:extLst>
        </xdr:cNvPr>
        <xdr:cNvPicPr>
          <a:picLocks noChangeArrowheads="1"/>
        </xdr:cNvPicPr>
      </xdr:nvPicPr>
      <xdr:blipFill>
        <a:blip xmlns:r="http://schemas.openxmlformats.org/officeDocument/2006/relationships" r:embed="rId188">
          <a:extLst>
            <a:ext uri="{28A0092B-C50C-407E-A947-70E740481C1C}">
              <a14:useLocalDpi xmlns:a14="http://schemas.microsoft.com/office/drawing/2010/main" val="0"/>
            </a:ext>
          </a:extLst>
        </a:blip>
        <a:srcRect/>
        <a:stretch>
          <a:fillRect/>
        </a:stretch>
      </xdr:blipFill>
      <xdr:spPr bwMode="auto">
        <a:xfrm>
          <a:off x="2603499" y="16033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88</xdr:row>
      <xdr:rowOff>12700</xdr:rowOff>
    </xdr:from>
    <xdr:to>
      <xdr:col>4</xdr:col>
      <xdr:colOff>2603499</xdr:colOff>
      <xdr:row>88</xdr:row>
      <xdr:rowOff>1409700</xdr:rowOff>
    </xdr:to>
    <xdr:pic>
      <xdr:nvPicPr>
        <xdr:cNvPr id="190" name="Picture 76">
          <a:extLst>
            <a:ext uri="{FF2B5EF4-FFF2-40B4-BE49-F238E27FC236}">
              <a16:creationId xmlns:a16="http://schemas.microsoft.com/office/drawing/2014/main" id="{0D4ED332-BBD2-4E31-AF68-8FA6B76CA587}"/>
            </a:ext>
          </a:extLst>
        </xdr:cNvPr>
        <xdr:cNvPicPr>
          <a:picLocks noChangeArrowheads="1"/>
        </xdr:cNvPicPr>
      </xdr:nvPicPr>
      <xdr:blipFill>
        <a:blip xmlns:r="http://schemas.openxmlformats.org/officeDocument/2006/relationships" r:embed="rId189">
          <a:extLst>
            <a:ext uri="{28A0092B-C50C-407E-A947-70E740481C1C}">
              <a14:useLocalDpi xmlns:a14="http://schemas.microsoft.com/office/drawing/2010/main" val="0"/>
            </a:ext>
          </a:extLst>
        </a:blip>
        <a:srcRect/>
        <a:stretch>
          <a:fillRect/>
        </a:stretch>
      </xdr:blipFill>
      <xdr:spPr bwMode="auto">
        <a:xfrm>
          <a:off x="2603499" y="16217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89</xdr:row>
      <xdr:rowOff>12700</xdr:rowOff>
    </xdr:from>
    <xdr:to>
      <xdr:col>4</xdr:col>
      <xdr:colOff>2603499</xdr:colOff>
      <xdr:row>89</xdr:row>
      <xdr:rowOff>1409700</xdr:rowOff>
    </xdr:to>
    <xdr:pic>
      <xdr:nvPicPr>
        <xdr:cNvPr id="191" name="Picture 77">
          <a:extLst>
            <a:ext uri="{FF2B5EF4-FFF2-40B4-BE49-F238E27FC236}">
              <a16:creationId xmlns:a16="http://schemas.microsoft.com/office/drawing/2014/main" id="{C3A84666-776A-4F8B-B56F-967E4B660C2A}"/>
            </a:ext>
          </a:extLst>
        </xdr:cNvPr>
        <xdr:cNvPicPr>
          <a:picLocks noChangeArrowheads="1"/>
        </xdr:cNvPicPr>
      </xdr:nvPicPr>
      <xdr:blipFill>
        <a:blip xmlns:r="http://schemas.openxmlformats.org/officeDocument/2006/relationships" r:embed="rId190">
          <a:extLst>
            <a:ext uri="{28A0092B-C50C-407E-A947-70E740481C1C}">
              <a14:useLocalDpi xmlns:a14="http://schemas.microsoft.com/office/drawing/2010/main" val="0"/>
            </a:ext>
          </a:extLst>
        </a:blip>
        <a:srcRect/>
        <a:stretch>
          <a:fillRect/>
        </a:stretch>
      </xdr:blipFill>
      <xdr:spPr bwMode="auto">
        <a:xfrm>
          <a:off x="2603499" y="16402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90</xdr:row>
      <xdr:rowOff>12700</xdr:rowOff>
    </xdr:from>
    <xdr:to>
      <xdr:col>4</xdr:col>
      <xdr:colOff>2603499</xdr:colOff>
      <xdr:row>90</xdr:row>
      <xdr:rowOff>1409700</xdr:rowOff>
    </xdr:to>
    <xdr:pic>
      <xdr:nvPicPr>
        <xdr:cNvPr id="192" name="Picture 78">
          <a:extLst>
            <a:ext uri="{FF2B5EF4-FFF2-40B4-BE49-F238E27FC236}">
              <a16:creationId xmlns:a16="http://schemas.microsoft.com/office/drawing/2014/main" id="{17745F43-1A07-425C-B1F6-C3D909BBDAFD}"/>
            </a:ext>
          </a:extLst>
        </xdr:cNvPr>
        <xdr:cNvPicPr>
          <a:picLocks noChangeArrowheads="1"/>
        </xdr:cNvPicPr>
      </xdr:nvPicPr>
      <xdr:blipFill>
        <a:blip xmlns:r="http://schemas.openxmlformats.org/officeDocument/2006/relationships" r:embed="rId191">
          <a:extLst>
            <a:ext uri="{28A0092B-C50C-407E-A947-70E740481C1C}">
              <a14:useLocalDpi xmlns:a14="http://schemas.microsoft.com/office/drawing/2010/main" val="0"/>
            </a:ext>
          </a:extLst>
        </a:blip>
        <a:srcRect/>
        <a:stretch>
          <a:fillRect/>
        </a:stretch>
      </xdr:blipFill>
      <xdr:spPr bwMode="auto">
        <a:xfrm>
          <a:off x="2603499" y="16586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91</xdr:row>
      <xdr:rowOff>12700</xdr:rowOff>
    </xdr:from>
    <xdr:to>
      <xdr:col>4</xdr:col>
      <xdr:colOff>2603499</xdr:colOff>
      <xdr:row>91</xdr:row>
      <xdr:rowOff>1409700</xdr:rowOff>
    </xdr:to>
    <xdr:pic>
      <xdr:nvPicPr>
        <xdr:cNvPr id="193" name="Picture 79">
          <a:extLst>
            <a:ext uri="{FF2B5EF4-FFF2-40B4-BE49-F238E27FC236}">
              <a16:creationId xmlns:a16="http://schemas.microsoft.com/office/drawing/2014/main" id="{AC5DB083-0C7F-4258-A1FA-09C3CC419D8C}"/>
            </a:ext>
          </a:extLst>
        </xdr:cNvPr>
        <xdr:cNvPicPr>
          <a:picLocks noChangeArrowheads="1"/>
        </xdr:cNvPicPr>
      </xdr:nvPicPr>
      <xdr:blipFill>
        <a:blip xmlns:r="http://schemas.openxmlformats.org/officeDocument/2006/relationships" r:embed="rId192">
          <a:extLst>
            <a:ext uri="{28A0092B-C50C-407E-A947-70E740481C1C}">
              <a14:useLocalDpi xmlns:a14="http://schemas.microsoft.com/office/drawing/2010/main" val="0"/>
            </a:ext>
          </a:extLst>
        </a:blip>
        <a:srcRect/>
        <a:stretch>
          <a:fillRect/>
        </a:stretch>
      </xdr:blipFill>
      <xdr:spPr bwMode="auto">
        <a:xfrm>
          <a:off x="2603499" y="16770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92</xdr:row>
      <xdr:rowOff>12700</xdr:rowOff>
    </xdr:from>
    <xdr:to>
      <xdr:col>4</xdr:col>
      <xdr:colOff>2603499</xdr:colOff>
      <xdr:row>92</xdr:row>
      <xdr:rowOff>1409700</xdr:rowOff>
    </xdr:to>
    <xdr:pic>
      <xdr:nvPicPr>
        <xdr:cNvPr id="194" name="Picture 80">
          <a:extLst>
            <a:ext uri="{FF2B5EF4-FFF2-40B4-BE49-F238E27FC236}">
              <a16:creationId xmlns:a16="http://schemas.microsoft.com/office/drawing/2014/main" id="{29BB9672-CA1D-4467-8290-D374059C05BD}"/>
            </a:ext>
          </a:extLst>
        </xdr:cNvPr>
        <xdr:cNvPicPr>
          <a:picLocks noChangeArrowheads="1"/>
        </xdr:cNvPicPr>
      </xdr:nvPicPr>
      <xdr:blipFill>
        <a:blip xmlns:r="http://schemas.openxmlformats.org/officeDocument/2006/relationships" r:embed="rId193">
          <a:extLst>
            <a:ext uri="{28A0092B-C50C-407E-A947-70E740481C1C}">
              <a14:useLocalDpi xmlns:a14="http://schemas.microsoft.com/office/drawing/2010/main" val="0"/>
            </a:ext>
          </a:extLst>
        </a:blip>
        <a:srcRect/>
        <a:stretch>
          <a:fillRect/>
        </a:stretch>
      </xdr:blipFill>
      <xdr:spPr bwMode="auto">
        <a:xfrm>
          <a:off x="2603499" y="16954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93</xdr:row>
      <xdr:rowOff>12700</xdr:rowOff>
    </xdr:from>
    <xdr:to>
      <xdr:col>4</xdr:col>
      <xdr:colOff>2603499</xdr:colOff>
      <xdr:row>93</xdr:row>
      <xdr:rowOff>1409700</xdr:rowOff>
    </xdr:to>
    <xdr:pic>
      <xdr:nvPicPr>
        <xdr:cNvPr id="195" name="Picture 81">
          <a:extLst>
            <a:ext uri="{FF2B5EF4-FFF2-40B4-BE49-F238E27FC236}">
              <a16:creationId xmlns:a16="http://schemas.microsoft.com/office/drawing/2014/main" id="{661E3E21-6FE1-4791-8C0C-D2D7195F8110}"/>
            </a:ext>
          </a:extLst>
        </xdr:cNvPr>
        <xdr:cNvPicPr>
          <a:picLocks noChangeArrowheads="1"/>
        </xdr:cNvPicPr>
      </xdr:nvPicPr>
      <xdr:blipFill>
        <a:blip xmlns:r="http://schemas.openxmlformats.org/officeDocument/2006/relationships" r:embed="rId194">
          <a:extLst>
            <a:ext uri="{28A0092B-C50C-407E-A947-70E740481C1C}">
              <a14:useLocalDpi xmlns:a14="http://schemas.microsoft.com/office/drawing/2010/main" val="0"/>
            </a:ext>
          </a:extLst>
        </a:blip>
        <a:srcRect/>
        <a:stretch>
          <a:fillRect/>
        </a:stretch>
      </xdr:blipFill>
      <xdr:spPr bwMode="auto">
        <a:xfrm>
          <a:off x="2603499" y="17138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94</xdr:row>
      <xdr:rowOff>12700</xdr:rowOff>
    </xdr:from>
    <xdr:to>
      <xdr:col>4</xdr:col>
      <xdr:colOff>2603499</xdr:colOff>
      <xdr:row>94</xdr:row>
      <xdr:rowOff>1409700</xdr:rowOff>
    </xdr:to>
    <xdr:pic>
      <xdr:nvPicPr>
        <xdr:cNvPr id="196" name="Picture 82">
          <a:extLst>
            <a:ext uri="{FF2B5EF4-FFF2-40B4-BE49-F238E27FC236}">
              <a16:creationId xmlns:a16="http://schemas.microsoft.com/office/drawing/2014/main" id="{CA1C8641-1824-4C90-BAF4-BCF0FCAF3653}"/>
            </a:ext>
          </a:extLst>
        </xdr:cNvPr>
        <xdr:cNvPicPr>
          <a:picLocks noChangeArrowheads="1"/>
        </xdr:cNvPicPr>
      </xdr:nvPicPr>
      <xdr:blipFill>
        <a:blip xmlns:r="http://schemas.openxmlformats.org/officeDocument/2006/relationships" r:embed="rId195">
          <a:extLst>
            <a:ext uri="{28A0092B-C50C-407E-A947-70E740481C1C}">
              <a14:useLocalDpi xmlns:a14="http://schemas.microsoft.com/office/drawing/2010/main" val="0"/>
            </a:ext>
          </a:extLst>
        </a:blip>
        <a:srcRect/>
        <a:stretch>
          <a:fillRect/>
        </a:stretch>
      </xdr:blipFill>
      <xdr:spPr bwMode="auto">
        <a:xfrm>
          <a:off x="2603499" y="17322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96</xdr:row>
      <xdr:rowOff>12700</xdr:rowOff>
    </xdr:from>
    <xdr:to>
      <xdr:col>4</xdr:col>
      <xdr:colOff>2603499</xdr:colOff>
      <xdr:row>96</xdr:row>
      <xdr:rowOff>1409700</xdr:rowOff>
    </xdr:to>
    <xdr:pic>
      <xdr:nvPicPr>
        <xdr:cNvPr id="197" name="Picture 83">
          <a:extLst>
            <a:ext uri="{FF2B5EF4-FFF2-40B4-BE49-F238E27FC236}">
              <a16:creationId xmlns:a16="http://schemas.microsoft.com/office/drawing/2014/main" id="{80E30D87-A43C-4D79-9756-6663E3688EC9}"/>
            </a:ext>
          </a:extLst>
        </xdr:cNvPr>
        <xdr:cNvPicPr>
          <a:picLocks noChangeArrowheads="1"/>
        </xdr:cNvPicPr>
      </xdr:nvPicPr>
      <xdr:blipFill>
        <a:blip xmlns:r="http://schemas.openxmlformats.org/officeDocument/2006/relationships" r:embed="rId196">
          <a:extLst>
            <a:ext uri="{28A0092B-C50C-407E-A947-70E740481C1C}">
              <a14:useLocalDpi xmlns:a14="http://schemas.microsoft.com/office/drawing/2010/main" val="0"/>
            </a:ext>
          </a:extLst>
        </a:blip>
        <a:srcRect/>
        <a:stretch>
          <a:fillRect/>
        </a:stretch>
      </xdr:blipFill>
      <xdr:spPr bwMode="auto">
        <a:xfrm>
          <a:off x="2603499" y="17691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97</xdr:row>
      <xdr:rowOff>12700</xdr:rowOff>
    </xdr:from>
    <xdr:to>
      <xdr:col>4</xdr:col>
      <xdr:colOff>2603499</xdr:colOff>
      <xdr:row>97</xdr:row>
      <xdr:rowOff>1409700</xdr:rowOff>
    </xdr:to>
    <xdr:pic>
      <xdr:nvPicPr>
        <xdr:cNvPr id="198" name="Picture 84">
          <a:extLst>
            <a:ext uri="{FF2B5EF4-FFF2-40B4-BE49-F238E27FC236}">
              <a16:creationId xmlns:a16="http://schemas.microsoft.com/office/drawing/2014/main" id="{E7BDEB2B-20AB-4BEB-BF98-2AB26735DBFE}"/>
            </a:ext>
          </a:extLst>
        </xdr:cNvPr>
        <xdr:cNvPicPr>
          <a:picLocks noChangeArrowheads="1"/>
        </xdr:cNvPicPr>
      </xdr:nvPicPr>
      <xdr:blipFill>
        <a:blip xmlns:r="http://schemas.openxmlformats.org/officeDocument/2006/relationships" r:embed="rId197">
          <a:extLst>
            <a:ext uri="{28A0092B-C50C-407E-A947-70E740481C1C}">
              <a14:useLocalDpi xmlns:a14="http://schemas.microsoft.com/office/drawing/2010/main" val="0"/>
            </a:ext>
          </a:extLst>
        </a:blip>
        <a:srcRect/>
        <a:stretch>
          <a:fillRect/>
        </a:stretch>
      </xdr:blipFill>
      <xdr:spPr bwMode="auto">
        <a:xfrm>
          <a:off x="2603499" y="17875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98</xdr:row>
      <xdr:rowOff>12700</xdr:rowOff>
    </xdr:from>
    <xdr:to>
      <xdr:col>4</xdr:col>
      <xdr:colOff>2603499</xdr:colOff>
      <xdr:row>98</xdr:row>
      <xdr:rowOff>1409700</xdr:rowOff>
    </xdr:to>
    <xdr:pic>
      <xdr:nvPicPr>
        <xdr:cNvPr id="199" name="Picture 85">
          <a:extLst>
            <a:ext uri="{FF2B5EF4-FFF2-40B4-BE49-F238E27FC236}">
              <a16:creationId xmlns:a16="http://schemas.microsoft.com/office/drawing/2014/main" id="{BFBE117E-F5AC-45B8-B39B-6F09820374A6}"/>
            </a:ext>
          </a:extLst>
        </xdr:cNvPr>
        <xdr:cNvPicPr>
          <a:picLocks noChangeArrowheads="1"/>
        </xdr:cNvPicPr>
      </xdr:nvPicPr>
      <xdr:blipFill>
        <a:blip xmlns:r="http://schemas.openxmlformats.org/officeDocument/2006/relationships" r:embed="rId198">
          <a:extLst>
            <a:ext uri="{28A0092B-C50C-407E-A947-70E740481C1C}">
              <a14:useLocalDpi xmlns:a14="http://schemas.microsoft.com/office/drawing/2010/main" val="0"/>
            </a:ext>
          </a:extLst>
        </a:blip>
        <a:srcRect/>
        <a:stretch>
          <a:fillRect/>
        </a:stretch>
      </xdr:blipFill>
      <xdr:spPr bwMode="auto">
        <a:xfrm>
          <a:off x="2603499" y="18059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99</xdr:row>
      <xdr:rowOff>12700</xdr:rowOff>
    </xdr:from>
    <xdr:to>
      <xdr:col>4</xdr:col>
      <xdr:colOff>2603499</xdr:colOff>
      <xdr:row>99</xdr:row>
      <xdr:rowOff>1409700</xdr:rowOff>
    </xdr:to>
    <xdr:pic>
      <xdr:nvPicPr>
        <xdr:cNvPr id="200" name="Picture 86">
          <a:extLst>
            <a:ext uri="{FF2B5EF4-FFF2-40B4-BE49-F238E27FC236}">
              <a16:creationId xmlns:a16="http://schemas.microsoft.com/office/drawing/2014/main" id="{43658059-52AC-4E54-B78B-B8885230F676}"/>
            </a:ext>
          </a:extLst>
        </xdr:cNvPr>
        <xdr:cNvPicPr>
          <a:picLocks noChangeArrowheads="1"/>
        </xdr:cNvPicPr>
      </xdr:nvPicPr>
      <xdr:blipFill>
        <a:blip xmlns:r="http://schemas.openxmlformats.org/officeDocument/2006/relationships" r:embed="rId199">
          <a:extLst>
            <a:ext uri="{28A0092B-C50C-407E-A947-70E740481C1C}">
              <a14:useLocalDpi xmlns:a14="http://schemas.microsoft.com/office/drawing/2010/main" val="0"/>
            </a:ext>
          </a:extLst>
        </a:blip>
        <a:srcRect/>
        <a:stretch>
          <a:fillRect/>
        </a:stretch>
      </xdr:blipFill>
      <xdr:spPr bwMode="auto">
        <a:xfrm>
          <a:off x="2603499" y="18243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100</xdr:row>
      <xdr:rowOff>12700</xdr:rowOff>
    </xdr:from>
    <xdr:to>
      <xdr:col>4</xdr:col>
      <xdr:colOff>2603499</xdr:colOff>
      <xdr:row>100</xdr:row>
      <xdr:rowOff>1409700</xdr:rowOff>
    </xdr:to>
    <xdr:pic>
      <xdr:nvPicPr>
        <xdr:cNvPr id="201" name="Picture 87">
          <a:extLst>
            <a:ext uri="{FF2B5EF4-FFF2-40B4-BE49-F238E27FC236}">
              <a16:creationId xmlns:a16="http://schemas.microsoft.com/office/drawing/2014/main" id="{E27FCC2F-B1F9-47EF-A6DA-A24227879769}"/>
            </a:ext>
          </a:extLst>
        </xdr:cNvPr>
        <xdr:cNvPicPr>
          <a:picLocks noChangeArrowheads="1"/>
        </xdr:cNvPicPr>
      </xdr:nvPicPr>
      <xdr:blipFill>
        <a:blip xmlns:r="http://schemas.openxmlformats.org/officeDocument/2006/relationships" r:embed="rId200">
          <a:extLst>
            <a:ext uri="{28A0092B-C50C-407E-A947-70E740481C1C}">
              <a14:useLocalDpi xmlns:a14="http://schemas.microsoft.com/office/drawing/2010/main" val="0"/>
            </a:ext>
          </a:extLst>
        </a:blip>
        <a:srcRect/>
        <a:stretch>
          <a:fillRect/>
        </a:stretch>
      </xdr:blipFill>
      <xdr:spPr bwMode="auto">
        <a:xfrm>
          <a:off x="2603499" y="18427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101</xdr:row>
      <xdr:rowOff>12700</xdr:rowOff>
    </xdr:from>
    <xdr:to>
      <xdr:col>4</xdr:col>
      <xdr:colOff>2603499</xdr:colOff>
      <xdr:row>101</xdr:row>
      <xdr:rowOff>1409700</xdr:rowOff>
    </xdr:to>
    <xdr:pic>
      <xdr:nvPicPr>
        <xdr:cNvPr id="202" name="Picture 88">
          <a:extLst>
            <a:ext uri="{FF2B5EF4-FFF2-40B4-BE49-F238E27FC236}">
              <a16:creationId xmlns:a16="http://schemas.microsoft.com/office/drawing/2014/main" id="{7A15C71F-5F43-4B78-B50D-1347B28CB100}"/>
            </a:ext>
          </a:extLst>
        </xdr:cNvPr>
        <xdr:cNvPicPr>
          <a:picLocks noChangeArrowheads="1"/>
        </xdr:cNvPicPr>
      </xdr:nvPicPr>
      <xdr:blipFill>
        <a:blip xmlns:r="http://schemas.openxmlformats.org/officeDocument/2006/relationships" r:embed="rId201">
          <a:extLst>
            <a:ext uri="{28A0092B-C50C-407E-A947-70E740481C1C}">
              <a14:useLocalDpi xmlns:a14="http://schemas.microsoft.com/office/drawing/2010/main" val="0"/>
            </a:ext>
          </a:extLst>
        </a:blip>
        <a:srcRect/>
        <a:stretch>
          <a:fillRect/>
        </a:stretch>
      </xdr:blipFill>
      <xdr:spPr bwMode="auto">
        <a:xfrm>
          <a:off x="2603499" y="18611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102</xdr:row>
      <xdr:rowOff>12700</xdr:rowOff>
    </xdr:from>
    <xdr:to>
      <xdr:col>4</xdr:col>
      <xdr:colOff>2603499</xdr:colOff>
      <xdr:row>102</xdr:row>
      <xdr:rowOff>1409700</xdr:rowOff>
    </xdr:to>
    <xdr:pic>
      <xdr:nvPicPr>
        <xdr:cNvPr id="203" name="Picture 89">
          <a:extLst>
            <a:ext uri="{FF2B5EF4-FFF2-40B4-BE49-F238E27FC236}">
              <a16:creationId xmlns:a16="http://schemas.microsoft.com/office/drawing/2014/main" id="{4696FE66-18A8-4F82-BE34-D94000DB937B}"/>
            </a:ext>
          </a:extLst>
        </xdr:cNvPr>
        <xdr:cNvPicPr>
          <a:picLocks noChangeArrowheads="1"/>
        </xdr:cNvPicPr>
      </xdr:nvPicPr>
      <xdr:blipFill>
        <a:blip xmlns:r="http://schemas.openxmlformats.org/officeDocument/2006/relationships" r:embed="rId202">
          <a:extLst>
            <a:ext uri="{28A0092B-C50C-407E-A947-70E740481C1C}">
              <a14:useLocalDpi xmlns:a14="http://schemas.microsoft.com/office/drawing/2010/main" val="0"/>
            </a:ext>
          </a:extLst>
        </a:blip>
        <a:srcRect/>
        <a:stretch>
          <a:fillRect/>
        </a:stretch>
      </xdr:blipFill>
      <xdr:spPr bwMode="auto">
        <a:xfrm>
          <a:off x="2603499" y="18796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103</xdr:row>
      <xdr:rowOff>12700</xdr:rowOff>
    </xdr:from>
    <xdr:to>
      <xdr:col>4</xdr:col>
      <xdr:colOff>2603499</xdr:colOff>
      <xdr:row>103</xdr:row>
      <xdr:rowOff>1409700</xdr:rowOff>
    </xdr:to>
    <xdr:pic>
      <xdr:nvPicPr>
        <xdr:cNvPr id="204" name="Picture 90">
          <a:extLst>
            <a:ext uri="{FF2B5EF4-FFF2-40B4-BE49-F238E27FC236}">
              <a16:creationId xmlns:a16="http://schemas.microsoft.com/office/drawing/2014/main" id="{15590590-DAD4-4C67-9ACA-AEB39C05A836}"/>
            </a:ext>
          </a:extLst>
        </xdr:cNvPr>
        <xdr:cNvPicPr>
          <a:picLocks noChangeArrowheads="1"/>
        </xdr:cNvPicPr>
      </xdr:nvPicPr>
      <xdr:blipFill>
        <a:blip xmlns:r="http://schemas.openxmlformats.org/officeDocument/2006/relationships" r:embed="rId203">
          <a:extLst>
            <a:ext uri="{28A0092B-C50C-407E-A947-70E740481C1C}">
              <a14:useLocalDpi xmlns:a14="http://schemas.microsoft.com/office/drawing/2010/main" val="0"/>
            </a:ext>
          </a:extLst>
        </a:blip>
        <a:srcRect/>
        <a:stretch>
          <a:fillRect/>
        </a:stretch>
      </xdr:blipFill>
      <xdr:spPr bwMode="auto">
        <a:xfrm>
          <a:off x="2603499" y="18980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104</xdr:row>
      <xdr:rowOff>12700</xdr:rowOff>
    </xdr:from>
    <xdr:to>
      <xdr:col>4</xdr:col>
      <xdr:colOff>2603499</xdr:colOff>
      <xdr:row>104</xdr:row>
      <xdr:rowOff>1409700</xdr:rowOff>
    </xdr:to>
    <xdr:pic>
      <xdr:nvPicPr>
        <xdr:cNvPr id="205" name="Picture 91">
          <a:extLst>
            <a:ext uri="{FF2B5EF4-FFF2-40B4-BE49-F238E27FC236}">
              <a16:creationId xmlns:a16="http://schemas.microsoft.com/office/drawing/2014/main" id="{DDA1CE77-4285-472C-B9D0-636B67B4C8B6}"/>
            </a:ext>
          </a:extLst>
        </xdr:cNvPr>
        <xdr:cNvPicPr>
          <a:picLocks noChangeArrowheads="1"/>
        </xdr:cNvPicPr>
      </xdr:nvPicPr>
      <xdr:blipFill>
        <a:blip xmlns:r="http://schemas.openxmlformats.org/officeDocument/2006/relationships" r:embed="rId204">
          <a:extLst>
            <a:ext uri="{28A0092B-C50C-407E-A947-70E740481C1C}">
              <a14:useLocalDpi xmlns:a14="http://schemas.microsoft.com/office/drawing/2010/main" val="0"/>
            </a:ext>
          </a:extLst>
        </a:blip>
        <a:srcRect/>
        <a:stretch>
          <a:fillRect/>
        </a:stretch>
      </xdr:blipFill>
      <xdr:spPr bwMode="auto">
        <a:xfrm>
          <a:off x="2603499" y="19164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105</xdr:row>
      <xdr:rowOff>12700</xdr:rowOff>
    </xdr:from>
    <xdr:to>
      <xdr:col>4</xdr:col>
      <xdr:colOff>2603499</xdr:colOff>
      <xdr:row>105</xdr:row>
      <xdr:rowOff>1409700</xdr:rowOff>
    </xdr:to>
    <xdr:pic>
      <xdr:nvPicPr>
        <xdr:cNvPr id="206" name="Picture 92">
          <a:extLst>
            <a:ext uri="{FF2B5EF4-FFF2-40B4-BE49-F238E27FC236}">
              <a16:creationId xmlns:a16="http://schemas.microsoft.com/office/drawing/2014/main" id="{36146163-1B0E-476E-A35C-622E3443CFA1}"/>
            </a:ext>
          </a:extLst>
        </xdr:cNvPr>
        <xdr:cNvPicPr>
          <a:picLocks noChangeArrowheads="1"/>
        </xdr:cNvPicPr>
      </xdr:nvPicPr>
      <xdr:blipFill>
        <a:blip xmlns:r="http://schemas.openxmlformats.org/officeDocument/2006/relationships" r:embed="rId205">
          <a:extLst>
            <a:ext uri="{28A0092B-C50C-407E-A947-70E740481C1C}">
              <a14:useLocalDpi xmlns:a14="http://schemas.microsoft.com/office/drawing/2010/main" val="0"/>
            </a:ext>
          </a:extLst>
        </a:blip>
        <a:srcRect/>
        <a:stretch>
          <a:fillRect/>
        </a:stretch>
      </xdr:blipFill>
      <xdr:spPr bwMode="auto">
        <a:xfrm>
          <a:off x="2603499" y="19348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107</xdr:row>
      <xdr:rowOff>12700</xdr:rowOff>
    </xdr:from>
    <xdr:to>
      <xdr:col>4</xdr:col>
      <xdr:colOff>2603499</xdr:colOff>
      <xdr:row>107</xdr:row>
      <xdr:rowOff>1409700</xdr:rowOff>
    </xdr:to>
    <xdr:pic>
      <xdr:nvPicPr>
        <xdr:cNvPr id="207" name="Picture 93">
          <a:extLst>
            <a:ext uri="{FF2B5EF4-FFF2-40B4-BE49-F238E27FC236}">
              <a16:creationId xmlns:a16="http://schemas.microsoft.com/office/drawing/2014/main" id="{B994FE4B-C1CD-4255-BA18-F56C694F4B10}"/>
            </a:ext>
          </a:extLst>
        </xdr:cNvPr>
        <xdr:cNvPicPr>
          <a:picLocks noChangeArrowheads="1"/>
        </xdr:cNvPicPr>
      </xdr:nvPicPr>
      <xdr:blipFill>
        <a:blip xmlns:r="http://schemas.openxmlformats.org/officeDocument/2006/relationships" r:embed="rId206">
          <a:extLst>
            <a:ext uri="{28A0092B-C50C-407E-A947-70E740481C1C}">
              <a14:useLocalDpi xmlns:a14="http://schemas.microsoft.com/office/drawing/2010/main" val="0"/>
            </a:ext>
          </a:extLst>
        </a:blip>
        <a:srcRect/>
        <a:stretch>
          <a:fillRect/>
        </a:stretch>
      </xdr:blipFill>
      <xdr:spPr bwMode="auto">
        <a:xfrm>
          <a:off x="2603499" y="19716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108</xdr:row>
      <xdr:rowOff>12700</xdr:rowOff>
    </xdr:from>
    <xdr:to>
      <xdr:col>4</xdr:col>
      <xdr:colOff>2603499</xdr:colOff>
      <xdr:row>108</xdr:row>
      <xdr:rowOff>1409700</xdr:rowOff>
    </xdr:to>
    <xdr:pic>
      <xdr:nvPicPr>
        <xdr:cNvPr id="208" name="Picture 94">
          <a:extLst>
            <a:ext uri="{FF2B5EF4-FFF2-40B4-BE49-F238E27FC236}">
              <a16:creationId xmlns:a16="http://schemas.microsoft.com/office/drawing/2014/main" id="{6487677F-D9DB-4F3F-91EE-251CFF09CF22}"/>
            </a:ext>
          </a:extLst>
        </xdr:cNvPr>
        <xdr:cNvPicPr>
          <a:picLocks noChangeArrowheads="1"/>
        </xdr:cNvPicPr>
      </xdr:nvPicPr>
      <xdr:blipFill>
        <a:blip xmlns:r="http://schemas.openxmlformats.org/officeDocument/2006/relationships" r:embed="rId207">
          <a:extLst>
            <a:ext uri="{28A0092B-C50C-407E-A947-70E740481C1C}">
              <a14:useLocalDpi xmlns:a14="http://schemas.microsoft.com/office/drawing/2010/main" val="0"/>
            </a:ext>
          </a:extLst>
        </a:blip>
        <a:srcRect/>
        <a:stretch>
          <a:fillRect/>
        </a:stretch>
      </xdr:blipFill>
      <xdr:spPr bwMode="auto">
        <a:xfrm>
          <a:off x="2603499" y="19900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109</xdr:row>
      <xdr:rowOff>12700</xdr:rowOff>
    </xdr:from>
    <xdr:to>
      <xdr:col>4</xdr:col>
      <xdr:colOff>2603499</xdr:colOff>
      <xdr:row>109</xdr:row>
      <xdr:rowOff>1409700</xdr:rowOff>
    </xdr:to>
    <xdr:pic>
      <xdr:nvPicPr>
        <xdr:cNvPr id="209" name="Picture 95">
          <a:extLst>
            <a:ext uri="{FF2B5EF4-FFF2-40B4-BE49-F238E27FC236}">
              <a16:creationId xmlns:a16="http://schemas.microsoft.com/office/drawing/2014/main" id="{847ED77A-676A-4FB2-B700-ED67C618BEC2}"/>
            </a:ext>
          </a:extLst>
        </xdr:cNvPr>
        <xdr:cNvPicPr>
          <a:picLocks noChangeArrowheads="1"/>
        </xdr:cNvPicPr>
      </xdr:nvPicPr>
      <xdr:blipFill>
        <a:blip xmlns:r="http://schemas.openxmlformats.org/officeDocument/2006/relationships" r:embed="rId208">
          <a:extLst>
            <a:ext uri="{28A0092B-C50C-407E-A947-70E740481C1C}">
              <a14:useLocalDpi xmlns:a14="http://schemas.microsoft.com/office/drawing/2010/main" val="0"/>
            </a:ext>
          </a:extLst>
        </a:blip>
        <a:srcRect/>
        <a:stretch>
          <a:fillRect/>
        </a:stretch>
      </xdr:blipFill>
      <xdr:spPr bwMode="auto">
        <a:xfrm>
          <a:off x="2603499" y="20085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110</xdr:row>
      <xdr:rowOff>12700</xdr:rowOff>
    </xdr:from>
    <xdr:to>
      <xdr:col>4</xdr:col>
      <xdr:colOff>2603499</xdr:colOff>
      <xdr:row>110</xdr:row>
      <xdr:rowOff>1409700</xdr:rowOff>
    </xdr:to>
    <xdr:pic>
      <xdr:nvPicPr>
        <xdr:cNvPr id="210" name="Picture 96">
          <a:extLst>
            <a:ext uri="{FF2B5EF4-FFF2-40B4-BE49-F238E27FC236}">
              <a16:creationId xmlns:a16="http://schemas.microsoft.com/office/drawing/2014/main" id="{F447C967-CC05-42EE-982A-43DDE6F6ECB4}"/>
            </a:ext>
          </a:extLst>
        </xdr:cNvPr>
        <xdr:cNvPicPr>
          <a:picLocks noChangeArrowheads="1"/>
        </xdr:cNvPicPr>
      </xdr:nvPicPr>
      <xdr:blipFill>
        <a:blip xmlns:r="http://schemas.openxmlformats.org/officeDocument/2006/relationships" r:embed="rId209">
          <a:extLst>
            <a:ext uri="{28A0092B-C50C-407E-A947-70E740481C1C}">
              <a14:useLocalDpi xmlns:a14="http://schemas.microsoft.com/office/drawing/2010/main" val="0"/>
            </a:ext>
          </a:extLst>
        </a:blip>
        <a:srcRect/>
        <a:stretch>
          <a:fillRect/>
        </a:stretch>
      </xdr:blipFill>
      <xdr:spPr bwMode="auto">
        <a:xfrm>
          <a:off x="2603499" y="20269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111</xdr:row>
      <xdr:rowOff>12700</xdr:rowOff>
    </xdr:from>
    <xdr:to>
      <xdr:col>4</xdr:col>
      <xdr:colOff>2603499</xdr:colOff>
      <xdr:row>111</xdr:row>
      <xdr:rowOff>1409700</xdr:rowOff>
    </xdr:to>
    <xdr:pic>
      <xdr:nvPicPr>
        <xdr:cNvPr id="211" name="Picture 97">
          <a:extLst>
            <a:ext uri="{FF2B5EF4-FFF2-40B4-BE49-F238E27FC236}">
              <a16:creationId xmlns:a16="http://schemas.microsoft.com/office/drawing/2014/main" id="{BB23D0F4-88AD-4D72-B329-5A15694D3F1C}"/>
            </a:ext>
          </a:extLst>
        </xdr:cNvPr>
        <xdr:cNvPicPr>
          <a:picLocks noChangeArrowheads="1"/>
        </xdr:cNvPicPr>
      </xdr:nvPicPr>
      <xdr:blipFill>
        <a:blip xmlns:r="http://schemas.openxmlformats.org/officeDocument/2006/relationships" r:embed="rId210">
          <a:extLst>
            <a:ext uri="{28A0092B-C50C-407E-A947-70E740481C1C}">
              <a14:useLocalDpi xmlns:a14="http://schemas.microsoft.com/office/drawing/2010/main" val="0"/>
            </a:ext>
          </a:extLst>
        </a:blip>
        <a:srcRect/>
        <a:stretch>
          <a:fillRect/>
        </a:stretch>
      </xdr:blipFill>
      <xdr:spPr bwMode="auto">
        <a:xfrm>
          <a:off x="2603499" y="20453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112</xdr:row>
      <xdr:rowOff>12700</xdr:rowOff>
    </xdr:from>
    <xdr:to>
      <xdr:col>4</xdr:col>
      <xdr:colOff>2603499</xdr:colOff>
      <xdr:row>112</xdr:row>
      <xdr:rowOff>1409700</xdr:rowOff>
    </xdr:to>
    <xdr:pic>
      <xdr:nvPicPr>
        <xdr:cNvPr id="212" name="Picture 98">
          <a:extLst>
            <a:ext uri="{FF2B5EF4-FFF2-40B4-BE49-F238E27FC236}">
              <a16:creationId xmlns:a16="http://schemas.microsoft.com/office/drawing/2014/main" id="{F15D504C-B9D3-4940-9F5D-A1FAB741AF28}"/>
            </a:ext>
          </a:extLst>
        </xdr:cNvPr>
        <xdr:cNvPicPr>
          <a:picLocks noChangeArrowheads="1"/>
        </xdr:cNvPicPr>
      </xdr:nvPicPr>
      <xdr:blipFill>
        <a:blip xmlns:r="http://schemas.openxmlformats.org/officeDocument/2006/relationships" r:embed="rId211">
          <a:extLst>
            <a:ext uri="{28A0092B-C50C-407E-A947-70E740481C1C}">
              <a14:useLocalDpi xmlns:a14="http://schemas.microsoft.com/office/drawing/2010/main" val="0"/>
            </a:ext>
          </a:extLst>
        </a:blip>
        <a:srcRect/>
        <a:stretch>
          <a:fillRect/>
        </a:stretch>
      </xdr:blipFill>
      <xdr:spPr bwMode="auto">
        <a:xfrm>
          <a:off x="2603499" y="20637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113</xdr:row>
      <xdr:rowOff>12700</xdr:rowOff>
    </xdr:from>
    <xdr:to>
      <xdr:col>4</xdr:col>
      <xdr:colOff>2603499</xdr:colOff>
      <xdr:row>113</xdr:row>
      <xdr:rowOff>1409700</xdr:rowOff>
    </xdr:to>
    <xdr:pic>
      <xdr:nvPicPr>
        <xdr:cNvPr id="213" name="Picture 99">
          <a:extLst>
            <a:ext uri="{FF2B5EF4-FFF2-40B4-BE49-F238E27FC236}">
              <a16:creationId xmlns:a16="http://schemas.microsoft.com/office/drawing/2014/main" id="{2E46DBE8-F5AD-43BB-9ABF-8AA35EBD9D63}"/>
            </a:ext>
          </a:extLst>
        </xdr:cNvPr>
        <xdr:cNvPicPr>
          <a:picLocks noChangeArrowheads="1"/>
        </xdr:cNvPicPr>
      </xdr:nvPicPr>
      <xdr:blipFill>
        <a:blip xmlns:r="http://schemas.openxmlformats.org/officeDocument/2006/relationships" r:embed="rId212">
          <a:extLst>
            <a:ext uri="{28A0092B-C50C-407E-A947-70E740481C1C}">
              <a14:useLocalDpi xmlns:a14="http://schemas.microsoft.com/office/drawing/2010/main" val="0"/>
            </a:ext>
          </a:extLst>
        </a:blip>
        <a:srcRect/>
        <a:stretch>
          <a:fillRect/>
        </a:stretch>
      </xdr:blipFill>
      <xdr:spPr bwMode="auto">
        <a:xfrm>
          <a:off x="2603499" y="20821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114</xdr:row>
      <xdr:rowOff>12700</xdr:rowOff>
    </xdr:from>
    <xdr:to>
      <xdr:col>4</xdr:col>
      <xdr:colOff>2603499</xdr:colOff>
      <xdr:row>114</xdr:row>
      <xdr:rowOff>1409700</xdr:rowOff>
    </xdr:to>
    <xdr:pic>
      <xdr:nvPicPr>
        <xdr:cNvPr id="214" name="Picture 100">
          <a:extLst>
            <a:ext uri="{FF2B5EF4-FFF2-40B4-BE49-F238E27FC236}">
              <a16:creationId xmlns:a16="http://schemas.microsoft.com/office/drawing/2014/main" id="{D60C052C-BA0F-415F-A199-4FE8ACF57B72}"/>
            </a:ext>
          </a:extLst>
        </xdr:cNvPr>
        <xdr:cNvPicPr>
          <a:picLocks noChangeArrowheads="1"/>
        </xdr:cNvPicPr>
      </xdr:nvPicPr>
      <xdr:blipFill>
        <a:blip xmlns:r="http://schemas.openxmlformats.org/officeDocument/2006/relationships" r:embed="rId213">
          <a:extLst>
            <a:ext uri="{28A0092B-C50C-407E-A947-70E740481C1C}">
              <a14:useLocalDpi xmlns:a14="http://schemas.microsoft.com/office/drawing/2010/main" val="0"/>
            </a:ext>
          </a:extLst>
        </a:blip>
        <a:srcRect/>
        <a:stretch>
          <a:fillRect/>
        </a:stretch>
      </xdr:blipFill>
      <xdr:spPr bwMode="auto">
        <a:xfrm>
          <a:off x="2603499" y="21005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115</xdr:row>
      <xdr:rowOff>12700</xdr:rowOff>
    </xdr:from>
    <xdr:to>
      <xdr:col>4</xdr:col>
      <xdr:colOff>2603499</xdr:colOff>
      <xdr:row>115</xdr:row>
      <xdr:rowOff>1409700</xdr:rowOff>
    </xdr:to>
    <xdr:pic>
      <xdr:nvPicPr>
        <xdr:cNvPr id="215" name="Picture 101">
          <a:extLst>
            <a:ext uri="{FF2B5EF4-FFF2-40B4-BE49-F238E27FC236}">
              <a16:creationId xmlns:a16="http://schemas.microsoft.com/office/drawing/2014/main" id="{004DE813-AB23-4473-8090-277C4CC01591}"/>
            </a:ext>
          </a:extLst>
        </xdr:cNvPr>
        <xdr:cNvPicPr>
          <a:picLocks noChangeArrowheads="1"/>
        </xdr:cNvPicPr>
      </xdr:nvPicPr>
      <xdr:blipFill>
        <a:blip xmlns:r="http://schemas.openxmlformats.org/officeDocument/2006/relationships" r:embed="rId214">
          <a:extLst>
            <a:ext uri="{28A0092B-C50C-407E-A947-70E740481C1C}">
              <a14:useLocalDpi xmlns:a14="http://schemas.microsoft.com/office/drawing/2010/main" val="0"/>
            </a:ext>
          </a:extLst>
        </a:blip>
        <a:srcRect/>
        <a:stretch>
          <a:fillRect/>
        </a:stretch>
      </xdr:blipFill>
      <xdr:spPr bwMode="auto">
        <a:xfrm>
          <a:off x="2603499" y="21189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116</xdr:row>
      <xdr:rowOff>12700</xdr:rowOff>
    </xdr:from>
    <xdr:to>
      <xdr:col>4</xdr:col>
      <xdr:colOff>2603499</xdr:colOff>
      <xdr:row>116</xdr:row>
      <xdr:rowOff>1409700</xdr:rowOff>
    </xdr:to>
    <xdr:pic>
      <xdr:nvPicPr>
        <xdr:cNvPr id="216" name="Picture 102">
          <a:extLst>
            <a:ext uri="{FF2B5EF4-FFF2-40B4-BE49-F238E27FC236}">
              <a16:creationId xmlns:a16="http://schemas.microsoft.com/office/drawing/2014/main" id="{CA4C7F8D-21DE-44F3-A6DA-104FB07440E0}"/>
            </a:ext>
          </a:extLst>
        </xdr:cNvPr>
        <xdr:cNvPicPr>
          <a:picLocks noChangeArrowheads="1"/>
        </xdr:cNvPicPr>
      </xdr:nvPicPr>
      <xdr:blipFill>
        <a:blip xmlns:r="http://schemas.openxmlformats.org/officeDocument/2006/relationships" r:embed="rId215">
          <a:extLst>
            <a:ext uri="{28A0092B-C50C-407E-A947-70E740481C1C}">
              <a14:useLocalDpi xmlns:a14="http://schemas.microsoft.com/office/drawing/2010/main" val="0"/>
            </a:ext>
          </a:extLst>
        </a:blip>
        <a:srcRect/>
        <a:stretch>
          <a:fillRect/>
        </a:stretch>
      </xdr:blipFill>
      <xdr:spPr bwMode="auto">
        <a:xfrm>
          <a:off x="2603499" y="21374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118</xdr:row>
      <xdr:rowOff>12700</xdr:rowOff>
    </xdr:from>
    <xdr:to>
      <xdr:col>4</xdr:col>
      <xdr:colOff>2603499</xdr:colOff>
      <xdr:row>118</xdr:row>
      <xdr:rowOff>1409700</xdr:rowOff>
    </xdr:to>
    <xdr:pic>
      <xdr:nvPicPr>
        <xdr:cNvPr id="217" name="Picture 103">
          <a:extLst>
            <a:ext uri="{FF2B5EF4-FFF2-40B4-BE49-F238E27FC236}">
              <a16:creationId xmlns:a16="http://schemas.microsoft.com/office/drawing/2014/main" id="{B7BB13B6-07EF-465F-A1DF-A92BD163853D}"/>
            </a:ext>
          </a:extLst>
        </xdr:cNvPr>
        <xdr:cNvPicPr>
          <a:picLocks noChangeArrowheads="1"/>
        </xdr:cNvPicPr>
      </xdr:nvPicPr>
      <xdr:blipFill>
        <a:blip xmlns:r="http://schemas.openxmlformats.org/officeDocument/2006/relationships" r:embed="rId216">
          <a:extLst>
            <a:ext uri="{28A0092B-C50C-407E-A947-70E740481C1C}">
              <a14:useLocalDpi xmlns:a14="http://schemas.microsoft.com/office/drawing/2010/main" val="0"/>
            </a:ext>
          </a:extLst>
        </a:blip>
        <a:srcRect/>
        <a:stretch>
          <a:fillRect/>
        </a:stretch>
      </xdr:blipFill>
      <xdr:spPr bwMode="auto">
        <a:xfrm>
          <a:off x="2603499" y="21742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119</xdr:row>
      <xdr:rowOff>12700</xdr:rowOff>
    </xdr:from>
    <xdr:to>
      <xdr:col>4</xdr:col>
      <xdr:colOff>2603499</xdr:colOff>
      <xdr:row>119</xdr:row>
      <xdr:rowOff>1409700</xdr:rowOff>
    </xdr:to>
    <xdr:pic>
      <xdr:nvPicPr>
        <xdr:cNvPr id="218" name="Picture 104">
          <a:extLst>
            <a:ext uri="{FF2B5EF4-FFF2-40B4-BE49-F238E27FC236}">
              <a16:creationId xmlns:a16="http://schemas.microsoft.com/office/drawing/2014/main" id="{E0DDC015-BF7E-47C2-9B6D-EE87DE41BB56}"/>
            </a:ext>
          </a:extLst>
        </xdr:cNvPr>
        <xdr:cNvPicPr>
          <a:picLocks noChangeArrowheads="1"/>
        </xdr:cNvPicPr>
      </xdr:nvPicPr>
      <xdr:blipFill>
        <a:blip xmlns:r="http://schemas.openxmlformats.org/officeDocument/2006/relationships" r:embed="rId217">
          <a:extLst>
            <a:ext uri="{28A0092B-C50C-407E-A947-70E740481C1C}">
              <a14:useLocalDpi xmlns:a14="http://schemas.microsoft.com/office/drawing/2010/main" val="0"/>
            </a:ext>
          </a:extLst>
        </a:blip>
        <a:srcRect/>
        <a:stretch>
          <a:fillRect/>
        </a:stretch>
      </xdr:blipFill>
      <xdr:spPr bwMode="auto">
        <a:xfrm>
          <a:off x="2603499" y="21926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120</xdr:row>
      <xdr:rowOff>12700</xdr:rowOff>
    </xdr:from>
    <xdr:to>
      <xdr:col>4</xdr:col>
      <xdr:colOff>2603499</xdr:colOff>
      <xdr:row>120</xdr:row>
      <xdr:rowOff>1409700</xdr:rowOff>
    </xdr:to>
    <xdr:pic>
      <xdr:nvPicPr>
        <xdr:cNvPr id="219" name="Picture 105">
          <a:extLst>
            <a:ext uri="{FF2B5EF4-FFF2-40B4-BE49-F238E27FC236}">
              <a16:creationId xmlns:a16="http://schemas.microsoft.com/office/drawing/2014/main" id="{E3424125-4F77-4B61-8371-53CCC896CDA6}"/>
            </a:ext>
          </a:extLst>
        </xdr:cNvPr>
        <xdr:cNvPicPr>
          <a:picLocks noChangeArrowheads="1"/>
        </xdr:cNvPicPr>
      </xdr:nvPicPr>
      <xdr:blipFill>
        <a:blip xmlns:r="http://schemas.openxmlformats.org/officeDocument/2006/relationships" r:embed="rId218">
          <a:extLst>
            <a:ext uri="{28A0092B-C50C-407E-A947-70E740481C1C}">
              <a14:useLocalDpi xmlns:a14="http://schemas.microsoft.com/office/drawing/2010/main" val="0"/>
            </a:ext>
          </a:extLst>
        </a:blip>
        <a:srcRect/>
        <a:stretch>
          <a:fillRect/>
        </a:stretch>
      </xdr:blipFill>
      <xdr:spPr bwMode="auto">
        <a:xfrm>
          <a:off x="2603499" y="22110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121</xdr:row>
      <xdr:rowOff>12700</xdr:rowOff>
    </xdr:from>
    <xdr:to>
      <xdr:col>4</xdr:col>
      <xdr:colOff>2603499</xdr:colOff>
      <xdr:row>121</xdr:row>
      <xdr:rowOff>1409700</xdr:rowOff>
    </xdr:to>
    <xdr:pic>
      <xdr:nvPicPr>
        <xdr:cNvPr id="220" name="Picture 106">
          <a:extLst>
            <a:ext uri="{FF2B5EF4-FFF2-40B4-BE49-F238E27FC236}">
              <a16:creationId xmlns:a16="http://schemas.microsoft.com/office/drawing/2014/main" id="{EFAE16A1-90C4-4141-94BB-C040A779C7EE}"/>
            </a:ext>
          </a:extLst>
        </xdr:cNvPr>
        <xdr:cNvPicPr>
          <a:picLocks noChangeArrowheads="1"/>
        </xdr:cNvPicPr>
      </xdr:nvPicPr>
      <xdr:blipFill>
        <a:blip xmlns:r="http://schemas.openxmlformats.org/officeDocument/2006/relationships" r:embed="rId219">
          <a:extLst>
            <a:ext uri="{28A0092B-C50C-407E-A947-70E740481C1C}">
              <a14:useLocalDpi xmlns:a14="http://schemas.microsoft.com/office/drawing/2010/main" val="0"/>
            </a:ext>
          </a:extLst>
        </a:blip>
        <a:srcRect/>
        <a:stretch>
          <a:fillRect/>
        </a:stretch>
      </xdr:blipFill>
      <xdr:spPr bwMode="auto">
        <a:xfrm>
          <a:off x="2603499" y="22294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122</xdr:row>
      <xdr:rowOff>12700</xdr:rowOff>
    </xdr:from>
    <xdr:to>
      <xdr:col>4</xdr:col>
      <xdr:colOff>2603499</xdr:colOff>
      <xdr:row>122</xdr:row>
      <xdr:rowOff>1409700</xdr:rowOff>
    </xdr:to>
    <xdr:pic>
      <xdr:nvPicPr>
        <xdr:cNvPr id="221" name="Picture 107">
          <a:extLst>
            <a:ext uri="{FF2B5EF4-FFF2-40B4-BE49-F238E27FC236}">
              <a16:creationId xmlns:a16="http://schemas.microsoft.com/office/drawing/2014/main" id="{4F9FB76E-B3E2-4564-9502-D9892FC2250C}"/>
            </a:ext>
          </a:extLst>
        </xdr:cNvPr>
        <xdr:cNvPicPr>
          <a:picLocks noChangeArrowheads="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a:fillRect/>
        </a:stretch>
      </xdr:blipFill>
      <xdr:spPr bwMode="auto">
        <a:xfrm>
          <a:off x="2603499" y="22479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123</xdr:row>
      <xdr:rowOff>12700</xdr:rowOff>
    </xdr:from>
    <xdr:to>
      <xdr:col>4</xdr:col>
      <xdr:colOff>2603499</xdr:colOff>
      <xdr:row>123</xdr:row>
      <xdr:rowOff>1409700</xdr:rowOff>
    </xdr:to>
    <xdr:pic>
      <xdr:nvPicPr>
        <xdr:cNvPr id="222" name="Picture 108">
          <a:extLst>
            <a:ext uri="{FF2B5EF4-FFF2-40B4-BE49-F238E27FC236}">
              <a16:creationId xmlns:a16="http://schemas.microsoft.com/office/drawing/2014/main" id="{BF48E51D-3039-4B92-A959-805937AACBFC}"/>
            </a:ext>
          </a:extLst>
        </xdr:cNvPr>
        <xdr:cNvPicPr>
          <a:picLocks noChangeArrowheads="1"/>
        </xdr:cNvPicPr>
      </xdr:nvPicPr>
      <xdr:blipFill>
        <a:blip xmlns:r="http://schemas.openxmlformats.org/officeDocument/2006/relationships" r:embed="rId221">
          <a:extLst>
            <a:ext uri="{28A0092B-C50C-407E-A947-70E740481C1C}">
              <a14:useLocalDpi xmlns:a14="http://schemas.microsoft.com/office/drawing/2010/main" val="0"/>
            </a:ext>
          </a:extLst>
        </a:blip>
        <a:srcRect/>
        <a:stretch>
          <a:fillRect/>
        </a:stretch>
      </xdr:blipFill>
      <xdr:spPr bwMode="auto">
        <a:xfrm>
          <a:off x="2603499" y="22663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124</xdr:row>
      <xdr:rowOff>12700</xdr:rowOff>
    </xdr:from>
    <xdr:to>
      <xdr:col>4</xdr:col>
      <xdr:colOff>2603499</xdr:colOff>
      <xdr:row>124</xdr:row>
      <xdr:rowOff>1409700</xdr:rowOff>
    </xdr:to>
    <xdr:pic>
      <xdr:nvPicPr>
        <xdr:cNvPr id="223" name="Picture 109">
          <a:extLst>
            <a:ext uri="{FF2B5EF4-FFF2-40B4-BE49-F238E27FC236}">
              <a16:creationId xmlns:a16="http://schemas.microsoft.com/office/drawing/2014/main" id="{D28702F8-7084-4DB1-94BA-044094F96EDD}"/>
            </a:ext>
          </a:extLst>
        </xdr:cNvPr>
        <xdr:cNvPicPr>
          <a:picLocks noChangeArrowheads="1"/>
        </xdr:cNvPicPr>
      </xdr:nvPicPr>
      <xdr:blipFill>
        <a:blip xmlns:r="http://schemas.openxmlformats.org/officeDocument/2006/relationships" r:embed="rId222">
          <a:extLst>
            <a:ext uri="{28A0092B-C50C-407E-A947-70E740481C1C}">
              <a14:useLocalDpi xmlns:a14="http://schemas.microsoft.com/office/drawing/2010/main" val="0"/>
            </a:ext>
          </a:extLst>
        </a:blip>
        <a:srcRect/>
        <a:stretch>
          <a:fillRect/>
        </a:stretch>
      </xdr:blipFill>
      <xdr:spPr bwMode="auto">
        <a:xfrm>
          <a:off x="2603499" y="22847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125</xdr:row>
      <xdr:rowOff>12700</xdr:rowOff>
    </xdr:from>
    <xdr:to>
      <xdr:col>4</xdr:col>
      <xdr:colOff>2603499</xdr:colOff>
      <xdr:row>125</xdr:row>
      <xdr:rowOff>1409700</xdr:rowOff>
    </xdr:to>
    <xdr:pic>
      <xdr:nvPicPr>
        <xdr:cNvPr id="224" name="Picture 110">
          <a:extLst>
            <a:ext uri="{FF2B5EF4-FFF2-40B4-BE49-F238E27FC236}">
              <a16:creationId xmlns:a16="http://schemas.microsoft.com/office/drawing/2014/main" id="{550E8145-5181-4F18-A4B2-899B8A7DD6D5}"/>
            </a:ext>
          </a:extLst>
        </xdr:cNvPr>
        <xdr:cNvPicPr>
          <a:picLocks noChangeArrowheads="1"/>
        </xdr:cNvPicPr>
      </xdr:nvPicPr>
      <xdr:blipFill>
        <a:blip xmlns:r="http://schemas.openxmlformats.org/officeDocument/2006/relationships" r:embed="rId223">
          <a:extLst>
            <a:ext uri="{28A0092B-C50C-407E-A947-70E740481C1C}">
              <a14:useLocalDpi xmlns:a14="http://schemas.microsoft.com/office/drawing/2010/main" val="0"/>
            </a:ext>
          </a:extLst>
        </a:blip>
        <a:srcRect/>
        <a:stretch>
          <a:fillRect/>
        </a:stretch>
      </xdr:blipFill>
      <xdr:spPr bwMode="auto">
        <a:xfrm>
          <a:off x="2603499" y="23031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126</xdr:row>
      <xdr:rowOff>12700</xdr:rowOff>
    </xdr:from>
    <xdr:to>
      <xdr:col>4</xdr:col>
      <xdr:colOff>2603499</xdr:colOff>
      <xdr:row>126</xdr:row>
      <xdr:rowOff>1409700</xdr:rowOff>
    </xdr:to>
    <xdr:pic>
      <xdr:nvPicPr>
        <xdr:cNvPr id="225" name="Picture 111">
          <a:extLst>
            <a:ext uri="{FF2B5EF4-FFF2-40B4-BE49-F238E27FC236}">
              <a16:creationId xmlns:a16="http://schemas.microsoft.com/office/drawing/2014/main" id="{86B22AAC-4385-42A3-B6EF-770553E67781}"/>
            </a:ext>
          </a:extLst>
        </xdr:cNvPr>
        <xdr:cNvPicPr>
          <a:picLocks noChangeArrowheads="1"/>
        </xdr:cNvPicPr>
      </xdr:nvPicPr>
      <xdr:blipFill>
        <a:blip xmlns:r="http://schemas.openxmlformats.org/officeDocument/2006/relationships" r:embed="rId224">
          <a:extLst>
            <a:ext uri="{28A0092B-C50C-407E-A947-70E740481C1C}">
              <a14:useLocalDpi xmlns:a14="http://schemas.microsoft.com/office/drawing/2010/main" val="0"/>
            </a:ext>
          </a:extLst>
        </a:blip>
        <a:srcRect/>
        <a:stretch>
          <a:fillRect/>
        </a:stretch>
      </xdr:blipFill>
      <xdr:spPr bwMode="auto">
        <a:xfrm>
          <a:off x="2603499" y="23215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127</xdr:row>
      <xdr:rowOff>12700</xdr:rowOff>
    </xdr:from>
    <xdr:to>
      <xdr:col>4</xdr:col>
      <xdr:colOff>2603499</xdr:colOff>
      <xdr:row>127</xdr:row>
      <xdr:rowOff>1409700</xdr:rowOff>
    </xdr:to>
    <xdr:pic>
      <xdr:nvPicPr>
        <xdr:cNvPr id="226" name="Picture 112">
          <a:extLst>
            <a:ext uri="{FF2B5EF4-FFF2-40B4-BE49-F238E27FC236}">
              <a16:creationId xmlns:a16="http://schemas.microsoft.com/office/drawing/2014/main" id="{1B6AEB61-D6DC-42B6-B318-AF52B90A80BB}"/>
            </a:ext>
          </a:extLst>
        </xdr:cNvPr>
        <xdr:cNvPicPr>
          <a:picLocks noChangeArrowheads="1"/>
        </xdr:cNvPicPr>
      </xdr:nvPicPr>
      <xdr:blipFill>
        <a:blip xmlns:r="http://schemas.openxmlformats.org/officeDocument/2006/relationships" r:embed="rId225">
          <a:extLst>
            <a:ext uri="{28A0092B-C50C-407E-A947-70E740481C1C}">
              <a14:useLocalDpi xmlns:a14="http://schemas.microsoft.com/office/drawing/2010/main" val="0"/>
            </a:ext>
          </a:extLst>
        </a:blip>
        <a:srcRect/>
        <a:stretch>
          <a:fillRect/>
        </a:stretch>
      </xdr:blipFill>
      <xdr:spPr bwMode="auto">
        <a:xfrm>
          <a:off x="2603499" y="23399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129</xdr:row>
      <xdr:rowOff>12700</xdr:rowOff>
    </xdr:from>
    <xdr:to>
      <xdr:col>4</xdr:col>
      <xdr:colOff>2603499</xdr:colOff>
      <xdr:row>129</xdr:row>
      <xdr:rowOff>1409700</xdr:rowOff>
    </xdr:to>
    <xdr:pic>
      <xdr:nvPicPr>
        <xdr:cNvPr id="227" name="Picture 113">
          <a:extLst>
            <a:ext uri="{FF2B5EF4-FFF2-40B4-BE49-F238E27FC236}">
              <a16:creationId xmlns:a16="http://schemas.microsoft.com/office/drawing/2014/main" id="{EDA525D1-038E-4588-8CED-4E8E88892F82}"/>
            </a:ext>
          </a:extLst>
        </xdr:cNvPr>
        <xdr:cNvPicPr>
          <a:picLocks noChangeArrowheads="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a:fillRect/>
        </a:stretch>
      </xdr:blipFill>
      <xdr:spPr bwMode="auto">
        <a:xfrm>
          <a:off x="2603499" y="23768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130</xdr:row>
      <xdr:rowOff>12700</xdr:rowOff>
    </xdr:from>
    <xdr:to>
      <xdr:col>4</xdr:col>
      <xdr:colOff>2603499</xdr:colOff>
      <xdr:row>130</xdr:row>
      <xdr:rowOff>1409700</xdr:rowOff>
    </xdr:to>
    <xdr:pic>
      <xdr:nvPicPr>
        <xdr:cNvPr id="228" name="Picture 114">
          <a:extLst>
            <a:ext uri="{FF2B5EF4-FFF2-40B4-BE49-F238E27FC236}">
              <a16:creationId xmlns:a16="http://schemas.microsoft.com/office/drawing/2014/main" id="{0A5D1566-B8CF-4075-A9CD-296B2293E707}"/>
            </a:ext>
          </a:extLst>
        </xdr:cNvPr>
        <xdr:cNvPicPr>
          <a:picLocks noChangeArrowheads="1"/>
        </xdr:cNvPicPr>
      </xdr:nvPicPr>
      <xdr:blipFill>
        <a:blip xmlns:r="http://schemas.openxmlformats.org/officeDocument/2006/relationships" r:embed="rId227">
          <a:extLst>
            <a:ext uri="{28A0092B-C50C-407E-A947-70E740481C1C}">
              <a14:useLocalDpi xmlns:a14="http://schemas.microsoft.com/office/drawing/2010/main" val="0"/>
            </a:ext>
          </a:extLst>
        </a:blip>
        <a:srcRect/>
        <a:stretch>
          <a:fillRect/>
        </a:stretch>
      </xdr:blipFill>
      <xdr:spPr bwMode="auto">
        <a:xfrm>
          <a:off x="2603499" y="23952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131</xdr:row>
      <xdr:rowOff>12700</xdr:rowOff>
    </xdr:from>
    <xdr:to>
      <xdr:col>4</xdr:col>
      <xdr:colOff>2603499</xdr:colOff>
      <xdr:row>131</xdr:row>
      <xdr:rowOff>1409700</xdr:rowOff>
    </xdr:to>
    <xdr:pic>
      <xdr:nvPicPr>
        <xdr:cNvPr id="229" name="Picture 115">
          <a:extLst>
            <a:ext uri="{FF2B5EF4-FFF2-40B4-BE49-F238E27FC236}">
              <a16:creationId xmlns:a16="http://schemas.microsoft.com/office/drawing/2014/main" id="{F27DC4B1-C336-4CEB-91B5-81571AF42295}"/>
            </a:ext>
          </a:extLst>
        </xdr:cNvPr>
        <xdr:cNvPicPr>
          <a:picLocks noChangeArrowheads="1"/>
        </xdr:cNvPicPr>
      </xdr:nvPicPr>
      <xdr:blipFill>
        <a:blip xmlns:r="http://schemas.openxmlformats.org/officeDocument/2006/relationships" r:embed="rId228">
          <a:extLst>
            <a:ext uri="{28A0092B-C50C-407E-A947-70E740481C1C}">
              <a14:useLocalDpi xmlns:a14="http://schemas.microsoft.com/office/drawing/2010/main" val="0"/>
            </a:ext>
          </a:extLst>
        </a:blip>
        <a:srcRect/>
        <a:stretch>
          <a:fillRect/>
        </a:stretch>
      </xdr:blipFill>
      <xdr:spPr bwMode="auto">
        <a:xfrm>
          <a:off x="2603499" y="24136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132</xdr:row>
      <xdr:rowOff>12700</xdr:rowOff>
    </xdr:from>
    <xdr:to>
      <xdr:col>4</xdr:col>
      <xdr:colOff>2603499</xdr:colOff>
      <xdr:row>132</xdr:row>
      <xdr:rowOff>1409700</xdr:rowOff>
    </xdr:to>
    <xdr:pic>
      <xdr:nvPicPr>
        <xdr:cNvPr id="230" name="Picture 116">
          <a:extLst>
            <a:ext uri="{FF2B5EF4-FFF2-40B4-BE49-F238E27FC236}">
              <a16:creationId xmlns:a16="http://schemas.microsoft.com/office/drawing/2014/main" id="{C95DAFC9-F300-499F-A289-6495F490E18F}"/>
            </a:ext>
          </a:extLst>
        </xdr:cNvPr>
        <xdr:cNvPicPr>
          <a:picLocks noChangeArrowheads="1"/>
        </xdr:cNvPicPr>
      </xdr:nvPicPr>
      <xdr:blipFill>
        <a:blip xmlns:r="http://schemas.openxmlformats.org/officeDocument/2006/relationships" r:embed="rId229">
          <a:extLst>
            <a:ext uri="{28A0092B-C50C-407E-A947-70E740481C1C}">
              <a14:useLocalDpi xmlns:a14="http://schemas.microsoft.com/office/drawing/2010/main" val="0"/>
            </a:ext>
          </a:extLst>
        </a:blip>
        <a:srcRect/>
        <a:stretch>
          <a:fillRect/>
        </a:stretch>
      </xdr:blipFill>
      <xdr:spPr bwMode="auto">
        <a:xfrm>
          <a:off x="2603499" y="24320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133</xdr:row>
      <xdr:rowOff>12700</xdr:rowOff>
    </xdr:from>
    <xdr:to>
      <xdr:col>4</xdr:col>
      <xdr:colOff>2603499</xdr:colOff>
      <xdr:row>133</xdr:row>
      <xdr:rowOff>1409700</xdr:rowOff>
    </xdr:to>
    <xdr:pic>
      <xdr:nvPicPr>
        <xdr:cNvPr id="231" name="Picture 117">
          <a:extLst>
            <a:ext uri="{FF2B5EF4-FFF2-40B4-BE49-F238E27FC236}">
              <a16:creationId xmlns:a16="http://schemas.microsoft.com/office/drawing/2014/main" id="{E58CB30D-4FFC-4957-84D3-ADB88047A3CE}"/>
            </a:ext>
          </a:extLst>
        </xdr:cNvPr>
        <xdr:cNvPicPr>
          <a:picLocks noChangeArrowheads="1"/>
        </xdr:cNvPicPr>
      </xdr:nvPicPr>
      <xdr:blipFill>
        <a:blip xmlns:r="http://schemas.openxmlformats.org/officeDocument/2006/relationships" r:embed="rId230">
          <a:extLst>
            <a:ext uri="{28A0092B-C50C-407E-A947-70E740481C1C}">
              <a14:useLocalDpi xmlns:a14="http://schemas.microsoft.com/office/drawing/2010/main" val="0"/>
            </a:ext>
          </a:extLst>
        </a:blip>
        <a:srcRect/>
        <a:stretch>
          <a:fillRect/>
        </a:stretch>
      </xdr:blipFill>
      <xdr:spPr bwMode="auto">
        <a:xfrm>
          <a:off x="2603499" y="24504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134</xdr:row>
      <xdr:rowOff>12700</xdr:rowOff>
    </xdr:from>
    <xdr:to>
      <xdr:col>4</xdr:col>
      <xdr:colOff>2603499</xdr:colOff>
      <xdr:row>134</xdr:row>
      <xdr:rowOff>1409700</xdr:rowOff>
    </xdr:to>
    <xdr:pic>
      <xdr:nvPicPr>
        <xdr:cNvPr id="232" name="Picture 118">
          <a:extLst>
            <a:ext uri="{FF2B5EF4-FFF2-40B4-BE49-F238E27FC236}">
              <a16:creationId xmlns:a16="http://schemas.microsoft.com/office/drawing/2014/main" id="{F1C90926-2830-447D-BAD2-8BB20DEC389C}"/>
            </a:ext>
          </a:extLst>
        </xdr:cNvPr>
        <xdr:cNvPicPr>
          <a:picLocks noChangeArrowheads="1"/>
        </xdr:cNvPicPr>
      </xdr:nvPicPr>
      <xdr:blipFill>
        <a:blip xmlns:r="http://schemas.openxmlformats.org/officeDocument/2006/relationships" r:embed="rId231">
          <a:extLst>
            <a:ext uri="{28A0092B-C50C-407E-A947-70E740481C1C}">
              <a14:useLocalDpi xmlns:a14="http://schemas.microsoft.com/office/drawing/2010/main" val="0"/>
            </a:ext>
          </a:extLst>
        </a:blip>
        <a:srcRect/>
        <a:stretch>
          <a:fillRect/>
        </a:stretch>
      </xdr:blipFill>
      <xdr:spPr bwMode="auto">
        <a:xfrm>
          <a:off x="2603499" y="24688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135</xdr:row>
      <xdr:rowOff>12700</xdr:rowOff>
    </xdr:from>
    <xdr:to>
      <xdr:col>4</xdr:col>
      <xdr:colOff>2603499</xdr:colOff>
      <xdr:row>135</xdr:row>
      <xdr:rowOff>1409700</xdr:rowOff>
    </xdr:to>
    <xdr:pic>
      <xdr:nvPicPr>
        <xdr:cNvPr id="233" name="Picture 119">
          <a:extLst>
            <a:ext uri="{FF2B5EF4-FFF2-40B4-BE49-F238E27FC236}">
              <a16:creationId xmlns:a16="http://schemas.microsoft.com/office/drawing/2014/main" id="{9D01DA98-2F8B-4939-8793-759DDCAB2BC2}"/>
            </a:ext>
          </a:extLst>
        </xdr:cNvPr>
        <xdr:cNvPicPr>
          <a:picLocks noChangeArrowheads="1"/>
        </xdr:cNvPicPr>
      </xdr:nvPicPr>
      <xdr:blipFill>
        <a:blip xmlns:r="http://schemas.openxmlformats.org/officeDocument/2006/relationships" r:embed="rId232">
          <a:extLst>
            <a:ext uri="{28A0092B-C50C-407E-A947-70E740481C1C}">
              <a14:useLocalDpi xmlns:a14="http://schemas.microsoft.com/office/drawing/2010/main" val="0"/>
            </a:ext>
          </a:extLst>
        </a:blip>
        <a:srcRect/>
        <a:stretch>
          <a:fillRect/>
        </a:stretch>
      </xdr:blipFill>
      <xdr:spPr bwMode="auto">
        <a:xfrm>
          <a:off x="2603499" y="24872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136</xdr:row>
      <xdr:rowOff>12700</xdr:rowOff>
    </xdr:from>
    <xdr:to>
      <xdr:col>4</xdr:col>
      <xdr:colOff>2603499</xdr:colOff>
      <xdr:row>136</xdr:row>
      <xdr:rowOff>1409700</xdr:rowOff>
    </xdr:to>
    <xdr:pic>
      <xdr:nvPicPr>
        <xdr:cNvPr id="234" name="Picture 120">
          <a:extLst>
            <a:ext uri="{FF2B5EF4-FFF2-40B4-BE49-F238E27FC236}">
              <a16:creationId xmlns:a16="http://schemas.microsoft.com/office/drawing/2014/main" id="{FE432B9E-F4C0-4E07-AF84-F30E8A037B64}"/>
            </a:ext>
          </a:extLst>
        </xdr:cNvPr>
        <xdr:cNvPicPr>
          <a:picLocks noChangeArrowheads="1"/>
        </xdr:cNvPicPr>
      </xdr:nvPicPr>
      <xdr:blipFill>
        <a:blip xmlns:r="http://schemas.openxmlformats.org/officeDocument/2006/relationships" r:embed="rId233">
          <a:extLst>
            <a:ext uri="{28A0092B-C50C-407E-A947-70E740481C1C}">
              <a14:useLocalDpi xmlns:a14="http://schemas.microsoft.com/office/drawing/2010/main" val="0"/>
            </a:ext>
          </a:extLst>
        </a:blip>
        <a:srcRect/>
        <a:stretch>
          <a:fillRect/>
        </a:stretch>
      </xdr:blipFill>
      <xdr:spPr bwMode="auto">
        <a:xfrm>
          <a:off x="2603499" y="25057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137</xdr:row>
      <xdr:rowOff>12700</xdr:rowOff>
    </xdr:from>
    <xdr:to>
      <xdr:col>4</xdr:col>
      <xdr:colOff>2603499</xdr:colOff>
      <xdr:row>137</xdr:row>
      <xdr:rowOff>1409700</xdr:rowOff>
    </xdr:to>
    <xdr:pic>
      <xdr:nvPicPr>
        <xdr:cNvPr id="235" name="Picture 121">
          <a:extLst>
            <a:ext uri="{FF2B5EF4-FFF2-40B4-BE49-F238E27FC236}">
              <a16:creationId xmlns:a16="http://schemas.microsoft.com/office/drawing/2014/main" id="{2446B2D1-2EA8-4F4B-81E9-D3A65AA637D4}"/>
            </a:ext>
          </a:extLst>
        </xdr:cNvPr>
        <xdr:cNvPicPr>
          <a:picLocks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2603499" y="25241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139</xdr:row>
      <xdr:rowOff>12700</xdr:rowOff>
    </xdr:from>
    <xdr:to>
      <xdr:col>4</xdr:col>
      <xdr:colOff>2603499</xdr:colOff>
      <xdr:row>139</xdr:row>
      <xdr:rowOff>1409700</xdr:rowOff>
    </xdr:to>
    <xdr:pic>
      <xdr:nvPicPr>
        <xdr:cNvPr id="236" name="Picture 122">
          <a:extLst>
            <a:ext uri="{FF2B5EF4-FFF2-40B4-BE49-F238E27FC236}">
              <a16:creationId xmlns:a16="http://schemas.microsoft.com/office/drawing/2014/main" id="{218E6C53-B5CD-4344-81A7-465F572392F9}"/>
            </a:ext>
          </a:extLst>
        </xdr:cNvPr>
        <xdr:cNvPicPr>
          <a:picLocks noChangeArrowheads="1"/>
        </xdr:cNvPicPr>
      </xdr:nvPicPr>
      <xdr:blipFill>
        <a:blip xmlns:r="http://schemas.openxmlformats.org/officeDocument/2006/relationships" r:embed="rId235">
          <a:extLst>
            <a:ext uri="{28A0092B-C50C-407E-A947-70E740481C1C}">
              <a14:useLocalDpi xmlns:a14="http://schemas.microsoft.com/office/drawing/2010/main" val="0"/>
            </a:ext>
          </a:extLst>
        </a:blip>
        <a:srcRect/>
        <a:stretch>
          <a:fillRect/>
        </a:stretch>
      </xdr:blipFill>
      <xdr:spPr bwMode="auto">
        <a:xfrm>
          <a:off x="2603499" y="25609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140</xdr:row>
      <xdr:rowOff>12700</xdr:rowOff>
    </xdr:from>
    <xdr:to>
      <xdr:col>4</xdr:col>
      <xdr:colOff>2603499</xdr:colOff>
      <xdr:row>140</xdr:row>
      <xdr:rowOff>1409700</xdr:rowOff>
    </xdr:to>
    <xdr:pic>
      <xdr:nvPicPr>
        <xdr:cNvPr id="237" name="Picture 123">
          <a:extLst>
            <a:ext uri="{FF2B5EF4-FFF2-40B4-BE49-F238E27FC236}">
              <a16:creationId xmlns:a16="http://schemas.microsoft.com/office/drawing/2014/main" id="{DF27B81E-6EE6-4C37-BA0F-AD7B18FDBCDC}"/>
            </a:ext>
          </a:extLst>
        </xdr:cNvPr>
        <xdr:cNvPicPr>
          <a:picLocks noChangeArrowheads="1"/>
        </xdr:cNvPicPr>
      </xdr:nvPicPr>
      <xdr:blipFill>
        <a:blip xmlns:r="http://schemas.openxmlformats.org/officeDocument/2006/relationships" r:embed="rId236">
          <a:extLst>
            <a:ext uri="{28A0092B-C50C-407E-A947-70E740481C1C}">
              <a14:useLocalDpi xmlns:a14="http://schemas.microsoft.com/office/drawing/2010/main" val="0"/>
            </a:ext>
          </a:extLst>
        </a:blip>
        <a:srcRect/>
        <a:stretch>
          <a:fillRect/>
        </a:stretch>
      </xdr:blipFill>
      <xdr:spPr bwMode="auto">
        <a:xfrm>
          <a:off x="2603499" y="25793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141</xdr:row>
      <xdr:rowOff>12700</xdr:rowOff>
    </xdr:from>
    <xdr:to>
      <xdr:col>4</xdr:col>
      <xdr:colOff>2603499</xdr:colOff>
      <xdr:row>141</xdr:row>
      <xdr:rowOff>1409700</xdr:rowOff>
    </xdr:to>
    <xdr:pic>
      <xdr:nvPicPr>
        <xdr:cNvPr id="238" name="Picture 124">
          <a:extLst>
            <a:ext uri="{FF2B5EF4-FFF2-40B4-BE49-F238E27FC236}">
              <a16:creationId xmlns:a16="http://schemas.microsoft.com/office/drawing/2014/main" id="{EBDE6044-9E86-466B-AF25-BF10663D07D0}"/>
            </a:ext>
          </a:extLst>
        </xdr:cNvPr>
        <xdr:cNvPicPr>
          <a:picLocks noChangeArrowheads="1"/>
        </xdr:cNvPicPr>
      </xdr:nvPicPr>
      <xdr:blipFill>
        <a:blip xmlns:r="http://schemas.openxmlformats.org/officeDocument/2006/relationships" r:embed="rId237">
          <a:extLst>
            <a:ext uri="{28A0092B-C50C-407E-A947-70E740481C1C}">
              <a14:useLocalDpi xmlns:a14="http://schemas.microsoft.com/office/drawing/2010/main" val="0"/>
            </a:ext>
          </a:extLst>
        </a:blip>
        <a:srcRect/>
        <a:stretch>
          <a:fillRect/>
        </a:stretch>
      </xdr:blipFill>
      <xdr:spPr bwMode="auto">
        <a:xfrm>
          <a:off x="2603499" y="25977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142</xdr:row>
      <xdr:rowOff>12700</xdr:rowOff>
    </xdr:from>
    <xdr:to>
      <xdr:col>4</xdr:col>
      <xdr:colOff>2603499</xdr:colOff>
      <xdr:row>142</xdr:row>
      <xdr:rowOff>1409700</xdr:rowOff>
    </xdr:to>
    <xdr:pic>
      <xdr:nvPicPr>
        <xdr:cNvPr id="239" name="Picture 125">
          <a:extLst>
            <a:ext uri="{FF2B5EF4-FFF2-40B4-BE49-F238E27FC236}">
              <a16:creationId xmlns:a16="http://schemas.microsoft.com/office/drawing/2014/main" id="{487270CD-B478-430B-AB4F-C591B9AE4009}"/>
            </a:ext>
          </a:extLst>
        </xdr:cNvPr>
        <xdr:cNvPicPr>
          <a:picLocks noChangeArrowheads="1"/>
        </xdr:cNvPicPr>
      </xdr:nvPicPr>
      <xdr:blipFill>
        <a:blip xmlns:r="http://schemas.openxmlformats.org/officeDocument/2006/relationships" r:embed="rId238">
          <a:extLst>
            <a:ext uri="{28A0092B-C50C-407E-A947-70E740481C1C}">
              <a14:useLocalDpi xmlns:a14="http://schemas.microsoft.com/office/drawing/2010/main" val="0"/>
            </a:ext>
          </a:extLst>
        </a:blip>
        <a:srcRect/>
        <a:stretch>
          <a:fillRect/>
        </a:stretch>
      </xdr:blipFill>
      <xdr:spPr bwMode="auto">
        <a:xfrm>
          <a:off x="2603499" y="26162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143</xdr:row>
      <xdr:rowOff>12700</xdr:rowOff>
    </xdr:from>
    <xdr:to>
      <xdr:col>4</xdr:col>
      <xdr:colOff>2603499</xdr:colOff>
      <xdr:row>143</xdr:row>
      <xdr:rowOff>1409700</xdr:rowOff>
    </xdr:to>
    <xdr:pic>
      <xdr:nvPicPr>
        <xdr:cNvPr id="240" name="Picture 126">
          <a:extLst>
            <a:ext uri="{FF2B5EF4-FFF2-40B4-BE49-F238E27FC236}">
              <a16:creationId xmlns:a16="http://schemas.microsoft.com/office/drawing/2014/main" id="{1D6C1F95-4F3E-4572-93C2-25FE149DDCB5}"/>
            </a:ext>
          </a:extLst>
        </xdr:cNvPr>
        <xdr:cNvPicPr>
          <a:picLocks noChangeArrowheads="1"/>
        </xdr:cNvPicPr>
      </xdr:nvPicPr>
      <xdr:blipFill>
        <a:blip xmlns:r="http://schemas.openxmlformats.org/officeDocument/2006/relationships" r:embed="rId239">
          <a:extLst>
            <a:ext uri="{28A0092B-C50C-407E-A947-70E740481C1C}">
              <a14:useLocalDpi xmlns:a14="http://schemas.microsoft.com/office/drawing/2010/main" val="0"/>
            </a:ext>
          </a:extLst>
        </a:blip>
        <a:srcRect/>
        <a:stretch>
          <a:fillRect/>
        </a:stretch>
      </xdr:blipFill>
      <xdr:spPr bwMode="auto">
        <a:xfrm>
          <a:off x="2603499" y="26346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144</xdr:row>
      <xdr:rowOff>12700</xdr:rowOff>
    </xdr:from>
    <xdr:to>
      <xdr:col>4</xdr:col>
      <xdr:colOff>2603499</xdr:colOff>
      <xdr:row>144</xdr:row>
      <xdr:rowOff>1409700</xdr:rowOff>
    </xdr:to>
    <xdr:pic>
      <xdr:nvPicPr>
        <xdr:cNvPr id="241" name="Picture 127">
          <a:extLst>
            <a:ext uri="{FF2B5EF4-FFF2-40B4-BE49-F238E27FC236}">
              <a16:creationId xmlns:a16="http://schemas.microsoft.com/office/drawing/2014/main" id="{011FCCD5-92C9-43A7-A306-70E2D82D7A7A}"/>
            </a:ext>
          </a:extLst>
        </xdr:cNvPr>
        <xdr:cNvPicPr>
          <a:picLocks noChangeArrowheads="1"/>
        </xdr:cNvPicPr>
      </xdr:nvPicPr>
      <xdr:blipFill>
        <a:blip xmlns:r="http://schemas.openxmlformats.org/officeDocument/2006/relationships" r:embed="rId240">
          <a:extLst>
            <a:ext uri="{28A0092B-C50C-407E-A947-70E740481C1C}">
              <a14:useLocalDpi xmlns:a14="http://schemas.microsoft.com/office/drawing/2010/main" val="0"/>
            </a:ext>
          </a:extLst>
        </a:blip>
        <a:srcRect/>
        <a:stretch>
          <a:fillRect/>
        </a:stretch>
      </xdr:blipFill>
      <xdr:spPr bwMode="auto">
        <a:xfrm>
          <a:off x="2603499" y="26530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145</xdr:row>
      <xdr:rowOff>12700</xdr:rowOff>
    </xdr:from>
    <xdr:to>
      <xdr:col>4</xdr:col>
      <xdr:colOff>2603499</xdr:colOff>
      <xdr:row>145</xdr:row>
      <xdr:rowOff>1409700</xdr:rowOff>
    </xdr:to>
    <xdr:pic>
      <xdr:nvPicPr>
        <xdr:cNvPr id="242" name="Picture 128">
          <a:extLst>
            <a:ext uri="{FF2B5EF4-FFF2-40B4-BE49-F238E27FC236}">
              <a16:creationId xmlns:a16="http://schemas.microsoft.com/office/drawing/2014/main" id="{8891E30B-B0F9-409B-A303-AA9A764E8B95}"/>
            </a:ext>
          </a:extLst>
        </xdr:cNvPr>
        <xdr:cNvPicPr>
          <a:picLocks noChangeArrowheads="1"/>
        </xdr:cNvPicPr>
      </xdr:nvPicPr>
      <xdr:blipFill>
        <a:blip xmlns:r="http://schemas.openxmlformats.org/officeDocument/2006/relationships" r:embed="rId241">
          <a:extLst>
            <a:ext uri="{28A0092B-C50C-407E-A947-70E740481C1C}">
              <a14:useLocalDpi xmlns:a14="http://schemas.microsoft.com/office/drawing/2010/main" val="0"/>
            </a:ext>
          </a:extLst>
        </a:blip>
        <a:srcRect/>
        <a:stretch>
          <a:fillRect/>
        </a:stretch>
      </xdr:blipFill>
      <xdr:spPr bwMode="auto">
        <a:xfrm>
          <a:off x="2603499" y="26714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146</xdr:row>
      <xdr:rowOff>12700</xdr:rowOff>
    </xdr:from>
    <xdr:to>
      <xdr:col>4</xdr:col>
      <xdr:colOff>2603499</xdr:colOff>
      <xdr:row>146</xdr:row>
      <xdr:rowOff>1409700</xdr:rowOff>
    </xdr:to>
    <xdr:pic>
      <xdr:nvPicPr>
        <xdr:cNvPr id="243" name="Picture 129">
          <a:extLst>
            <a:ext uri="{FF2B5EF4-FFF2-40B4-BE49-F238E27FC236}">
              <a16:creationId xmlns:a16="http://schemas.microsoft.com/office/drawing/2014/main" id="{BC4AC1F4-BC02-447B-9B7E-06F0AAF8FC64}"/>
            </a:ext>
          </a:extLst>
        </xdr:cNvPr>
        <xdr:cNvPicPr>
          <a:picLocks noChangeArrowheads="1"/>
        </xdr:cNvPicPr>
      </xdr:nvPicPr>
      <xdr:blipFill>
        <a:blip xmlns:r="http://schemas.openxmlformats.org/officeDocument/2006/relationships" r:embed="rId242">
          <a:extLst>
            <a:ext uri="{28A0092B-C50C-407E-A947-70E740481C1C}">
              <a14:useLocalDpi xmlns:a14="http://schemas.microsoft.com/office/drawing/2010/main" val="0"/>
            </a:ext>
          </a:extLst>
        </a:blip>
        <a:srcRect/>
        <a:stretch>
          <a:fillRect/>
        </a:stretch>
      </xdr:blipFill>
      <xdr:spPr bwMode="auto">
        <a:xfrm>
          <a:off x="2603499" y="26898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147</xdr:row>
      <xdr:rowOff>12700</xdr:rowOff>
    </xdr:from>
    <xdr:to>
      <xdr:col>4</xdr:col>
      <xdr:colOff>2603499</xdr:colOff>
      <xdr:row>147</xdr:row>
      <xdr:rowOff>1409700</xdr:rowOff>
    </xdr:to>
    <xdr:pic>
      <xdr:nvPicPr>
        <xdr:cNvPr id="244" name="Picture 130">
          <a:extLst>
            <a:ext uri="{FF2B5EF4-FFF2-40B4-BE49-F238E27FC236}">
              <a16:creationId xmlns:a16="http://schemas.microsoft.com/office/drawing/2014/main" id="{02B263CE-9005-4371-AFF3-26784FE1E732}"/>
            </a:ext>
          </a:extLst>
        </xdr:cNvPr>
        <xdr:cNvPicPr>
          <a:picLocks noChangeArrowheads="1"/>
        </xdr:cNvPicPr>
      </xdr:nvPicPr>
      <xdr:blipFill>
        <a:blip xmlns:r="http://schemas.openxmlformats.org/officeDocument/2006/relationships" r:embed="rId243">
          <a:extLst>
            <a:ext uri="{28A0092B-C50C-407E-A947-70E740481C1C}">
              <a14:useLocalDpi xmlns:a14="http://schemas.microsoft.com/office/drawing/2010/main" val="0"/>
            </a:ext>
          </a:extLst>
        </a:blip>
        <a:srcRect/>
        <a:stretch>
          <a:fillRect/>
        </a:stretch>
      </xdr:blipFill>
      <xdr:spPr bwMode="auto">
        <a:xfrm>
          <a:off x="2603499" y="27082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148</xdr:row>
      <xdr:rowOff>12700</xdr:rowOff>
    </xdr:from>
    <xdr:to>
      <xdr:col>4</xdr:col>
      <xdr:colOff>2603499</xdr:colOff>
      <xdr:row>148</xdr:row>
      <xdr:rowOff>1409700</xdr:rowOff>
    </xdr:to>
    <xdr:pic>
      <xdr:nvPicPr>
        <xdr:cNvPr id="245" name="Picture 131">
          <a:extLst>
            <a:ext uri="{FF2B5EF4-FFF2-40B4-BE49-F238E27FC236}">
              <a16:creationId xmlns:a16="http://schemas.microsoft.com/office/drawing/2014/main" id="{325EF6D1-98A3-41FF-A884-3606A52B5ED9}"/>
            </a:ext>
          </a:extLst>
        </xdr:cNvPr>
        <xdr:cNvPicPr>
          <a:picLocks noChangeArrowheads="1"/>
        </xdr:cNvPicPr>
      </xdr:nvPicPr>
      <xdr:blipFill>
        <a:blip xmlns:r="http://schemas.openxmlformats.org/officeDocument/2006/relationships" r:embed="rId244">
          <a:extLst>
            <a:ext uri="{28A0092B-C50C-407E-A947-70E740481C1C}">
              <a14:useLocalDpi xmlns:a14="http://schemas.microsoft.com/office/drawing/2010/main" val="0"/>
            </a:ext>
          </a:extLst>
        </a:blip>
        <a:srcRect/>
        <a:stretch>
          <a:fillRect/>
        </a:stretch>
      </xdr:blipFill>
      <xdr:spPr bwMode="auto">
        <a:xfrm>
          <a:off x="2603499" y="27266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149</xdr:row>
      <xdr:rowOff>12700</xdr:rowOff>
    </xdr:from>
    <xdr:to>
      <xdr:col>4</xdr:col>
      <xdr:colOff>2603499</xdr:colOff>
      <xdr:row>149</xdr:row>
      <xdr:rowOff>1409700</xdr:rowOff>
    </xdr:to>
    <xdr:pic>
      <xdr:nvPicPr>
        <xdr:cNvPr id="246" name="Picture 132">
          <a:extLst>
            <a:ext uri="{FF2B5EF4-FFF2-40B4-BE49-F238E27FC236}">
              <a16:creationId xmlns:a16="http://schemas.microsoft.com/office/drawing/2014/main" id="{0F710655-EE1E-44FA-9FE5-92B377F4AF8A}"/>
            </a:ext>
          </a:extLst>
        </xdr:cNvPr>
        <xdr:cNvPicPr>
          <a:picLocks noChangeArrowheads="1"/>
        </xdr:cNvPicPr>
      </xdr:nvPicPr>
      <xdr:blipFill>
        <a:blip xmlns:r="http://schemas.openxmlformats.org/officeDocument/2006/relationships" r:embed="rId245">
          <a:extLst>
            <a:ext uri="{28A0092B-C50C-407E-A947-70E740481C1C}">
              <a14:useLocalDpi xmlns:a14="http://schemas.microsoft.com/office/drawing/2010/main" val="0"/>
            </a:ext>
          </a:extLst>
        </a:blip>
        <a:srcRect/>
        <a:stretch>
          <a:fillRect/>
        </a:stretch>
      </xdr:blipFill>
      <xdr:spPr bwMode="auto">
        <a:xfrm>
          <a:off x="2603499" y="27451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150</xdr:row>
      <xdr:rowOff>12700</xdr:rowOff>
    </xdr:from>
    <xdr:to>
      <xdr:col>4</xdr:col>
      <xdr:colOff>2603499</xdr:colOff>
      <xdr:row>150</xdr:row>
      <xdr:rowOff>1409700</xdr:rowOff>
    </xdr:to>
    <xdr:pic>
      <xdr:nvPicPr>
        <xdr:cNvPr id="247" name="Picture 133">
          <a:extLst>
            <a:ext uri="{FF2B5EF4-FFF2-40B4-BE49-F238E27FC236}">
              <a16:creationId xmlns:a16="http://schemas.microsoft.com/office/drawing/2014/main" id="{07FA128C-25AA-42E3-91C4-95CFB7FA076E}"/>
            </a:ext>
          </a:extLst>
        </xdr:cNvPr>
        <xdr:cNvPicPr>
          <a:picLocks noChangeArrowheads="1"/>
        </xdr:cNvPicPr>
      </xdr:nvPicPr>
      <xdr:blipFill>
        <a:blip xmlns:r="http://schemas.openxmlformats.org/officeDocument/2006/relationships" r:embed="rId246">
          <a:extLst>
            <a:ext uri="{28A0092B-C50C-407E-A947-70E740481C1C}">
              <a14:useLocalDpi xmlns:a14="http://schemas.microsoft.com/office/drawing/2010/main" val="0"/>
            </a:ext>
          </a:extLst>
        </a:blip>
        <a:srcRect/>
        <a:stretch>
          <a:fillRect/>
        </a:stretch>
      </xdr:blipFill>
      <xdr:spPr bwMode="auto">
        <a:xfrm>
          <a:off x="2603499" y="27635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151</xdr:row>
      <xdr:rowOff>12700</xdr:rowOff>
    </xdr:from>
    <xdr:to>
      <xdr:col>4</xdr:col>
      <xdr:colOff>2603499</xdr:colOff>
      <xdr:row>151</xdr:row>
      <xdr:rowOff>1409700</xdr:rowOff>
    </xdr:to>
    <xdr:pic>
      <xdr:nvPicPr>
        <xdr:cNvPr id="248" name="Picture 134">
          <a:extLst>
            <a:ext uri="{FF2B5EF4-FFF2-40B4-BE49-F238E27FC236}">
              <a16:creationId xmlns:a16="http://schemas.microsoft.com/office/drawing/2014/main" id="{473BDA1E-DA8E-458E-8E46-2F0E059E7550}"/>
            </a:ext>
          </a:extLst>
        </xdr:cNvPr>
        <xdr:cNvPicPr>
          <a:picLocks noChangeArrowheads="1"/>
        </xdr:cNvPicPr>
      </xdr:nvPicPr>
      <xdr:blipFill>
        <a:blip xmlns:r="http://schemas.openxmlformats.org/officeDocument/2006/relationships" r:embed="rId247">
          <a:extLst>
            <a:ext uri="{28A0092B-C50C-407E-A947-70E740481C1C}">
              <a14:useLocalDpi xmlns:a14="http://schemas.microsoft.com/office/drawing/2010/main" val="0"/>
            </a:ext>
          </a:extLst>
        </a:blip>
        <a:srcRect/>
        <a:stretch>
          <a:fillRect/>
        </a:stretch>
      </xdr:blipFill>
      <xdr:spPr bwMode="auto">
        <a:xfrm>
          <a:off x="2603499" y="27819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152</xdr:row>
      <xdr:rowOff>12700</xdr:rowOff>
    </xdr:from>
    <xdr:to>
      <xdr:col>4</xdr:col>
      <xdr:colOff>2603499</xdr:colOff>
      <xdr:row>152</xdr:row>
      <xdr:rowOff>1409700</xdr:rowOff>
    </xdr:to>
    <xdr:pic>
      <xdr:nvPicPr>
        <xdr:cNvPr id="249" name="Picture 135">
          <a:extLst>
            <a:ext uri="{FF2B5EF4-FFF2-40B4-BE49-F238E27FC236}">
              <a16:creationId xmlns:a16="http://schemas.microsoft.com/office/drawing/2014/main" id="{3BD6210E-2794-4E42-B7B1-55E33D7702AF}"/>
            </a:ext>
          </a:extLst>
        </xdr:cNvPr>
        <xdr:cNvPicPr>
          <a:picLocks noChangeArrowheads="1"/>
        </xdr:cNvPicPr>
      </xdr:nvPicPr>
      <xdr:blipFill>
        <a:blip xmlns:r="http://schemas.openxmlformats.org/officeDocument/2006/relationships" r:embed="rId248">
          <a:extLst>
            <a:ext uri="{28A0092B-C50C-407E-A947-70E740481C1C}">
              <a14:useLocalDpi xmlns:a14="http://schemas.microsoft.com/office/drawing/2010/main" val="0"/>
            </a:ext>
          </a:extLst>
        </a:blip>
        <a:srcRect/>
        <a:stretch>
          <a:fillRect/>
        </a:stretch>
      </xdr:blipFill>
      <xdr:spPr bwMode="auto">
        <a:xfrm>
          <a:off x="2603499" y="28003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153</xdr:row>
      <xdr:rowOff>12700</xdr:rowOff>
    </xdr:from>
    <xdr:to>
      <xdr:col>4</xdr:col>
      <xdr:colOff>2603499</xdr:colOff>
      <xdr:row>153</xdr:row>
      <xdr:rowOff>1409700</xdr:rowOff>
    </xdr:to>
    <xdr:pic>
      <xdr:nvPicPr>
        <xdr:cNvPr id="250" name="Picture 136">
          <a:extLst>
            <a:ext uri="{FF2B5EF4-FFF2-40B4-BE49-F238E27FC236}">
              <a16:creationId xmlns:a16="http://schemas.microsoft.com/office/drawing/2014/main" id="{4D8851A4-4F5A-4E3F-A562-B1A3F6CDFA08}"/>
            </a:ext>
          </a:extLst>
        </xdr:cNvPr>
        <xdr:cNvPicPr>
          <a:picLocks noChangeArrowheads="1"/>
        </xdr:cNvPicPr>
      </xdr:nvPicPr>
      <xdr:blipFill>
        <a:blip xmlns:r="http://schemas.openxmlformats.org/officeDocument/2006/relationships" r:embed="rId249">
          <a:extLst>
            <a:ext uri="{28A0092B-C50C-407E-A947-70E740481C1C}">
              <a14:useLocalDpi xmlns:a14="http://schemas.microsoft.com/office/drawing/2010/main" val="0"/>
            </a:ext>
          </a:extLst>
        </a:blip>
        <a:srcRect/>
        <a:stretch>
          <a:fillRect/>
        </a:stretch>
      </xdr:blipFill>
      <xdr:spPr bwMode="auto">
        <a:xfrm>
          <a:off x="2603499" y="28187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154</xdr:row>
      <xdr:rowOff>12700</xdr:rowOff>
    </xdr:from>
    <xdr:to>
      <xdr:col>4</xdr:col>
      <xdr:colOff>2603499</xdr:colOff>
      <xdr:row>154</xdr:row>
      <xdr:rowOff>1409700</xdr:rowOff>
    </xdr:to>
    <xdr:pic>
      <xdr:nvPicPr>
        <xdr:cNvPr id="251" name="Picture 137">
          <a:extLst>
            <a:ext uri="{FF2B5EF4-FFF2-40B4-BE49-F238E27FC236}">
              <a16:creationId xmlns:a16="http://schemas.microsoft.com/office/drawing/2014/main" id="{F57B762B-C3F8-41F3-B369-CA537B6FD29A}"/>
            </a:ext>
          </a:extLst>
        </xdr:cNvPr>
        <xdr:cNvPicPr>
          <a:picLocks noChangeArrowheads="1"/>
        </xdr:cNvPicPr>
      </xdr:nvPicPr>
      <xdr:blipFill>
        <a:blip xmlns:r="http://schemas.openxmlformats.org/officeDocument/2006/relationships" r:embed="rId250">
          <a:extLst>
            <a:ext uri="{28A0092B-C50C-407E-A947-70E740481C1C}">
              <a14:useLocalDpi xmlns:a14="http://schemas.microsoft.com/office/drawing/2010/main" val="0"/>
            </a:ext>
          </a:extLst>
        </a:blip>
        <a:srcRect/>
        <a:stretch>
          <a:fillRect/>
        </a:stretch>
      </xdr:blipFill>
      <xdr:spPr bwMode="auto">
        <a:xfrm>
          <a:off x="2603499" y="28371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155</xdr:row>
      <xdr:rowOff>12700</xdr:rowOff>
    </xdr:from>
    <xdr:to>
      <xdr:col>4</xdr:col>
      <xdr:colOff>2603499</xdr:colOff>
      <xdr:row>155</xdr:row>
      <xdr:rowOff>1409700</xdr:rowOff>
    </xdr:to>
    <xdr:pic>
      <xdr:nvPicPr>
        <xdr:cNvPr id="252" name="Picture 138">
          <a:extLst>
            <a:ext uri="{FF2B5EF4-FFF2-40B4-BE49-F238E27FC236}">
              <a16:creationId xmlns:a16="http://schemas.microsoft.com/office/drawing/2014/main" id="{8EB7E3B5-DD74-44E8-8DE0-36B699A3397A}"/>
            </a:ext>
          </a:extLst>
        </xdr:cNvPr>
        <xdr:cNvPicPr>
          <a:picLocks noChangeArrowheads="1"/>
        </xdr:cNvPicPr>
      </xdr:nvPicPr>
      <xdr:blipFill>
        <a:blip xmlns:r="http://schemas.openxmlformats.org/officeDocument/2006/relationships" r:embed="rId251">
          <a:extLst>
            <a:ext uri="{28A0092B-C50C-407E-A947-70E740481C1C}">
              <a14:useLocalDpi xmlns:a14="http://schemas.microsoft.com/office/drawing/2010/main" val="0"/>
            </a:ext>
          </a:extLst>
        </a:blip>
        <a:srcRect/>
        <a:stretch>
          <a:fillRect/>
        </a:stretch>
      </xdr:blipFill>
      <xdr:spPr bwMode="auto">
        <a:xfrm>
          <a:off x="2603499" y="28555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156</xdr:row>
      <xdr:rowOff>12700</xdr:rowOff>
    </xdr:from>
    <xdr:to>
      <xdr:col>4</xdr:col>
      <xdr:colOff>2603499</xdr:colOff>
      <xdr:row>156</xdr:row>
      <xdr:rowOff>1409700</xdr:rowOff>
    </xdr:to>
    <xdr:pic>
      <xdr:nvPicPr>
        <xdr:cNvPr id="253" name="Picture 139">
          <a:extLst>
            <a:ext uri="{FF2B5EF4-FFF2-40B4-BE49-F238E27FC236}">
              <a16:creationId xmlns:a16="http://schemas.microsoft.com/office/drawing/2014/main" id="{A1B8C03F-34DC-487B-A489-D9C1ED1D4B72}"/>
            </a:ext>
          </a:extLst>
        </xdr:cNvPr>
        <xdr:cNvPicPr>
          <a:picLocks noChangeArrowheads="1"/>
        </xdr:cNvPicPr>
      </xdr:nvPicPr>
      <xdr:blipFill>
        <a:blip xmlns:r="http://schemas.openxmlformats.org/officeDocument/2006/relationships" r:embed="rId252">
          <a:extLst>
            <a:ext uri="{28A0092B-C50C-407E-A947-70E740481C1C}">
              <a14:useLocalDpi xmlns:a14="http://schemas.microsoft.com/office/drawing/2010/main" val="0"/>
            </a:ext>
          </a:extLst>
        </a:blip>
        <a:srcRect/>
        <a:stretch>
          <a:fillRect/>
        </a:stretch>
      </xdr:blipFill>
      <xdr:spPr bwMode="auto">
        <a:xfrm>
          <a:off x="2603499" y="28740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157</xdr:row>
      <xdr:rowOff>12700</xdr:rowOff>
    </xdr:from>
    <xdr:to>
      <xdr:col>4</xdr:col>
      <xdr:colOff>2603499</xdr:colOff>
      <xdr:row>157</xdr:row>
      <xdr:rowOff>1409700</xdr:rowOff>
    </xdr:to>
    <xdr:pic>
      <xdr:nvPicPr>
        <xdr:cNvPr id="254" name="Picture 140">
          <a:extLst>
            <a:ext uri="{FF2B5EF4-FFF2-40B4-BE49-F238E27FC236}">
              <a16:creationId xmlns:a16="http://schemas.microsoft.com/office/drawing/2014/main" id="{2C50FFD6-5CE9-4C10-8C33-F89286AEF896}"/>
            </a:ext>
          </a:extLst>
        </xdr:cNvPr>
        <xdr:cNvPicPr>
          <a:picLocks noChangeArrowheads="1"/>
        </xdr:cNvPicPr>
      </xdr:nvPicPr>
      <xdr:blipFill>
        <a:blip xmlns:r="http://schemas.openxmlformats.org/officeDocument/2006/relationships" r:embed="rId253">
          <a:extLst>
            <a:ext uri="{28A0092B-C50C-407E-A947-70E740481C1C}">
              <a14:useLocalDpi xmlns:a14="http://schemas.microsoft.com/office/drawing/2010/main" val="0"/>
            </a:ext>
          </a:extLst>
        </a:blip>
        <a:srcRect/>
        <a:stretch>
          <a:fillRect/>
        </a:stretch>
      </xdr:blipFill>
      <xdr:spPr bwMode="auto">
        <a:xfrm>
          <a:off x="2603499" y="28924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158</xdr:row>
      <xdr:rowOff>12700</xdr:rowOff>
    </xdr:from>
    <xdr:to>
      <xdr:col>4</xdr:col>
      <xdr:colOff>2603499</xdr:colOff>
      <xdr:row>158</xdr:row>
      <xdr:rowOff>1409700</xdr:rowOff>
    </xdr:to>
    <xdr:pic>
      <xdr:nvPicPr>
        <xdr:cNvPr id="255" name="Picture 141">
          <a:extLst>
            <a:ext uri="{FF2B5EF4-FFF2-40B4-BE49-F238E27FC236}">
              <a16:creationId xmlns:a16="http://schemas.microsoft.com/office/drawing/2014/main" id="{40C92EE1-3DA4-4B70-B4F0-A34A4C02A355}"/>
            </a:ext>
          </a:extLst>
        </xdr:cNvPr>
        <xdr:cNvPicPr>
          <a:picLocks noChangeArrowheads="1"/>
        </xdr:cNvPicPr>
      </xdr:nvPicPr>
      <xdr:blipFill>
        <a:blip xmlns:r="http://schemas.openxmlformats.org/officeDocument/2006/relationships" r:embed="rId254">
          <a:extLst>
            <a:ext uri="{28A0092B-C50C-407E-A947-70E740481C1C}">
              <a14:useLocalDpi xmlns:a14="http://schemas.microsoft.com/office/drawing/2010/main" val="0"/>
            </a:ext>
          </a:extLst>
        </a:blip>
        <a:srcRect/>
        <a:stretch>
          <a:fillRect/>
        </a:stretch>
      </xdr:blipFill>
      <xdr:spPr bwMode="auto">
        <a:xfrm>
          <a:off x="2603499" y="29108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160</xdr:row>
      <xdr:rowOff>12700</xdr:rowOff>
    </xdr:from>
    <xdr:to>
      <xdr:col>4</xdr:col>
      <xdr:colOff>2603499</xdr:colOff>
      <xdr:row>160</xdr:row>
      <xdr:rowOff>1409700</xdr:rowOff>
    </xdr:to>
    <xdr:pic>
      <xdr:nvPicPr>
        <xdr:cNvPr id="256" name="Picture 142">
          <a:extLst>
            <a:ext uri="{FF2B5EF4-FFF2-40B4-BE49-F238E27FC236}">
              <a16:creationId xmlns:a16="http://schemas.microsoft.com/office/drawing/2014/main" id="{4B098828-66B8-4CC2-92DC-2C356CA5A8D3}"/>
            </a:ext>
          </a:extLst>
        </xdr:cNvPr>
        <xdr:cNvPicPr>
          <a:picLocks noChangeArrowheads="1"/>
        </xdr:cNvPicPr>
      </xdr:nvPicPr>
      <xdr:blipFill>
        <a:blip xmlns:r="http://schemas.openxmlformats.org/officeDocument/2006/relationships" r:embed="rId255">
          <a:extLst>
            <a:ext uri="{28A0092B-C50C-407E-A947-70E740481C1C}">
              <a14:useLocalDpi xmlns:a14="http://schemas.microsoft.com/office/drawing/2010/main" val="0"/>
            </a:ext>
          </a:extLst>
        </a:blip>
        <a:srcRect/>
        <a:stretch>
          <a:fillRect/>
        </a:stretch>
      </xdr:blipFill>
      <xdr:spPr bwMode="auto">
        <a:xfrm>
          <a:off x="2603499" y="29476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161</xdr:row>
      <xdr:rowOff>12700</xdr:rowOff>
    </xdr:from>
    <xdr:to>
      <xdr:col>4</xdr:col>
      <xdr:colOff>2603499</xdr:colOff>
      <xdr:row>161</xdr:row>
      <xdr:rowOff>1409700</xdr:rowOff>
    </xdr:to>
    <xdr:pic>
      <xdr:nvPicPr>
        <xdr:cNvPr id="257" name="Picture 143">
          <a:extLst>
            <a:ext uri="{FF2B5EF4-FFF2-40B4-BE49-F238E27FC236}">
              <a16:creationId xmlns:a16="http://schemas.microsoft.com/office/drawing/2014/main" id="{EFD27C0C-B482-409A-96B0-7ADA0F7C21B3}"/>
            </a:ext>
          </a:extLst>
        </xdr:cNvPr>
        <xdr:cNvPicPr>
          <a:picLocks noChangeArrowheads="1"/>
        </xdr:cNvPicPr>
      </xdr:nvPicPr>
      <xdr:blipFill>
        <a:blip xmlns:r="http://schemas.openxmlformats.org/officeDocument/2006/relationships" r:embed="rId256">
          <a:extLst>
            <a:ext uri="{28A0092B-C50C-407E-A947-70E740481C1C}">
              <a14:useLocalDpi xmlns:a14="http://schemas.microsoft.com/office/drawing/2010/main" val="0"/>
            </a:ext>
          </a:extLst>
        </a:blip>
        <a:srcRect/>
        <a:stretch>
          <a:fillRect/>
        </a:stretch>
      </xdr:blipFill>
      <xdr:spPr bwMode="auto">
        <a:xfrm>
          <a:off x="2603499" y="29660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162</xdr:row>
      <xdr:rowOff>12700</xdr:rowOff>
    </xdr:from>
    <xdr:to>
      <xdr:col>4</xdr:col>
      <xdr:colOff>2603499</xdr:colOff>
      <xdr:row>162</xdr:row>
      <xdr:rowOff>1409700</xdr:rowOff>
    </xdr:to>
    <xdr:pic>
      <xdr:nvPicPr>
        <xdr:cNvPr id="258" name="Picture 144">
          <a:extLst>
            <a:ext uri="{FF2B5EF4-FFF2-40B4-BE49-F238E27FC236}">
              <a16:creationId xmlns:a16="http://schemas.microsoft.com/office/drawing/2014/main" id="{2393D43F-3AE9-451E-94EA-E69704448C5F}"/>
            </a:ext>
          </a:extLst>
        </xdr:cNvPr>
        <xdr:cNvPicPr>
          <a:picLocks noChangeArrowheads="1"/>
        </xdr:cNvPicPr>
      </xdr:nvPicPr>
      <xdr:blipFill>
        <a:blip xmlns:r="http://schemas.openxmlformats.org/officeDocument/2006/relationships" r:embed="rId257">
          <a:extLst>
            <a:ext uri="{28A0092B-C50C-407E-A947-70E740481C1C}">
              <a14:useLocalDpi xmlns:a14="http://schemas.microsoft.com/office/drawing/2010/main" val="0"/>
            </a:ext>
          </a:extLst>
        </a:blip>
        <a:srcRect/>
        <a:stretch>
          <a:fillRect/>
        </a:stretch>
      </xdr:blipFill>
      <xdr:spPr bwMode="auto">
        <a:xfrm>
          <a:off x="2603499" y="29845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163</xdr:row>
      <xdr:rowOff>12700</xdr:rowOff>
    </xdr:from>
    <xdr:to>
      <xdr:col>4</xdr:col>
      <xdr:colOff>2603499</xdr:colOff>
      <xdr:row>163</xdr:row>
      <xdr:rowOff>1409700</xdr:rowOff>
    </xdr:to>
    <xdr:pic>
      <xdr:nvPicPr>
        <xdr:cNvPr id="259" name="Picture 145">
          <a:extLst>
            <a:ext uri="{FF2B5EF4-FFF2-40B4-BE49-F238E27FC236}">
              <a16:creationId xmlns:a16="http://schemas.microsoft.com/office/drawing/2014/main" id="{E1C7B9B1-FB96-4FFC-9E86-0FEB3A92D196}"/>
            </a:ext>
          </a:extLst>
        </xdr:cNvPr>
        <xdr:cNvPicPr>
          <a:picLocks noChangeArrowheads="1"/>
        </xdr:cNvPicPr>
      </xdr:nvPicPr>
      <xdr:blipFill>
        <a:blip xmlns:r="http://schemas.openxmlformats.org/officeDocument/2006/relationships" r:embed="rId258">
          <a:extLst>
            <a:ext uri="{28A0092B-C50C-407E-A947-70E740481C1C}">
              <a14:useLocalDpi xmlns:a14="http://schemas.microsoft.com/office/drawing/2010/main" val="0"/>
            </a:ext>
          </a:extLst>
        </a:blip>
        <a:srcRect/>
        <a:stretch>
          <a:fillRect/>
        </a:stretch>
      </xdr:blipFill>
      <xdr:spPr bwMode="auto">
        <a:xfrm>
          <a:off x="2603499" y="30029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164</xdr:row>
      <xdr:rowOff>12700</xdr:rowOff>
    </xdr:from>
    <xdr:to>
      <xdr:col>4</xdr:col>
      <xdr:colOff>2603499</xdr:colOff>
      <xdr:row>164</xdr:row>
      <xdr:rowOff>1409700</xdr:rowOff>
    </xdr:to>
    <xdr:pic>
      <xdr:nvPicPr>
        <xdr:cNvPr id="260" name="Picture 146">
          <a:extLst>
            <a:ext uri="{FF2B5EF4-FFF2-40B4-BE49-F238E27FC236}">
              <a16:creationId xmlns:a16="http://schemas.microsoft.com/office/drawing/2014/main" id="{75F4D9BB-27AE-4D22-920F-CF8F2ABCEB92}"/>
            </a:ext>
          </a:extLst>
        </xdr:cNvPr>
        <xdr:cNvPicPr>
          <a:picLocks noChangeArrowheads="1"/>
        </xdr:cNvPicPr>
      </xdr:nvPicPr>
      <xdr:blipFill>
        <a:blip xmlns:r="http://schemas.openxmlformats.org/officeDocument/2006/relationships" r:embed="rId259">
          <a:extLst>
            <a:ext uri="{28A0092B-C50C-407E-A947-70E740481C1C}">
              <a14:useLocalDpi xmlns:a14="http://schemas.microsoft.com/office/drawing/2010/main" val="0"/>
            </a:ext>
          </a:extLst>
        </a:blip>
        <a:srcRect/>
        <a:stretch>
          <a:fillRect/>
        </a:stretch>
      </xdr:blipFill>
      <xdr:spPr bwMode="auto">
        <a:xfrm>
          <a:off x="2603499" y="30213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165</xdr:row>
      <xdr:rowOff>12700</xdr:rowOff>
    </xdr:from>
    <xdr:to>
      <xdr:col>4</xdr:col>
      <xdr:colOff>2603499</xdr:colOff>
      <xdr:row>165</xdr:row>
      <xdr:rowOff>1409700</xdr:rowOff>
    </xdr:to>
    <xdr:pic>
      <xdr:nvPicPr>
        <xdr:cNvPr id="261" name="Picture 147">
          <a:extLst>
            <a:ext uri="{FF2B5EF4-FFF2-40B4-BE49-F238E27FC236}">
              <a16:creationId xmlns:a16="http://schemas.microsoft.com/office/drawing/2014/main" id="{7CF8D5CE-F300-4D3F-B847-FD75A97ACED4}"/>
            </a:ext>
          </a:extLst>
        </xdr:cNvPr>
        <xdr:cNvPicPr>
          <a:picLocks noChangeArrowheads="1"/>
        </xdr:cNvPicPr>
      </xdr:nvPicPr>
      <xdr:blipFill>
        <a:blip xmlns:r="http://schemas.openxmlformats.org/officeDocument/2006/relationships" r:embed="rId260">
          <a:extLst>
            <a:ext uri="{28A0092B-C50C-407E-A947-70E740481C1C}">
              <a14:useLocalDpi xmlns:a14="http://schemas.microsoft.com/office/drawing/2010/main" val="0"/>
            </a:ext>
          </a:extLst>
        </a:blip>
        <a:srcRect/>
        <a:stretch>
          <a:fillRect/>
        </a:stretch>
      </xdr:blipFill>
      <xdr:spPr bwMode="auto">
        <a:xfrm>
          <a:off x="2603499" y="30397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166</xdr:row>
      <xdr:rowOff>12700</xdr:rowOff>
    </xdr:from>
    <xdr:to>
      <xdr:col>4</xdr:col>
      <xdr:colOff>2603499</xdr:colOff>
      <xdr:row>166</xdr:row>
      <xdr:rowOff>1409700</xdr:rowOff>
    </xdr:to>
    <xdr:pic>
      <xdr:nvPicPr>
        <xdr:cNvPr id="262" name="Picture 148">
          <a:extLst>
            <a:ext uri="{FF2B5EF4-FFF2-40B4-BE49-F238E27FC236}">
              <a16:creationId xmlns:a16="http://schemas.microsoft.com/office/drawing/2014/main" id="{89607A3F-3C69-48CF-AB9C-6B8A00E3EE69}"/>
            </a:ext>
          </a:extLst>
        </xdr:cNvPr>
        <xdr:cNvPicPr>
          <a:picLocks noChangeArrowheads="1"/>
        </xdr:cNvPicPr>
      </xdr:nvPicPr>
      <xdr:blipFill>
        <a:blip xmlns:r="http://schemas.openxmlformats.org/officeDocument/2006/relationships" r:embed="rId261">
          <a:extLst>
            <a:ext uri="{28A0092B-C50C-407E-A947-70E740481C1C}">
              <a14:useLocalDpi xmlns:a14="http://schemas.microsoft.com/office/drawing/2010/main" val="0"/>
            </a:ext>
          </a:extLst>
        </a:blip>
        <a:srcRect/>
        <a:stretch>
          <a:fillRect/>
        </a:stretch>
      </xdr:blipFill>
      <xdr:spPr bwMode="auto">
        <a:xfrm>
          <a:off x="2603499" y="30581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167</xdr:row>
      <xdr:rowOff>12700</xdr:rowOff>
    </xdr:from>
    <xdr:to>
      <xdr:col>4</xdr:col>
      <xdr:colOff>2603499</xdr:colOff>
      <xdr:row>167</xdr:row>
      <xdr:rowOff>1409700</xdr:rowOff>
    </xdr:to>
    <xdr:pic>
      <xdr:nvPicPr>
        <xdr:cNvPr id="263" name="Picture 149">
          <a:extLst>
            <a:ext uri="{FF2B5EF4-FFF2-40B4-BE49-F238E27FC236}">
              <a16:creationId xmlns:a16="http://schemas.microsoft.com/office/drawing/2014/main" id="{830B6499-5941-4B6E-B283-4C7AB04CE78A}"/>
            </a:ext>
          </a:extLst>
        </xdr:cNvPr>
        <xdr:cNvPicPr>
          <a:picLocks noChangeArrowheads="1"/>
        </xdr:cNvPicPr>
      </xdr:nvPicPr>
      <xdr:blipFill>
        <a:blip xmlns:r="http://schemas.openxmlformats.org/officeDocument/2006/relationships" r:embed="rId262">
          <a:extLst>
            <a:ext uri="{28A0092B-C50C-407E-A947-70E740481C1C}">
              <a14:useLocalDpi xmlns:a14="http://schemas.microsoft.com/office/drawing/2010/main" val="0"/>
            </a:ext>
          </a:extLst>
        </a:blip>
        <a:srcRect/>
        <a:stretch>
          <a:fillRect/>
        </a:stretch>
      </xdr:blipFill>
      <xdr:spPr bwMode="auto">
        <a:xfrm>
          <a:off x="2603499" y="30765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168</xdr:row>
      <xdr:rowOff>12700</xdr:rowOff>
    </xdr:from>
    <xdr:to>
      <xdr:col>4</xdr:col>
      <xdr:colOff>2603499</xdr:colOff>
      <xdr:row>168</xdr:row>
      <xdr:rowOff>1409700</xdr:rowOff>
    </xdr:to>
    <xdr:pic>
      <xdr:nvPicPr>
        <xdr:cNvPr id="264" name="Picture 150">
          <a:extLst>
            <a:ext uri="{FF2B5EF4-FFF2-40B4-BE49-F238E27FC236}">
              <a16:creationId xmlns:a16="http://schemas.microsoft.com/office/drawing/2014/main" id="{C3774EAC-D239-4EE8-94D9-794CA312DC1B}"/>
            </a:ext>
          </a:extLst>
        </xdr:cNvPr>
        <xdr:cNvPicPr>
          <a:picLocks noChangeArrowheads="1"/>
        </xdr:cNvPicPr>
      </xdr:nvPicPr>
      <xdr:blipFill>
        <a:blip xmlns:r="http://schemas.openxmlformats.org/officeDocument/2006/relationships" r:embed="rId263">
          <a:extLst>
            <a:ext uri="{28A0092B-C50C-407E-A947-70E740481C1C}">
              <a14:useLocalDpi xmlns:a14="http://schemas.microsoft.com/office/drawing/2010/main" val="0"/>
            </a:ext>
          </a:extLst>
        </a:blip>
        <a:srcRect/>
        <a:stretch>
          <a:fillRect/>
        </a:stretch>
      </xdr:blipFill>
      <xdr:spPr bwMode="auto">
        <a:xfrm>
          <a:off x="2603499" y="30949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169</xdr:row>
      <xdr:rowOff>12700</xdr:rowOff>
    </xdr:from>
    <xdr:to>
      <xdr:col>4</xdr:col>
      <xdr:colOff>2603499</xdr:colOff>
      <xdr:row>169</xdr:row>
      <xdr:rowOff>1409700</xdr:rowOff>
    </xdr:to>
    <xdr:pic>
      <xdr:nvPicPr>
        <xdr:cNvPr id="265" name="Picture 151">
          <a:extLst>
            <a:ext uri="{FF2B5EF4-FFF2-40B4-BE49-F238E27FC236}">
              <a16:creationId xmlns:a16="http://schemas.microsoft.com/office/drawing/2014/main" id="{3CBAF8B9-7186-4658-9366-4B65DF2F70F3}"/>
            </a:ext>
          </a:extLst>
        </xdr:cNvPr>
        <xdr:cNvPicPr>
          <a:picLocks noChangeArrowheads="1"/>
        </xdr:cNvPicPr>
      </xdr:nvPicPr>
      <xdr:blipFill>
        <a:blip xmlns:r="http://schemas.openxmlformats.org/officeDocument/2006/relationships" r:embed="rId264">
          <a:extLst>
            <a:ext uri="{28A0092B-C50C-407E-A947-70E740481C1C}">
              <a14:useLocalDpi xmlns:a14="http://schemas.microsoft.com/office/drawing/2010/main" val="0"/>
            </a:ext>
          </a:extLst>
        </a:blip>
        <a:srcRect/>
        <a:stretch>
          <a:fillRect/>
        </a:stretch>
      </xdr:blipFill>
      <xdr:spPr bwMode="auto">
        <a:xfrm>
          <a:off x="2603499" y="31134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171</xdr:row>
      <xdr:rowOff>12700</xdr:rowOff>
    </xdr:from>
    <xdr:to>
      <xdr:col>4</xdr:col>
      <xdr:colOff>2603499</xdr:colOff>
      <xdr:row>171</xdr:row>
      <xdr:rowOff>1409700</xdr:rowOff>
    </xdr:to>
    <xdr:pic>
      <xdr:nvPicPr>
        <xdr:cNvPr id="266" name="Picture 152">
          <a:extLst>
            <a:ext uri="{FF2B5EF4-FFF2-40B4-BE49-F238E27FC236}">
              <a16:creationId xmlns:a16="http://schemas.microsoft.com/office/drawing/2014/main" id="{85B411AB-0FC4-421A-9EC5-38C4064CBBAF}"/>
            </a:ext>
          </a:extLst>
        </xdr:cNvPr>
        <xdr:cNvPicPr>
          <a:picLocks noChangeArrowheads="1"/>
        </xdr:cNvPicPr>
      </xdr:nvPicPr>
      <xdr:blipFill>
        <a:blip xmlns:r="http://schemas.openxmlformats.org/officeDocument/2006/relationships" r:embed="rId265">
          <a:extLst>
            <a:ext uri="{28A0092B-C50C-407E-A947-70E740481C1C}">
              <a14:useLocalDpi xmlns:a14="http://schemas.microsoft.com/office/drawing/2010/main" val="0"/>
            </a:ext>
          </a:extLst>
        </a:blip>
        <a:srcRect/>
        <a:stretch>
          <a:fillRect/>
        </a:stretch>
      </xdr:blipFill>
      <xdr:spPr bwMode="auto">
        <a:xfrm>
          <a:off x="2603499" y="31502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172</xdr:row>
      <xdr:rowOff>12700</xdr:rowOff>
    </xdr:from>
    <xdr:to>
      <xdr:col>4</xdr:col>
      <xdr:colOff>2603499</xdr:colOff>
      <xdr:row>172</xdr:row>
      <xdr:rowOff>1409700</xdr:rowOff>
    </xdr:to>
    <xdr:pic>
      <xdr:nvPicPr>
        <xdr:cNvPr id="267" name="Picture 153">
          <a:extLst>
            <a:ext uri="{FF2B5EF4-FFF2-40B4-BE49-F238E27FC236}">
              <a16:creationId xmlns:a16="http://schemas.microsoft.com/office/drawing/2014/main" id="{F8344F4F-478F-4B7B-AB74-10A3F40DC4A8}"/>
            </a:ext>
          </a:extLst>
        </xdr:cNvPr>
        <xdr:cNvPicPr>
          <a:picLocks noChangeArrowheads="1"/>
        </xdr:cNvPicPr>
      </xdr:nvPicPr>
      <xdr:blipFill>
        <a:blip xmlns:r="http://schemas.openxmlformats.org/officeDocument/2006/relationships" r:embed="rId266">
          <a:extLst>
            <a:ext uri="{28A0092B-C50C-407E-A947-70E740481C1C}">
              <a14:useLocalDpi xmlns:a14="http://schemas.microsoft.com/office/drawing/2010/main" val="0"/>
            </a:ext>
          </a:extLst>
        </a:blip>
        <a:srcRect/>
        <a:stretch>
          <a:fillRect/>
        </a:stretch>
      </xdr:blipFill>
      <xdr:spPr bwMode="auto">
        <a:xfrm>
          <a:off x="2603499" y="31686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173</xdr:row>
      <xdr:rowOff>12700</xdr:rowOff>
    </xdr:from>
    <xdr:to>
      <xdr:col>4</xdr:col>
      <xdr:colOff>2603499</xdr:colOff>
      <xdr:row>173</xdr:row>
      <xdr:rowOff>1409700</xdr:rowOff>
    </xdr:to>
    <xdr:pic>
      <xdr:nvPicPr>
        <xdr:cNvPr id="268" name="Picture 154">
          <a:extLst>
            <a:ext uri="{FF2B5EF4-FFF2-40B4-BE49-F238E27FC236}">
              <a16:creationId xmlns:a16="http://schemas.microsoft.com/office/drawing/2014/main" id="{6E6DAF44-220E-47DA-9BB9-C7114EDE71FA}"/>
            </a:ext>
          </a:extLst>
        </xdr:cNvPr>
        <xdr:cNvPicPr>
          <a:picLocks noChangeArrowheads="1"/>
        </xdr:cNvPicPr>
      </xdr:nvPicPr>
      <xdr:blipFill>
        <a:blip xmlns:r="http://schemas.openxmlformats.org/officeDocument/2006/relationships" r:embed="rId267">
          <a:extLst>
            <a:ext uri="{28A0092B-C50C-407E-A947-70E740481C1C}">
              <a14:useLocalDpi xmlns:a14="http://schemas.microsoft.com/office/drawing/2010/main" val="0"/>
            </a:ext>
          </a:extLst>
        </a:blip>
        <a:srcRect/>
        <a:stretch>
          <a:fillRect/>
        </a:stretch>
      </xdr:blipFill>
      <xdr:spPr bwMode="auto">
        <a:xfrm>
          <a:off x="2603499" y="31870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174</xdr:row>
      <xdr:rowOff>12700</xdr:rowOff>
    </xdr:from>
    <xdr:to>
      <xdr:col>4</xdr:col>
      <xdr:colOff>2603499</xdr:colOff>
      <xdr:row>174</xdr:row>
      <xdr:rowOff>1409700</xdr:rowOff>
    </xdr:to>
    <xdr:pic>
      <xdr:nvPicPr>
        <xdr:cNvPr id="269" name="Picture 155">
          <a:extLst>
            <a:ext uri="{FF2B5EF4-FFF2-40B4-BE49-F238E27FC236}">
              <a16:creationId xmlns:a16="http://schemas.microsoft.com/office/drawing/2014/main" id="{26DB4FC1-97BE-47B5-A1E4-3E54CAB8F2FC}"/>
            </a:ext>
          </a:extLst>
        </xdr:cNvPr>
        <xdr:cNvPicPr>
          <a:picLocks noChangeArrowheads="1"/>
        </xdr:cNvPicPr>
      </xdr:nvPicPr>
      <xdr:blipFill>
        <a:blip xmlns:r="http://schemas.openxmlformats.org/officeDocument/2006/relationships" r:embed="rId268">
          <a:extLst>
            <a:ext uri="{28A0092B-C50C-407E-A947-70E740481C1C}">
              <a14:useLocalDpi xmlns:a14="http://schemas.microsoft.com/office/drawing/2010/main" val="0"/>
            </a:ext>
          </a:extLst>
        </a:blip>
        <a:srcRect/>
        <a:stretch>
          <a:fillRect/>
        </a:stretch>
      </xdr:blipFill>
      <xdr:spPr bwMode="auto">
        <a:xfrm>
          <a:off x="2603499" y="32054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175</xdr:row>
      <xdr:rowOff>12700</xdr:rowOff>
    </xdr:from>
    <xdr:to>
      <xdr:col>4</xdr:col>
      <xdr:colOff>2603499</xdr:colOff>
      <xdr:row>175</xdr:row>
      <xdr:rowOff>1409700</xdr:rowOff>
    </xdr:to>
    <xdr:pic>
      <xdr:nvPicPr>
        <xdr:cNvPr id="270" name="Picture 156">
          <a:extLst>
            <a:ext uri="{FF2B5EF4-FFF2-40B4-BE49-F238E27FC236}">
              <a16:creationId xmlns:a16="http://schemas.microsoft.com/office/drawing/2014/main" id="{3011EC73-C89D-4A23-A6B4-5156EFFC7F1A}"/>
            </a:ext>
          </a:extLst>
        </xdr:cNvPr>
        <xdr:cNvPicPr>
          <a:picLocks noChangeArrowheads="1"/>
        </xdr:cNvPicPr>
      </xdr:nvPicPr>
      <xdr:blipFill>
        <a:blip xmlns:r="http://schemas.openxmlformats.org/officeDocument/2006/relationships" r:embed="rId269">
          <a:extLst>
            <a:ext uri="{28A0092B-C50C-407E-A947-70E740481C1C}">
              <a14:useLocalDpi xmlns:a14="http://schemas.microsoft.com/office/drawing/2010/main" val="0"/>
            </a:ext>
          </a:extLst>
        </a:blip>
        <a:srcRect/>
        <a:stretch>
          <a:fillRect/>
        </a:stretch>
      </xdr:blipFill>
      <xdr:spPr bwMode="auto">
        <a:xfrm>
          <a:off x="2603499" y="32238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176</xdr:row>
      <xdr:rowOff>12700</xdr:rowOff>
    </xdr:from>
    <xdr:to>
      <xdr:col>4</xdr:col>
      <xdr:colOff>2603499</xdr:colOff>
      <xdr:row>176</xdr:row>
      <xdr:rowOff>1409700</xdr:rowOff>
    </xdr:to>
    <xdr:pic>
      <xdr:nvPicPr>
        <xdr:cNvPr id="271" name="Picture 157">
          <a:extLst>
            <a:ext uri="{FF2B5EF4-FFF2-40B4-BE49-F238E27FC236}">
              <a16:creationId xmlns:a16="http://schemas.microsoft.com/office/drawing/2014/main" id="{8E016652-42F5-4466-9300-0BDB4613143C}"/>
            </a:ext>
          </a:extLst>
        </xdr:cNvPr>
        <xdr:cNvPicPr>
          <a:picLocks noChangeArrowheads="1"/>
        </xdr:cNvPicPr>
      </xdr:nvPicPr>
      <xdr:blipFill>
        <a:blip xmlns:r="http://schemas.openxmlformats.org/officeDocument/2006/relationships" r:embed="rId270">
          <a:extLst>
            <a:ext uri="{28A0092B-C50C-407E-A947-70E740481C1C}">
              <a14:useLocalDpi xmlns:a14="http://schemas.microsoft.com/office/drawing/2010/main" val="0"/>
            </a:ext>
          </a:extLst>
        </a:blip>
        <a:srcRect/>
        <a:stretch>
          <a:fillRect/>
        </a:stretch>
      </xdr:blipFill>
      <xdr:spPr bwMode="auto">
        <a:xfrm>
          <a:off x="2603499" y="32423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177</xdr:row>
      <xdr:rowOff>12700</xdr:rowOff>
    </xdr:from>
    <xdr:to>
      <xdr:col>4</xdr:col>
      <xdr:colOff>2603499</xdr:colOff>
      <xdr:row>177</xdr:row>
      <xdr:rowOff>1409700</xdr:rowOff>
    </xdr:to>
    <xdr:pic>
      <xdr:nvPicPr>
        <xdr:cNvPr id="272" name="Picture 158">
          <a:extLst>
            <a:ext uri="{FF2B5EF4-FFF2-40B4-BE49-F238E27FC236}">
              <a16:creationId xmlns:a16="http://schemas.microsoft.com/office/drawing/2014/main" id="{C37555E3-D86C-4D65-8044-08415B5BA803}"/>
            </a:ext>
          </a:extLst>
        </xdr:cNvPr>
        <xdr:cNvPicPr>
          <a:picLocks noChangeArrowheads="1"/>
        </xdr:cNvPicPr>
      </xdr:nvPicPr>
      <xdr:blipFill>
        <a:blip xmlns:r="http://schemas.openxmlformats.org/officeDocument/2006/relationships" r:embed="rId271">
          <a:extLst>
            <a:ext uri="{28A0092B-C50C-407E-A947-70E740481C1C}">
              <a14:useLocalDpi xmlns:a14="http://schemas.microsoft.com/office/drawing/2010/main" val="0"/>
            </a:ext>
          </a:extLst>
        </a:blip>
        <a:srcRect/>
        <a:stretch>
          <a:fillRect/>
        </a:stretch>
      </xdr:blipFill>
      <xdr:spPr bwMode="auto">
        <a:xfrm>
          <a:off x="2603499" y="32607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178</xdr:row>
      <xdr:rowOff>12700</xdr:rowOff>
    </xdr:from>
    <xdr:to>
      <xdr:col>4</xdr:col>
      <xdr:colOff>2603499</xdr:colOff>
      <xdr:row>178</xdr:row>
      <xdr:rowOff>1409700</xdr:rowOff>
    </xdr:to>
    <xdr:pic>
      <xdr:nvPicPr>
        <xdr:cNvPr id="273" name="Picture 159">
          <a:extLst>
            <a:ext uri="{FF2B5EF4-FFF2-40B4-BE49-F238E27FC236}">
              <a16:creationId xmlns:a16="http://schemas.microsoft.com/office/drawing/2014/main" id="{806B4B4F-951C-445D-93D9-7BAC394BDA31}"/>
            </a:ext>
          </a:extLst>
        </xdr:cNvPr>
        <xdr:cNvPicPr>
          <a:picLocks noChangeArrowheads="1"/>
        </xdr:cNvPicPr>
      </xdr:nvPicPr>
      <xdr:blipFill>
        <a:blip xmlns:r="http://schemas.openxmlformats.org/officeDocument/2006/relationships" r:embed="rId272">
          <a:extLst>
            <a:ext uri="{28A0092B-C50C-407E-A947-70E740481C1C}">
              <a14:useLocalDpi xmlns:a14="http://schemas.microsoft.com/office/drawing/2010/main" val="0"/>
            </a:ext>
          </a:extLst>
        </a:blip>
        <a:srcRect/>
        <a:stretch>
          <a:fillRect/>
        </a:stretch>
      </xdr:blipFill>
      <xdr:spPr bwMode="auto">
        <a:xfrm>
          <a:off x="2603499" y="32791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179</xdr:row>
      <xdr:rowOff>12700</xdr:rowOff>
    </xdr:from>
    <xdr:to>
      <xdr:col>4</xdr:col>
      <xdr:colOff>2603499</xdr:colOff>
      <xdr:row>179</xdr:row>
      <xdr:rowOff>1409700</xdr:rowOff>
    </xdr:to>
    <xdr:pic>
      <xdr:nvPicPr>
        <xdr:cNvPr id="274" name="Picture 160">
          <a:extLst>
            <a:ext uri="{FF2B5EF4-FFF2-40B4-BE49-F238E27FC236}">
              <a16:creationId xmlns:a16="http://schemas.microsoft.com/office/drawing/2014/main" id="{AA461F9E-2DE5-475F-B30C-F00C99CDC050}"/>
            </a:ext>
          </a:extLst>
        </xdr:cNvPr>
        <xdr:cNvPicPr>
          <a:picLocks noChangeArrowheads="1"/>
        </xdr:cNvPicPr>
      </xdr:nvPicPr>
      <xdr:blipFill>
        <a:blip xmlns:r="http://schemas.openxmlformats.org/officeDocument/2006/relationships" r:embed="rId273">
          <a:extLst>
            <a:ext uri="{28A0092B-C50C-407E-A947-70E740481C1C}">
              <a14:useLocalDpi xmlns:a14="http://schemas.microsoft.com/office/drawing/2010/main" val="0"/>
            </a:ext>
          </a:extLst>
        </a:blip>
        <a:srcRect/>
        <a:stretch>
          <a:fillRect/>
        </a:stretch>
      </xdr:blipFill>
      <xdr:spPr bwMode="auto">
        <a:xfrm>
          <a:off x="2603499" y="32975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180</xdr:row>
      <xdr:rowOff>12700</xdr:rowOff>
    </xdr:from>
    <xdr:to>
      <xdr:col>4</xdr:col>
      <xdr:colOff>2603499</xdr:colOff>
      <xdr:row>180</xdr:row>
      <xdr:rowOff>1409700</xdr:rowOff>
    </xdr:to>
    <xdr:pic>
      <xdr:nvPicPr>
        <xdr:cNvPr id="275" name="Picture 161">
          <a:extLst>
            <a:ext uri="{FF2B5EF4-FFF2-40B4-BE49-F238E27FC236}">
              <a16:creationId xmlns:a16="http://schemas.microsoft.com/office/drawing/2014/main" id="{C986436B-3BF7-4921-A787-4B7058E71D33}"/>
            </a:ext>
          </a:extLst>
        </xdr:cNvPr>
        <xdr:cNvPicPr>
          <a:picLocks noChangeArrowheads="1"/>
        </xdr:cNvPicPr>
      </xdr:nvPicPr>
      <xdr:blipFill>
        <a:blip xmlns:r="http://schemas.openxmlformats.org/officeDocument/2006/relationships" r:embed="rId274">
          <a:extLst>
            <a:ext uri="{28A0092B-C50C-407E-A947-70E740481C1C}">
              <a14:useLocalDpi xmlns:a14="http://schemas.microsoft.com/office/drawing/2010/main" val="0"/>
            </a:ext>
          </a:extLst>
        </a:blip>
        <a:srcRect/>
        <a:stretch>
          <a:fillRect/>
        </a:stretch>
      </xdr:blipFill>
      <xdr:spPr bwMode="auto">
        <a:xfrm>
          <a:off x="2603499" y="33159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182</xdr:row>
      <xdr:rowOff>12700</xdr:rowOff>
    </xdr:from>
    <xdr:to>
      <xdr:col>4</xdr:col>
      <xdr:colOff>2603499</xdr:colOff>
      <xdr:row>182</xdr:row>
      <xdr:rowOff>1409700</xdr:rowOff>
    </xdr:to>
    <xdr:pic>
      <xdr:nvPicPr>
        <xdr:cNvPr id="276" name="Picture 162">
          <a:extLst>
            <a:ext uri="{FF2B5EF4-FFF2-40B4-BE49-F238E27FC236}">
              <a16:creationId xmlns:a16="http://schemas.microsoft.com/office/drawing/2014/main" id="{0FC66AF0-5920-4413-8CF5-DC6738884216}"/>
            </a:ext>
          </a:extLst>
        </xdr:cNvPr>
        <xdr:cNvPicPr>
          <a:picLocks noChangeArrowheads="1"/>
        </xdr:cNvPicPr>
      </xdr:nvPicPr>
      <xdr:blipFill>
        <a:blip xmlns:r="http://schemas.openxmlformats.org/officeDocument/2006/relationships" r:embed="rId275">
          <a:extLst>
            <a:ext uri="{28A0092B-C50C-407E-A947-70E740481C1C}">
              <a14:useLocalDpi xmlns:a14="http://schemas.microsoft.com/office/drawing/2010/main" val="0"/>
            </a:ext>
          </a:extLst>
        </a:blip>
        <a:srcRect/>
        <a:stretch>
          <a:fillRect/>
        </a:stretch>
      </xdr:blipFill>
      <xdr:spPr bwMode="auto">
        <a:xfrm>
          <a:off x="2603499" y="33528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183</xdr:row>
      <xdr:rowOff>12700</xdr:rowOff>
    </xdr:from>
    <xdr:to>
      <xdr:col>4</xdr:col>
      <xdr:colOff>2603499</xdr:colOff>
      <xdr:row>183</xdr:row>
      <xdr:rowOff>1409700</xdr:rowOff>
    </xdr:to>
    <xdr:pic>
      <xdr:nvPicPr>
        <xdr:cNvPr id="277" name="Picture 163">
          <a:extLst>
            <a:ext uri="{FF2B5EF4-FFF2-40B4-BE49-F238E27FC236}">
              <a16:creationId xmlns:a16="http://schemas.microsoft.com/office/drawing/2014/main" id="{4821B72A-6E95-4F1C-A985-C79E426D2E92}"/>
            </a:ext>
          </a:extLst>
        </xdr:cNvPr>
        <xdr:cNvPicPr>
          <a:picLocks noChangeArrowheads="1"/>
        </xdr:cNvPicPr>
      </xdr:nvPicPr>
      <xdr:blipFill>
        <a:blip xmlns:r="http://schemas.openxmlformats.org/officeDocument/2006/relationships" r:embed="rId276">
          <a:extLst>
            <a:ext uri="{28A0092B-C50C-407E-A947-70E740481C1C}">
              <a14:useLocalDpi xmlns:a14="http://schemas.microsoft.com/office/drawing/2010/main" val="0"/>
            </a:ext>
          </a:extLst>
        </a:blip>
        <a:srcRect/>
        <a:stretch>
          <a:fillRect/>
        </a:stretch>
      </xdr:blipFill>
      <xdr:spPr bwMode="auto">
        <a:xfrm>
          <a:off x="2603499" y="33712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184</xdr:row>
      <xdr:rowOff>12700</xdr:rowOff>
    </xdr:from>
    <xdr:to>
      <xdr:col>4</xdr:col>
      <xdr:colOff>2603499</xdr:colOff>
      <xdr:row>184</xdr:row>
      <xdr:rowOff>1409700</xdr:rowOff>
    </xdr:to>
    <xdr:pic>
      <xdr:nvPicPr>
        <xdr:cNvPr id="278" name="Picture 164">
          <a:extLst>
            <a:ext uri="{FF2B5EF4-FFF2-40B4-BE49-F238E27FC236}">
              <a16:creationId xmlns:a16="http://schemas.microsoft.com/office/drawing/2014/main" id="{37671B53-2AEE-4FC4-BC98-BA5FD965C788}"/>
            </a:ext>
          </a:extLst>
        </xdr:cNvPr>
        <xdr:cNvPicPr>
          <a:picLocks noChangeArrowheads="1"/>
        </xdr:cNvPicPr>
      </xdr:nvPicPr>
      <xdr:blipFill>
        <a:blip xmlns:r="http://schemas.openxmlformats.org/officeDocument/2006/relationships" r:embed="rId277">
          <a:extLst>
            <a:ext uri="{28A0092B-C50C-407E-A947-70E740481C1C}">
              <a14:useLocalDpi xmlns:a14="http://schemas.microsoft.com/office/drawing/2010/main" val="0"/>
            </a:ext>
          </a:extLst>
        </a:blip>
        <a:srcRect/>
        <a:stretch>
          <a:fillRect/>
        </a:stretch>
      </xdr:blipFill>
      <xdr:spPr bwMode="auto">
        <a:xfrm>
          <a:off x="2603499" y="33896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185</xdr:row>
      <xdr:rowOff>12700</xdr:rowOff>
    </xdr:from>
    <xdr:to>
      <xdr:col>4</xdr:col>
      <xdr:colOff>2603499</xdr:colOff>
      <xdr:row>185</xdr:row>
      <xdr:rowOff>1409700</xdr:rowOff>
    </xdr:to>
    <xdr:pic>
      <xdr:nvPicPr>
        <xdr:cNvPr id="279" name="Picture 165">
          <a:extLst>
            <a:ext uri="{FF2B5EF4-FFF2-40B4-BE49-F238E27FC236}">
              <a16:creationId xmlns:a16="http://schemas.microsoft.com/office/drawing/2014/main" id="{66D7C91A-6EF3-4385-86CE-2FEC90168DAC}"/>
            </a:ext>
          </a:extLst>
        </xdr:cNvPr>
        <xdr:cNvPicPr>
          <a:picLocks noChangeArrowheads="1"/>
        </xdr:cNvPicPr>
      </xdr:nvPicPr>
      <xdr:blipFill>
        <a:blip xmlns:r="http://schemas.openxmlformats.org/officeDocument/2006/relationships" r:embed="rId278">
          <a:extLst>
            <a:ext uri="{28A0092B-C50C-407E-A947-70E740481C1C}">
              <a14:useLocalDpi xmlns:a14="http://schemas.microsoft.com/office/drawing/2010/main" val="0"/>
            </a:ext>
          </a:extLst>
        </a:blip>
        <a:srcRect/>
        <a:stretch>
          <a:fillRect/>
        </a:stretch>
      </xdr:blipFill>
      <xdr:spPr bwMode="auto">
        <a:xfrm>
          <a:off x="2603499" y="34080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186</xdr:row>
      <xdr:rowOff>12700</xdr:rowOff>
    </xdr:from>
    <xdr:to>
      <xdr:col>4</xdr:col>
      <xdr:colOff>2603499</xdr:colOff>
      <xdr:row>186</xdr:row>
      <xdr:rowOff>1409700</xdr:rowOff>
    </xdr:to>
    <xdr:pic>
      <xdr:nvPicPr>
        <xdr:cNvPr id="280" name="Picture 166">
          <a:extLst>
            <a:ext uri="{FF2B5EF4-FFF2-40B4-BE49-F238E27FC236}">
              <a16:creationId xmlns:a16="http://schemas.microsoft.com/office/drawing/2014/main" id="{33578F30-30A2-4FCB-A944-D9CFA45D31BA}"/>
            </a:ext>
          </a:extLst>
        </xdr:cNvPr>
        <xdr:cNvPicPr>
          <a:picLocks noChangeArrowheads="1"/>
        </xdr:cNvPicPr>
      </xdr:nvPicPr>
      <xdr:blipFill>
        <a:blip xmlns:r="http://schemas.openxmlformats.org/officeDocument/2006/relationships" r:embed="rId279">
          <a:extLst>
            <a:ext uri="{28A0092B-C50C-407E-A947-70E740481C1C}">
              <a14:useLocalDpi xmlns:a14="http://schemas.microsoft.com/office/drawing/2010/main" val="0"/>
            </a:ext>
          </a:extLst>
        </a:blip>
        <a:srcRect/>
        <a:stretch>
          <a:fillRect/>
        </a:stretch>
      </xdr:blipFill>
      <xdr:spPr bwMode="auto">
        <a:xfrm>
          <a:off x="2603499" y="34264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187</xdr:row>
      <xdr:rowOff>12700</xdr:rowOff>
    </xdr:from>
    <xdr:to>
      <xdr:col>4</xdr:col>
      <xdr:colOff>2603499</xdr:colOff>
      <xdr:row>187</xdr:row>
      <xdr:rowOff>1409700</xdr:rowOff>
    </xdr:to>
    <xdr:pic>
      <xdr:nvPicPr>
        <xdr:cNvPr id="281" name="Picture 167">
          <a:extLst>
            <a:ext uri="{FF2B5EF4-FFF2-40B4-BE49-F238E27FC236}">
              <a16:creationId xmlns:a16="http://schemas.microsoft.com/office/drawing/2014/main" id="{1C42057C-A0B0-4151-A216-5CE56696DE54}"/>
            </a:ext>
          </a:extLst>
        </xdr:cNvPr>
        <xdr:cNvPicPr>
          <a:picLocks noChangeArrowheads="1"/>
        </xdr:cNvPicPr>
      </xdr:nvPicPr>
      <xdr:blipFill>
        <a:blip xmlns:r="http://schemas.openxmlformats.org/officeDocument/2006/relationships" r:embed="rId280">
          <a:extLst>
            <a:ext uri="{28A0092B-C50C-407E-A947-70E740481C1C}">
              <a14:useLocalDpi xmlns:a14="http://schemas.microsoft.com/office/drawing/2010/main" val="0"/>
            </a:ext>
          </a:extLst>
        </a:blip>
        <a:srcRect/>
        <a:stretch>
          <a:fillRect/>
        </a:stretch>
      </xdr:blipFill>
      <xdr:spPr bwMode="auto">
        <a:xfrm>
          <a:off x="2603499" y="34448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188</xdr:row>
      <xdr:rowOff>12700</xdr:rowOff>
    </xdr:from>
    <xdr:to>
      <xdr:col>4</xdr:col>
      <xdr:colOff>2603499</xdr:colOff>
      <xdr:row>188</xdr:row>
      <xdr:rowOff>1409700</xdr:rowOff>
    </xdr:to>
    <xdr:pic>
      <xdr:nvPicPr>
        <xdr:cNvPr id="282" name="Picture 168">
          <a:extLst>
            <a:ext uri="{FF2B5EF4-FFF2-40B4-BE49-F238E27FC236}">
              <a16:creationId xmlns:a16="http://schemas.microsoft.com/office/drawing/2014/main" id="{F7CFF925-4DB5-4CE4-81D6-0A5E678E87FA}"/>
            </a:ext>
          </a:extLst>
        </xdr:cNvPr>
        <xdr:cNvPicPr>
          <a:picLocks noChangeArrowheads="1"/>
        </xdr:cNvPicPr>
      </xdr:nvPicPr>
      <xdr:blipFill>
        <a:blip xmlns:r="http://schemas.openxmlformats.org/officeDocument/2006/relationships" r:embed="rId281">
          <a:extLst>
            <a:ext uri="{28A0092B-C50C-407E-A947-70E740481C1C}">
              <a14:useLocalDpi xmlns:a14="http://schemas.microsoft.com/office/drawing/2010/main" val="0"/>
            </a:ext>
          </a:extLst>
        </a:blip>
        <a:srcRect/>
        <a:stretch>
          <a:fillRect/>
        </a:stretch>
      </xdr:blipFill>
      <xdr:spPr bwMode="auto">
        <a:xfrm>
          <a:off x="2603499" y="34632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189</xdr:row>
      <xdr:rowOff>12700</xdr:rowOff>
    </xdr:from>
    <xdr:to>
      <xdr:col>4</xdr:col>
      <xdr:colOff>2603499</xdr:colOff>
      <xdr:row>189</xdr:row>
      <xdr:rowOff>1409700</xdr:rowOff>
    </xdr:to>
    <xdr:pic>
      <xdr:nvPicPr>
        <xdr:cNvPr id="283" name="Picture 169">
          <a:extLst>
            <a:ext uri="{FF2B5EF4-FFF2-40B4-BE49-F238E27FC236}">
              <a16:creationId xmlns:a16="http://schemas.microsoft.com/office/drawing/2014/main" id="{585EEEE9-5DE7-400E-8AF9-11E597F80273}"/>
            </a:ext>
          </a:extLst>
        </xdr:cNvPr>
        <xdr:cNvPicPr>
          <a:picLocks noChangeArrowheads="1"/>
        </xdr:cNvPicPr>
      </xdr:nvPicPr>
      <xdr:blipFill>
        <a:blip xmlns:r="http://schemas.openxmlformats.org/officeDocument/2006/relationships" r:embed="rId282">
          <a:extLst>
            <a:ext uri="{28A0092B-C50C-407E-A947-70E740481C1C}">
              <a14:useLocalDpi xmlns:a14="http://schemas.microsoft.com/office/drawing/2010/main" val="0"/>
            </a:ext>
          </a:extLst>
        </a:blip>
        <a:srcRect/>
        <a:stretch>
          <a:fillRect/>
        </a:stretch>
      </xdr:blipFill>
      <xdr:spPr bwMode="auto">
        <a:xfrm>
          <a:off x="2603499" y="34817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190</xdr:row>
      <xdr:rowOff>12700</xdr:rowOff>
    </xdr:from>
    <xdr:to>
      <xdr:col>4</xdr:col>
      <xdr:colOff>2603499</xdr:colOff>
      <xdr:row>190</xdr:row>
      <xdr:rowOff>1409700</xdr:rowOff>
    </xdr:to>
    <xdr:pic>
      <xdr:nvPicPr>
        <xdr:cNvPr id="284" name="Picture 170">
          <a:extLst>
            <a:ext uri="{FF2B5EF4-FFF2-40B4-BE49-F238E27FC236}">
              <a16:creationId xmlns:a16="http://schemas.microsoft.com/office/drawing/2014/main" id="{B0AB5766-7694-4B01-BEDA-7DBA0CBC8C76}"/>
            </a:ext>
          </a:extLst>
        </xdr:cNvPr>
        <xdr:cNvPicPr>
          <a:picLocks noChangeArrowheads="1"/>
        </xdr:cNvPicPr>
      </xdr:nvPicPr>
      <xdr:blipFill>
        <a:blip xmlns:r="http://schemas.openxmlformats.org/officeDocument/2006/relationships" r:embed="rId283">
          <a:extLst>
            <a:ext uri="{28A0092B-C50C-407E-A947-70E740481C1C}">
              <a14:useLocalDpi xmlns:a14="http://schemas.microsoft.com/office/drawing/2010/main" val="0"/>
            </a:ext>
          </a:extLst>
        </a:blip>
        <a:srcRect/>
        <a:stretch>
          <a:fillRect/>
        </a:stretch>
      </xdr:blipFill>
      <xdr:spPr bwMode="auto">
        <a:xfrm>
          <a:off x="2603499" y="35001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191</xdr:row>
      <xdr:rowOff>12700</xdr:rowOff>
    </xdr:from>
    <xdr:to>
      <xdr:col>4</xdr:col>
      <xdr:colOff>2603499</xdr:colOff>
      <xdr:row>191</xdr:row>
      <xdr:rowOff>1409700</xdr:rowOff>
    </xdr:to>
    <xdr:pic>
      <xdr:nvPicPr>
        <xdr:cNvPr id="285" name="Picture 171">
          <a:extLst>
            <a:ext uri="{FF2B5EF4-FFF2-40B4-BE49-F238E27FC236}">
              <a16:creationId xmlns:a16="http://schemas.microsoft.com/office/drawing/2014/main" id="{73E697BB-8986-4947-9D5E-BD5343CED65D}"/>
            </a:ext>
          </a:extLst>
        </xdr:cNvPr>
        <xdr:cNvPicPr>
          <a:picLocks noChangeArrowheads="1"/>
        </xdr:cNvPicPr>
      </xdr:nvPicPr>
      <xdr:blipFill>
        <a:blip xmlns:r="http://schemas.openxmlformats.org/officeDocument/2006/relationships" r:embed="rId284">
          <a:extLst>
            <a:ext uri="{28A0092B-C50C-407E-A947-70E740481C1C}">
              <a14:useLocalDpi xmlns:a14="http://schemas.microsoft.com/office/drawing/2010/main" val="0"/>
            </a:ext>
          </a:extLst>
        </a:blip>
        <a:srcRect/>
        <a:stretch>
          <a:fillRect/>
        </a:stretch>
      </xdr:blipFill>
      <xdr:spPr bwMode="auto">
        <a:xfrm>
          <a:off x="2603499" y="35185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193</xdr:row>
      <xdr:rowOff>12700</xdr:rowOff>
    </xdr:from>
    <xdr:to>
      <xdr:col>4</xdr:col>
      <xdr:colOff>2603499</xdr:colOff>
      <xdr:row>193</xdr:row>
      <xdr:rowOff>1409700</xdr:rowOff>
    </xdr:to>
    <xdr:pic>
      <xdr:nvPicPr>
        <xdr:cNvPr id="286" name="Picture 172">
          <a:extLst>
            <a:ext uri="{FF2B5EF4-FFF2-40B4-BE49-F238E27FC236}">
              <a16:creationId xmlns:a16="http://schemas.microsoft.com/office/drawing/2014/main" id="{64A049CC-5551-4673-8C90-1CA1E2EE5CE1}"/>
            </a:ext>
          </a:extLst>
        </xdr:cNvPr>
        <xdr:cNvPicPr>
          <a:picLocks noChangeArrowheads="1"/>
        </xdr:cNvPicPr>
      </xdr:nvPicPr>
      <xdr:blipFill>
        <a:blip xmlns:r="http://schemas.openxmlformats.org/officeDocument/2006/relationships" r:embed="rId285">
          <a:extLst>
            <a:ext uri="{28A0092B-C50C-407E-A947-70E740481C1C}">
              <a14:useLocalDpi xmlns:a14="http://schemas.microsoft.com/office/drawing/2010/main" val="0"/>
            </a:ext>
          </a:extLst>
        </a:blip>
        <a:srcRect/>
        <a:stretch>
          <a:fillRect/>
        </a:stretch>
      </xdr:blipFill>
      <xdr:spPr bwMode="auto">
        <a:xfrm>
          <a:off x="2603499" y="35553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194</xdr:row>
      <xdr:rowOff>12700</xdr:rowOff>
    </xdr:from>
    <xdr:to>
      <xdr:col>4</xdr:col>
      <xdr:colOff>2603499</xdr:colOff>
      <xdr:row>194</xdr:row>
      <xdr:rowOff>1409700</xdr:rowOff>
    </xdr:to>
    <xdr:pic>
      <xdr:nvPicPr>
        <xdr:cNvPr id="287" name="Picture 173">
          <a:extLst>
            <a:ext uri="{FF2B5EF4-FFF2-40B4-BE49-F238E27FC236}">
              <a16:creationId xmlns:a16="http://schemas.microsoft.com/office/drawing/2014/main" id="{4F2990A4-5EC0-4D51-9C61-7AEAA2D943E2}"/>
            </a:ext>
          </a:extLst>
        </xdr:cNvPr>
        <xdr:cNvPicPr>
          <a:picLocks noChangeArrowheads="1"/>
        </xdr:cNvPicPr>
      </xdr:nvPicPr>
      <xdr:blipFill>
        <a:blip xmlns:r="http://schemas.openxmlformats.org/officeDocument/2006/relationships" r:embed="rId286">
          <a:extLst>
            <a:ext uri="{28A0092B-C50C-407E-A947-70E740481C1C}">
              <a14:useLocalDpi xmlns:a14="http://schemas.microsoft.com/office/drawing/2010/main" val="0"/>
            </a:ext>
          </a:extLst>
        </a:blip>
        <a:srcRect/>
        <a:stretch>
          <a:fillRect/>
        </a:stretch>
      </xdr:blipFill>
      <xdr:spPr bwMode="auto">
        <a:xfrm>
          <a:off x="2603499" y="35737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195</xdr:row>
      <xdr:rowOff>12700</xdr:rowOff>
    </xdr:from>
    <xdr:to>
      <xdr:col>4</xdr:col>
      <xdr:colOff>2603499</xdr:colOff>
      <xdr:row>195</xdr:row>
      <xdr:rowOff>1409700</xdr:rowOff>
    </xdr:to>
    <xdr:pic>
      <xdr:nvPicPr>
        <xdr:cNvPr id="288" name="Picture 174">
          <a:extLst>
            <a:ext uri="{FF2B5EF4-FFF2-40B4-BE49-F238E27FC236}">
              <a16:creationId xmlns:a16="http://schemas.microsoft.com/office/drawing/2014/main" id="{FF4D4F04-07F1-4E87-99C0-385B68D44797}"/>
            </a:ext>
          </a:extLst>
        </xdr:cNvPr>
        <xdr:cNvPicPr>
          <a:picLocks noChangeArrowheads="1"/>
        </xdr:cNvPicPr>
      </xdr:nvPicPr>
      <xdr:blipFill>
        <a:blip xmlns:r="http://schemas.openxmlformats.org/officeDocument/2006/relationships" r:embed="rId287">
          <a:extLst>
            <a:ext uri="{28A0092B-C50C-407E-A947-70E740481C1C}">
              <a14:useLocalDpi xmlns:a14="http://schemas.microsoft.com/office/drawing/2010/main" val="0"/>
            </a:ext>
          </a:extLst>
        </a:blip>
        <a:srcRect/>
        <a:stretch>
          <a:fillRect/>
        </a:stretch>
      </xdr:blipFill>
      <xdr:spPr bwMode="auto">
        <a:xfrm>
          <a:off x="2603499" y="35921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196</xdr:row>
      <xdr:rowOff>12700</xdr:rowOff>
    </xdr:from>
    <xdr:to>
      <xdr:col>4</xdr:col>
      <xdr:colOff>2603499</xdr:colOff>
      <xdr:row>196</xdr:row>
      <xdr:rowOff>1409700</xdr:rowOff>
    </xdr:to>
    <xdr:pic>
      <xdr:nvPicPr>
        <xdr:cNvPr id="289" name="Picture 175">
          <a:extLst>
            <a:ext uri="{FF2B5EF4-FFF2-40B4-BE49-F238E27FC236}">
              <a16:creationId xmlns:a16="http://schemas.microsoft.com/office/drawing/2014/main" id="{DF82F96E-D9F3-49FD-B4E0-B88F246D6E37}"/>
            </a:ext>
          </a:extLst>
        </xdr:cNvPr>
        <xdr:cNvPicPr>
          <a:picLocks noChangeArrowheads="1"/>
        </xdr:cNvPicPr>
      </xdr:nvPicPr>
      <xdr:blipFill>
        <a:blip xmlns:r="http://schemas.openxmlformats.org/officeDocument/2006/relationships" r:embed="rId288">
          <a:extLst>
            <a:ext uri="{28A0092B-C50C-407E-A947-70E740481C1C}">
              <a14:useLocalDpi xmlns:a14="http://schemas.microsoft.com/office/drawing/2010/main" val="0"/>
            </a:ext>
          </a:extLst>
        </a:blip>
        <a:srcRect/>
        <a:stretch>
          <a:fillRect/>
        </a:stretch>
      </xdr:blipFill>
      <xdr:spPr bwMode="auto">
        <a:xfrm>
          <a:off x="2603499" y="36106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197</xdr:row>
      <xdr:rowOff>12700</xdr:rowOff>
    </xdr:from>
    <xdr:to>
      <xdr:col>4</xdr:col>
      <xdr:colOff>2603499</xdr:colOff>
      <xdr:row>197</xdr:row>
      <xdr:rowOff>1409700</xdr:rowOff>
    </xdr:to>
    <xdr:pic>
      <xdr:nvPicPr>
        <xdr:cNvPr id="290" name="Picture 176">
          <a:extLst>
            <a:ext uri="{FF2B5EF4-FFF2-40B4-BE49-F238E27FC236}">
              <a16:creationId xmlns:a16="http://schemas.microsoft.com/office/drawing/2014/main" id="{26297903-573B-49AE-8F3D-7E089FD6CDBA}"/>
            </a:ext>
          </a:extLst>
        </xdr:cNvPr>
        <xdr:cNvPicPr>
          <a:picLocks noChangeArrowheads="1"/>
        </xdr:cNvPicPr>
      </xdr:nvPicPr>
      <xdr:blipFill>
        <a:blip xmlns:r="http://schemas.openxmlformats.org/officeDocument/2006/relationships" r:embed="rId289">
          <a:extLst>
            <a:ext uri="{28A0092B-C50C-407E-A947-70E740481C1C}">
              <a14:useLocalDpi xmlns:a14="http://schemas.microsoft.com/office/drawing/2010/main" val="0"/>
            </a:ext>
          </a:extLst>
        </a:blip>
        <a:srcRect/>
        <a:stretch>
          <a:fillRect/>
        </a:stretch>
      </xdr:blipFill>
      <xdr:spPr bwMode="auto">
        <a:xfrm>
          <a:off x="2603499" y="36290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198</xdr:row>
      <xdr:rowOff>12700</xdr:rowOff>
    </xdr:from>
    <xdr:to>
      <xdr:col>4</xdr:col>
      <xdr:colOff>2603499</xdr:colOff>
      <xdr:row>198</xdr:row>
      <xdr:rowOff>1409700</xdr:rowOff>
    </xdr:to>
    <xdr:pic>
      <xdr:nvPicPr>
        <xdr:cNvPr id="291" name="Picture 177">
          <a:extLst>
            <a:ext uri="{FF2B5EF4-FFF2-40B4-BE49-F238E27FC236}">
              <a16:creationId xmlns:a16="http://schemas.microsoft.com/office/drawing/2014/main" id="{D77D4A45-36C9-4B2C-ACE2-B35C8B5BBF93}"/>
            </a:ext>
          </a:extLst>
        </xdr:cNvPr>
        <xdr:cNvPicPr>
          <a:picLocks noChangeArrowheads="1"/>
        </xdr:cNvPicPr>
      </xdr:nvPicPr>
      <xdr:blipFill>
        <a:blip xmlns:r="http://schemas.openxmlformats.org/officeDocument/2006/relationships" r:embed="rId290">
          <a:extLst>
            <a:ext uri="{28A0092B-C50C-407E-A947-70E740481C1C}">
              <a14:useLocalDpi xmlns:a14="http://schemas.microsoft.com/office/drawing/2010/main" val="0"/>
            </a:ext>
          </a:extLst>
        </a:blip>
        <a:srcRect/>
        <a:stretch>
          <a:fillRect/>
        </a:stretch>
      </xdr:blipFill>
      <xdr:spPr bwMode="auto">
        <a:xfrm>
          <a:off x="2603499" y="36474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199</xdr:row>
      <xdr:rowOff>12700</xdr:rowOff>
    </xdr:from>
    <xdr:to>
      <xdr:col>4</xdr:col>
      <xdr:colOff>2603499</xdr:colOff>
      <xdr:row>199</xdr:row>
      <xdr:rowOff>1409700</xdr:rowOff>
    </xdr:to>
    <xdr:pic>
      <xdr:nvPicPr>
        <xdr:cNvPr id="292" name="Picture 178">
          <a:extLst>
            <a:ext uri="{FF2B5EF4-FFF2-40B4-BE49-F238E27FC236}">
              <a16:creationId xmlns:a16="http://schemas.microsoft.com/office/drawing/2014/main" id="{D2F48AE9-6F6B-4BD8-ABFC-91FE381ABA36}"/>
            </a:ext>
          </a:extLst>
        </xdr:cNvPr>
        <xdr:cNvPicPr>
          <a:picLocks noChangeArrowheads="1"/>
        </xdr:cNvPicPr>
      </xdr:nvPicPr>
      <xdr:blipFill>
        <a:blip xmlns:r="http://schemas.openxmlformats.org/officeDocument/2006/relationships" r:embed="rId291">
          <a:extLst>
            <a:ext uri="{28A0092B-C50C-407E-A947-70E740481C1C}">
              <a14:useLocalDpi xmlns:a14="http://schemas.microsoft.com/office/drawing/2010/main" val="0"/>
            </a:ext>
          </a:extLst>
        </a:blip>
        <a:srcRect/>
        <a:stretch>
          <a:fillRect/>
        </a:stretch>
      </xdr:blipFill>
      <xdr:spPr bwMode="auto">
        <a:xfrm>
          <a:off x="2603499" y="36658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200</xdr:row>
      <xdr:rowOff>12700</xdr:rowOff>
    </xdr:from>
    <xdr:to>
      <xdr:col>4</xdr:col>
      <xdr:colOff>2603499</xdr:colOff>
      <xdr:row>200</xdr:row>
      <xdr:rowOff>1409700</xdr:rowOff>
    </xdr:to>
    <xdr:pic>
      <xdr:nvPicPr>
        <xdr:cNvPr id="293" name="Picture 179">
          <a:extLst>
            <a:ext uri="{FF2B5EF4-FFF2-40B4-BE49-F238E27FC236}">
              <a16:creationId xmlns:a16="http://schemas.microsoft.com/office/drawing/2014/main" id="{2BB9B523-043C-4B8E-A72D-25DF8600C6A3}"/>
            </a:ext>
          </a:extLst>
        </xdr:cNvPr>
        <xdr:cNvPicPr>
          <a:picLocks noChangeArrowheads="1"/>
        </xdr:cNvPicPr>
      </xdr:nvPicPr>
      <xdr:blipFill>
        <a:blip xmlns:r="http://schemas.openxmlformats.org/officeDocument/2006/relationships" r:embed="rId292">
          <a:extLst>
            <a:ext uri="{28A0092B-C50C-407E-A947-70E740481C1C}">
              <a14:useLocalDpi xmlns:a14="http://schemas.microsoft.com/office/drawing/2010/main" val="0"/>
            </a:ext>
          </a:extLst>
        </a:blip>
        <a:srcRect/>
        <a:stretch>
          <a:fillRect/>
        </a:stretch>
      </xdr:blipFill>
      <xdr:spPr bwMode="auto">
        <a:xfrm>
          <a:off x="2603499" y="36842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201</xdr:row>
      <xdr:rowOff>12700</xdr:rowOff>
    </xdr:from>
    <xdr:to>
      <xdr:col>4</xdr:col>
      <xdr:colOff>2603499</xdr:colOff>
      <xdr:row>201</xdr:row>
      <xdr:rowOff>1409700</xdr:rowOff>
    </xdr:to>
    <xdr:pic>
      <xdr:nvPicPr>
        <xdr:cNvPr id="294" name="Picture 180">
          <a:extLst>
            <a:ext uri="{FF2B5EF4-FFF2-40B4-BE49-F238E27FC236}">
              <a16:creationId xmlns:a16="http://schemas.microsoft.com/office/drawing/2014/main" id="{C69D242C-7649-4F54-BFA0-EB2973F9BF6C}"/>
            </a:ext>
          </a:extLst>
        </xdr:cNvPr>
        <xdr:cNvPicPr>
          <a:picLocks noChangeArrowheads="1"/>
        </xdr:cNvPicPr>
      </xdr:nvPicPr>
      <xdr:blipFill>
        <a:blip xmlns:r="http://schemas.openxmlformats.org/officeDocument/2006/relationships" r:embed="rId293">
          <a:extLst>
            <a:ext uri="{28A0092B-C50C-407E-A947-70E740481C1C}">
              <a14:useLocalDpi xmlns:a14="http://schemas.microsoft.com/office/drawing/2010/main" val="0"/>
            </a:ext>
          </a:extLst>
        </a:blip>
        <a:srcRect/>
        <a:stretch>
          <a:fillRect/>
        </a:stretch>
      </xdr:blipFill>
      <xdr:spPr bwMode="auto">
        <a:xfrm>
          <a:off x="2603499" y="37026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202</xdr:row>
      <xdr:rowOff>12700</xdr:rowOff>
    </xdr:from>
    <xdr:to>
      <xdr:col>4</xdr:col>
      <xdr:colOff>2603499</xdr:colOff>
      <xdr:row>202</xdr:row>
      <xdr:rowOff>1409700</xdr:rowOff>
    </xdr:to>
    <xdr:pic>
      <xdr:nvPicPr>
        <xdr:cNvPr id="295" name="Picture 181">
          <a:extLst>
            <a:ext uri="{FF2B5EF4-FFF2-40B4-BE49-F238E27FC236}">
              <a16:creationId xmlns:a16="http://schemas.microsoft.com/office/drawing/2014/main" id="{8EDAC9F4-C79A-4E62-9CB5-DE158E074A7D}"/>
            </a:ext>
          </a:extLst>
        </xdr:cNvPr>
        <xdr:cNvPicPr>
          <a:picLocks noChangeArrowheads="1"/>
        </xdr:cNvPicPr>
      </xdr:nvPicPr>
      <xdr:blipFill>
        <a:blip xmlns:r="http://schemas.openxmlformats.org/officeDocument/2006/relationships" r:embed="rId294">
          <a:extLst>
            <a:ext uri="{28A0092B-C50C-407E-A947-70E740481C1C}">
              <a14:useLocalDpi xmlns:a14="http://schemas.microsoft.com/office/drawing/2010/main" val="0"/>
            </a:ext>
          </a:extLst>
        </a:blip>
        <a:srcRect/>
        <a:stretch>
          <a:fillRect/>
        </a:stretch>
      </xdr:blipFill>
      <xdr:spPr bwMode="auto">
        <a:xfrm>
          <a:off x="2603499" y="37211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204</xdr:row>
      <xdr:rowOff>12700</xdr:rowOff>
    </xdr:from>
    <xdr:to>
      <xdr:col>4</xdr:col>
      <xdr:colOff>2603499</xdr:colOff>
      <xdr:row>204</xdr:row>
      <xdr:rowOff>1409700</xdr:rowOff>
    </xdr:to>
    <xdr:pic>
      <xdr:nvPicPr>
        <xdr:cNvPr id="296" name="Picture 182">
          <a:extLst>
            <a:ext uri="{FF2B5EF4-FFF2-40B4-BE49-F238E27FC236}">
              <a16:creationId xmlns:a16="http://schemas.microsoft.com/office/drawing/2014/main" id="{A9E08E5F-1E49-4DF1-ACCE-21AB723C845F}"/>
            </a:ext>
          </a:extLst>
        </xdr:cNvPr>
        <xdr:cNvPicPr>
          <a:picLocks noChangeArrowheads="1"/>
        </xdr:cNvPicPr>
      </xdr:nvPicPr>
      <xdr:blipFill>
        <a:blip xmlns:r="http://schemas.openxmlformats.org/officeDocument/2006/relationships" r:embed="rId295">
          <a:extLst>
            <a:ext uri="{28A0092B-C50C-407E-A947-70E740481C1C}">
              <a14:useLocalDpi xmlns:a14="http://schemas.microsoft.com/office/drawing/2010/main" val="0"/>
            </a:ext>
          </a:extLst>
        </a:blip>
        <a:srcRect/>
        <a:stretch>
          <a:fillRect/>
        </a:stretch>
      </xdr:blipFill>
      <xdr:spPr bwMode="auto">
        <a:xfrm>
          <a:off x="2603499" y="37579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205</xdr:row>
      <xdr:rowOff>12700</xdr:rowOff>
    </xdr:from>
    <xdr:to>
      <xdr:col>4</xdr:col>
      <xdr:colOff>2603499</xdr:colOff>
      <xdr:row>205</xdr:row>
      <xdr:rowOff>1409700</xdr:rowOff>
    </xdr:to>
    <xdr:pic>
      <xdr:nvPicPr>
        <xdr:cNvPr id="297" name="Picture 183">
          <a:extLst>
            <a:ext uri="{FF2B5EF4-FFF2-40B4-BE49-F238E27FC236}">
              <a16:creationId xmlns:a16="http://schemas.microsoft.com/office/drawing/2014/main" id="{CED8D199-11F1-4866-B42B-FC3ECDEE791A}"/>
            </a:ext>
          </a:extLst>
        </xdr:cNvPr>
        <xdr:cNvPicPr>
          <a:picLocks noChangeArrowheads="1"/>
        </xdr:cNvPicPr>
      </xdr:nvPicPr>
      <xdr:blipFill>
        <a:blip xmlns:r="http://schemas.openxmlformats.org/officeDocument/2006/relationships" r:embed="rId296">
          <a:extLst>
            <a:ext uri="{28A0092B-C50C-407E-A947-70E740481C1C}">
              <a14:useLocalDpi xmlns:a14="http://schemas.microsoft.com/office/drawing/2010/main" val="0"/>
            </a:ext>
          </a:extLst>
        </a:blip>
        <a:srcRect/>
        <a:stretch>
          <a:fillRect/>
        </a:stretch>
      </xdr:blipFill>
      <xdr:spPr bwMode="auto">
        <a:xfrm>
          <a:off x="2603499" y="37763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206</xdr:row>
      <xdr:rowOff>12700</xdr:rowOff>
    </xdr:from>
    <xdr:to>
      <xdr:col>4</xdr:col>
      <xdr:colOff>2603499</xdr:colOff>
      <xdr:row>206</xdr:row>
      <xdr:rowOff>1409700</xdr:rowOff>
    </xdr:to>
    <xdr:pic>
      <xdr:nvPicPr>
        <xdr:cNvPr id="298" name="Picture 184">
          <a:extLst>
            <a:ext uri="{FF2B5EF4-FFF2-40B4-BE49-F238E27FC236}">
              <a16:creationId xmlns:a16="http://schemas.microsoft.com/office/drawing/2014/main" id="{C9C19BC0-47E5-447F-9C2B-FFB0403132C0}"/>
            </a:ext>
          </a:extLst>
        </xdr:cNvPr>
        <xdr:cNvPicPr>
          <a:picLocks noChangeArrowheads="1"/>
        </xdr:cNvPicPr>
      </xdr:nvPicPr>
      <xdr:blipFill>
        <a:blip xmlns:r="http://schemas.openxmlformats.org/officeDocument/2006/relationships" r:embed="rId297">
          <a:extLst>
            <a:ext uri="{28A0092B-C50C-407E-A947-70E740481C1C}">
              <a14:useLocalDpi xmlns:a14="http://schemas.microsoft.com/office/drawing/2010/main" val="0"/>
            </a:ext>
          </a:extLst>
        </a:blip>
        <a:srcRect/>
        <a:stretch>
          <a:fillRect/>
        </a:stretch>
      </xdr:blipFill>
      <xdr:spPr bwMode="auto">
        <a:xfrm>
          <a:off x="2603499" y="37947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207</xdr:row>
      <xdr:rowOff>12700</xdr:rowOff>
    </xdr:from>
    <xdr:to>
      <xdr:col>4</xdr:col>
      <xdr:colOff>2603499</xdr:colOff>
      <xdr:row>207</xdr:row>
      <xdr:rowOff>1409700</xdr:rowOff>
    </xdr:to>
    <xdr:pic>
      <xdr:nvPicPr>
        <xdr:cNvPr id="299" name="Picture 185">
          <a:extLst>
            <a:ext uri="{FF2B5EF4-FFF2-40B4-BE49-F238E27FC236}">
              <a16:creationId xmlns:a16="http://schemas.microsoft.com/office/drawing/2014/main" id="{7804EBB8-DDC3-49EC-9720-776FC2E425C9}"/>
            </a:ext>
          </a:extLst>
        </xdr:cNvPr>
        <xdr:cNvPicPr>
          <a:picLocks noChangeArrowheads="1"/>
        </xdr:cNvPicPr>
      </xdr:nvPicPr>
      <xdr:blipFill>
        <a:blip xmlns:r="http://schemas.openxmlformats.org/officeDocument/2006/relationships" r:embed="rId298">
          <a:extLst>
            <a:ext uri="{28A0092B-C50C-407E-A947-70E740481C1C}">
              <a14:useLocalDpi xmlns:a14="http://schemas.microsoft.com/office/drawing/2010/main" val="0"/>
            </a:ext>
          </a:extLst>
        </a:blip>
        <a:srcRect/>
        <a:stretch>
          <a:fillRect/>
        </a:stretch>
      </xdr:blipFill>
      <xdr:spPr bwMode="auto">
        <a:xfrm>
          <a:off x="2603499" y="38131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208</xdr:row>
      <xdr:rowOff>12700</xdr:rowOff>
    </xdr:from>
    <xdr:to>
      <xdr:col>4</xdr:col>
      <xdr:colOff>2603499</xdr:colOff>
      <xdr:row>208</xdr:row>
      <xdr:rowOff>1409700</xdr:rowOff>
    </xdr:to>
    <xdr:pic>
      <xdr:nvPicPr>
        <xdr:cNvPr id="300" name="Picture 186">
          <a:extLst>
            <a:ext uri="{FF2B5EF4-FFF2-40B4-BE49-F238E27FC236}">
              <a16:creationId xmlns:a16="http://schemas.microsoft.com/office/drawing/2014/main" id="{75C38A3F-2795-4A1C-A262-1E6CD32D555F}"/>
            </a:ext>
          </a:extLst>
        </xdr:cNvPr>
        <xdr:cNvPicPr>
          <a:picLocks noChangeArrowheads="1"/>
        </xdr:cNvPicPr>
      </xdr:nvPicPr>
      <xdr:blipFill>
        <a:blip xmlns:r="http://schemas.openxmlformats.org/officeDocument/2006/relationships" r:embed="rId299">
          <a:extLst>
            <a:ext uri="{28A0092B-C50C-407E-A947-70E740481C1C}">
              <a14:useLocalDpi xmlns:a14="http://schemas.microsoft.com/office/drawing/2010/main" val="0"/>
            </a:ext>
          </a:extLst>
        </a:blip>
        <a:srcRect/>
        <a:stretch>
          <a:fillRect/>
        </a:stretch>
      </xdr:blipFill>
      <xdr:spPr bwMode="auto">
        <a:xfrm>
          <a:off x="2603499" y="38315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209</xdr:row>
      <xdr:rowOff>12700</xdr:rowOff>
    </xdr:from>
    <xdr:to>
      <xdr:col>4</xdr:col>
      <xdr:colOff>2603499</xdr:colOff>
      <xdr:row>209</xdr:row>
      <xdr:rowOff>1409700</xdr:rowOff>
    </xdr:to>
    <xdr:pic>
      <xdr:nvPicPr>
        <xdr:cNvPr id="301" name="Picture 187">
          <a:extLst>
            <a:ext uri="{FF2B5EF4-FFF2-40B4-BE49-F238E27FC236}">
              <a16:creationId xmlns:a16="http://schemas.microsoft.com/office/drawing/2014/main" id="{763B8D40-F66E-4DD3-B749-87788BDE99B2}"/>
            </a:ext>
          </a:extLst>
        </xdr:cNvPr>
        <xdr:cNvPicPr>
          <a:picLocks noChangeArrowheads="1"/>
        </xdr:cNvPicPr>
      </xdr:nvPicPr>
      <xdr:blipFill>
        <a:blip xmlns:r="http://schemas.openxmlformats.org/officeDocument/2006/relationships" r:embed="rId300">
          <a:extLst>
            <a:ext uri="{28A0092B-C50C-407E-A947-70E740481C1C}">
              <a14:useLocalDpi xmlns:a14="http://schemas.microsoft.com/office/drawing/2010/main" val="0"/>
            </a:ext>
          </a:extLst>
        </a:blip>
        <a:srcRect/>
        <a:stretch>
          <a:fillRect/>
        </a:stretch>
      </xdr:blipFill>
      <xdr:spPr bwMode="auto">
        <a:xfrm>
          <a:off x="2603499" y="38500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210</xdr:row>
      <xdr:rowOff>12700</xdr:rowOff>
    </xdr:from>
    <xdr:to>
      <xdr:col>4</xdr:col>
      <xdr:colOff>2603499</xdr:colOff>
      <xdr:row>210</xdr:row>
      <xdr:rowOff>1409700</xdr:rowOff>
    </xdr:to>
    <xdr:pic>
      <xdr:nvPicPr>
        <xdr:cNvPr id="302" name="Picture 188">
          <a:extLst>
            <a:ext uri="{FF2B5EF4-FFF2-40B4-BE49-F238E27FC236}">
              <a16:creationId xmlns:a16="http://schemas.microsoft.com/office/drawing/2014/main" id="{7A225226-EF29-4FE2-B35B-2C3B4AD6F82D}"/>
            </a:ext>
          </a:extLst>
        </xdr:cNvPr>
        <xdr:cNvPicPr>
          <a:picLocks noChangeArrowheads="1"/>
        </xdr:cNvPicPr>
      </xdr:nvPicPr>
      <xdr:blipFill>
        <a:blip xmlns:r="http://schemas.openxmlformats.org/officeDocument/2006/relationships" r:embed="rId301">
          <a:extLst>
            <a:ext uri="{28A0092B-C50C-407E-A947-70E740481C1C}">
              <a14:useLocalDpi xmlns:a14="http://schemas.microsoft.com/office/drawing/2010/main" val="0"/>
            </a:ext>
          </a:extLst>
        </a:blip>
        <a:srcRect/>
        <a:stretch>
          <a:fillRect/>
        </a:stretch>
      </xdr:blipFill>
      <xdr:spPr bwMode="auto">
        <a:xfrm>
          <a:off x="2603499" y="38684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211</xdr:row>
      <xdr:rowOff>12700</xdr:rowOff>
    </xdr:from>
    <xdr:to>
      <xdr:col>4</xdr:col>
      <xdr:colOff>2603499</xdr:colOff>
      <xdr:row>211</xdr:row>
      <xdr:rowOff>1409700</xdr:rowOff>
    </xdr:to>
    <xdr:pic>
      <xdr:nvPicPr>
        <xdr:cNvPr id="303" name="Picture 189">
          <a:extLst>
            <a:ext uri="{FF2B5EF4-FFF2-40B4-BE49-F238E27FC236}">
              <a16:creationId xmlns:a16="http://schemas.microsoft.com/office/drawing/2014/main" id="{422AD569-AFA1-4D05-8593-6FE5801585AA}"/>
            </a:ext>
          </a:extLst>
        </xdr:cNvPr>
        <xdr:cNvPicPr>
          <a:picLocks noChangeArrowheads="1"/>
        </xdr:cNvPicPr>
      </xdr:nvPicPr>
      <xdr:blipFill>
        <a:blip xmlns:r="http://schemas.openxmlformats.org/officeDocument/2006/relationships" r:embed="rId302">
          <a:extLst>
            <a:ext uri="{28A0092B-C50C-407E-A947-70E740481C1C}">
              <a14:useLocalDpi xmlns:a14="http://schemas.microsoft.com/office/drawing/2010/main" val="0"/>
            </a:ext>
          </a:extLst>
        </a:blip>
        <a:srcRect/>
        <a:stretch>
          <a:fillRect/>
        </a:stretch>
      </xdr:blipFill>
      <xdr:spPr bwMode="auto">
        <a:xfrm>
          <a:off x="2603499" y="38868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212</xdr:row>
      <xdr:rowOff>12700</xdr:rowOff>
    </xdr:from>
    <xdr:to>
      <xdr:col>4</xdr:col>
      <xdr:colOff>2603499</xdr:colOff>
      <xdr:row>212</xdr:row>
      <xdr:rowOff>1409700</xdr:rowOff>
    </xdr:to>
    <xdr:pic>
      <xdr:nvPicPr>
        <xdr:cNvPr id="304" name="Picture 190">
          <a:extLst>
            <a:ext uri="{FF2B5EF4-FFF2-40B4-BE49-F238E27FC236}">
              <a16:creationId xmlns:a16="http://schemas.microsoft.com/office/drawing/2014/main" id="{B01B8A33-3883-4383-902F-2D1CBE970E1E}"/>
            </a:ext>
          </a:extLst>
        </xdr:cNvPr>
        <xdr:cNvPicPr>
          <a:picLocks noChangeArrowheads="1"/>
        </xdr:cNvPicPr>
      </xdr:nvPicPr>
      <xdr:blipFill>
        <a:blip xmlns:r="http://schemas.openxmlformats.org/officeDocument/2006/relationships" r:embed="rId303">
          <a:extLst>
            <a:ext uri="{28A0092B-C50C-407E-A947-70E740481C1C}">
              <a14:useLocalDpi xmlns:a14="http://schemas.microsoft.com/office/drawing/2010/main" val="0"/>
            </a:ext>
          </a:extLst>
        </a:blip>
        <a:srcRect/>
        <a:stretch>
          <a:fillRect/>
        </a:stretch>
      </xdr:blipFill>
      <xdr:spPr bwMode="auto">
        <a:xfrm>
          <a:off x="2603499" y="39052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213</xdr:row>
      <xdr:rowOff>12700</xdr:rowOff>
    </xdr:from>
    <xdr:to>
      <xdr:col>4</xdr:col>
      <xdr:colOff>2603499</xdr:colOff>
      <xdr:row>213</xdr:row>
      <xdr:rowOff>1409700</xdr:rowOff>
    </xdr:to>
    <xdr:pic>
      <xdr:nvPicPr>
        <xdr:cNvPr id="305" name="Picture 191">
          <a:extLst>
            <a:ext uri="{FF2B5EF4-FFF2-40B4-BE49-F238E27FC236}">
              <a16:creationId xmlns:a16="http://schemas.microsoft.com/office/drawing/2014/main" id="{3BA9E2E4-1ECE-43CF-B2F4-356C02565E31}"/>
            </a:ext>
          </a:extLst>
        </xdr:cNvPr>
        <xdr:cNvPicPr>
          <a:picLocks noChangeArrowheads="1"/>
        </xdr:cNvPicPr>
      </xdr:nvPicPr>
      <xdr:blipFill>
        <a:blip xmlns:r="http://schemas.openxmlformats.org/officeDocument/2006/relationships" r:embed="rId304">
          <a:extLst>
            <a:ext uri="{28A0092B-C50C-407E-A947-70E740481C1C}">
              <a14:useLocalDpi xmlns:a14="http://schemas.microsoft.com/office/drawing/2010/main" val="0"/>
            </a:ext>
          </a:extLst>
        </a:blip>
        <a:srcRect/>
        <a:stretch>
          <a:fillRect/>
        </a:stretch>
      </xdr:blipFill>
      <xdr:spPr bwMode="auto">
        <a:xfrm>
          <a:off x="2603499" y="39236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215</xdr:row>
      <xdr:rowOff>12700</xdr:rowOff>
    </xdr:from>
    <xdr:to>
      <xdr:col>4</xdr:col>
      <xdr:colOff>2603499</xdr:colOff>
      <xdr:row>215</xdr:row>
      <xdr:rowOff>1409700</xdr:rowOff>
    </xdr:to>
    <xdr:pic>
      <xdr:nvPicPr>
        <xdr:cNvPr id="306" name="Picture 192">
          <a:extLst>
            <a:ext uri="{FF2B5EF4-FFF2-40B4-BE49-F238E27FC236}">
              <a16:creationId xmlns:a16="http://schemas.microsoft.com/office/drawing/2014/main" id="{39C26304-B9E8-444A-AA8C-41465B1D34DA}"/>
            </a:ext>
          </a:extLst>
        </xdr:cNvPr>
        <xdr:cNvPicPr>
          <a:picLocks noChangeArrowheads="1"/>
        </xdr:cNvPicPr>
      </xdr:nvPicPr>
      <xdr:blipFill>
        <a:blip xmlns:r="http://schemas.openxmlformats.org/officeDocument/2006/relationships" r:embed="rId305">
          <a:extLst>
            <a:ext uri="{28A0092B-C50C-407E-A947-70E740481C1C}">
              <a14:useLocalDpi xmlns:a14="http://schemas.microsoft.com/office/drawing/2010/main" val="0"/>
            </a:ext>
          </a:extLst>
        </a:blip>
        <a:srcRect/>
        <a:stretch>
          <a:fillRect/>
        </a:stretch>
      </xdr:blipFill>
      <xdr:spPr bwMode="auto">
        <a:xfrm>
          <a:off x="2603499" y="39604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216</xdr:row>
      <xdr:rowOff>12700</xdr:rowOff>
    </xdr:from>
    <xdr:to>
      <xdr:col>4</xdr:col>
      <xdr:colOff>2603499</xdr:colOff>
      <xdr:row>216</xdr:row>
      <xdr:rowOff>1409700</xdr:rowOff>
    </xdr:to>
    <xdr:pic>
      <xdr:nvPicPr>
        <xdr:cNvPr id="307" name="Picture 193">
          <a:extLst>
            <a:ext uri="{FF2B5EF4-FFF2-40B4-BE49-F238E27FC236}">
              <a16:creationId xmlns:a16="http://schemas.microsoft.com/office/drawing/2014/main" id="{63910305-0981-4020-AFE2-2CAC3C17AB89}"/>
            </a:ext>
          </a:extLst>
        </xdr:cNvPr>
        <xdr:cNvPicPr>
          <a:picLocks noChangeArrowheads="1"/>
        </xdr:cNvPicPr>
      </xdr:nvPicPr>
      <xdr:blipFill>
        <a:blip xmlns:r="http://schemas.openxmlformats.org/officeDocument/2006/relationships" r:embed="rId306">
          <a:extLst>
            <a:ext uri="{28A0092B-C50C-407E-A947-70E740481C1C}">
              <a14:useLocalDpi xmlns:a14="http://schemas.microsoft.com/office/drawing/2010/main" val="0"/>
            </a:ext>
          </a:extLst>
        </a:blip>
        <a:srcRect/>
        <a:stretch>
          <a:fillRect/>
        </a:stretch>
      </xdr:blipFill>
      <xdr:spPr bwMode="auto">
        <a:xfrm>
          <a:off x="2603499" y="39789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217</xdr:row>
      <xdr:rowOff>12700</xdr:rowOff>
    </xdr:from>
    <xdr:to>
      <xdr:col>4</xdr:col>
      <xdr:colOff>2603499</xdr:colOff>
      <xdr:row>217</xdr:row>
      <xdr:rowOff>1409700</xdr:rowOff>
    </xdr:to>
    <xdr:pic>
      <xdr:nvPicPr>
        <xdr:cNvPr id="308" name="Picture 194">
          <a:extLst>
            <a:ext uri="{FF2B5EF4-FFF2-40B4-BE49-F238E27FC236}">
              <a16:creationId xmlns:a16="http://schemas.microsoft.com/office/drawing/2014/main" id="{AF8321D5-9AE6-4781-AF7E-51C147CA0370}"/>
            </a:ext>
          </a:extLst>
        </xdr:cNvPr>
        <xdr:cNvPicPr>
          <a:picLocks noChangeArrowheads="1"/>
        </xdr:cNvPicPr>
      </xdr:nvPicPr>
      <xdr:blipFill>
        <a:blip xmlns:r="http://schemas.openxmlformats.org/officeDocument/2006/relationships" r:embed="rId307">
          <a:extLst>
            <a:ext uri="{28A0092B-C50C-407E-A947-70E740481C1C}">
              <a14:useLocalDpi xmlns:a14="http://schemas.microsoft.com/office/drawing/2010/main" val="0"/>
            </a:ext>
          </a:extLst>
        </a:blip>
        <a:srcRect/>
        <a:stretch>
          <a:fillRect/>
        </a:stretch>
      </xdr:blipFill>
      <xdr:spPr bwMode="auto">
        <a:xfrm>
          <a:off x="2603499" y="39973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218</xdr:row>
      <xdr:rowOff>12700</xdr:rowOff>
    </xdr:from>
    <xdr:to>
      <xdr:col>4</xdr:col>
      <xdr:colOff>2603499</xdr:colOff>
      <xdr:row>218</xdr:row>
      <xdr:rowOff>1409700</xdr:rowOff>
    </xdr:to>
    <xdr:pic>
      <xdr:nvPicPr>
        <xdr:cNvPr id="309" name="Picture 195">
          <a:extLst>
            <a:ext uri="{FF2B5EF4-FFF2-40B4-BE49-F238E27FC236}">
              <a16:creationId xmlns:a16="http://schemas.microsoft.com/office/drawing/2014/main" id="{553545F2-AE1D-4CDE-8B6F-64E030A23FF7}"/>
            </a:ext>
          </a:extLst>
        </xdr:cNvPr>
        <xdr:cNvPicPr>
          <a:picLocks noChangeArrowheads="1"/>
        </xdr:cNvPicPr>
      </xdr:nvPicPr>
      <xdr:blipFill>
        <a:blip xmlns:r="http://schemas.openxmlformats.org/officeDocument/2006/relationships" r:embed="rId308">
          <a:extLst>
            <a:ext uri="{28A0092B-C50C-407E-A947-70E740481C1C}">
              <a14:useLocalDpi xmlns:a14="http://schemas.microsoft.com/office/drawing/2010/main" val="0"/>
            </a:ext>
          </a:extLst>
        </a:blip>
        <a:srcRect/>
        <a:stretch>
          <a:fillRect/>
        </a:stretch>
      </xdr:blipFill>
      <xdr:spPr bwMode="auto">
        <a:xfrm>
          <a:off x="2603499" y="40157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219</xdr:row>
      <xdr:rowOff>12700</xdr:rowOff>
    </xdr:from>
    <xdr:to>
      <xdr:col>4</xdr:col>
      <xdr:colOff>2603499</xdr:colOff>
      <xdr:row>219</xdr:row>
      <xdr:rowOff>1409700</xdr:rowOff>
    </xdr:to>
    <xdr:pic>
      <xdr:nvPicPr>
        <xdr:cNvPr id="310" name="Picture 196">
          <a:extLst>
            <a:ext uri="{FF2B5EF4-FFF2-40B4-BE49-F238E27FC236}">
              <a16:creationId xmlns:a16="http://schemas.microsoft.com/office/drawing/2014/main" id="{37BFDD5A-E979-49A1-844E-7E0E5336E267}"/>
            </a:ext>
          </a:extLst>
        </xdr:cNvPr>
        <xdr:cNvPicPr>
          <a:picLocks noChangeArrowheads="1"/>
        </xdr:cNvPicPr>
      </xdr:nvPicPr>
      <xdr:blipFill>
        <a:blip xmlns:r="http://schemas.openxmlformats.org/officeDocument/2006/relationships" r:embed="rId309">
          <a:extLst>
            <a:ext uri="{28A0092B-C50C-407E-A947-70E740481C1C}">
              <a14:useLocalDpi xmlns:a14="http://schemas.microsoft.com/office/drawing/2010/main" val="0"/>
            </a:ext>
          </a:extLst>
        </a:blip>
        <a:srcRect/>
        <a:stretch>
          <a:fillRect/>
        </a:stretch>
      </xdr:blipFill>
      <xdr:spPr bwMode="auto">
        <a:xfrm>
          <a:off x="2603499" y="40341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220</xdr:row>
      <xdr:rowOff>12700</xdr:rowOff>
    </xdr:from>
    <xdr:to>
      <xdr:col>4</xdr:col>
      <xdr:colOff>2603499</xdr:colOff>
      <xdr:row>220</xdr:row>
      <xdr:rowOff>1409700</xdr:rowOff>
    </xdr:to>
    <xdr:pic>
      <xdr:nvPicPr>
        <xdr:cNvPr id="311" name="Picture 197">
          <a:extLst>
            <a:ext uri="{FF2B5EF4-FFF2-40B4-BE49-F238E27FC236}">
              <a16:creationId xmlns:a16="http://schemas.microsoft.com/office/drawing/2014/main" id="{533B6CA1-3D48-4CAA-B9BD-ED8F39EA8108}"/>
            </a:ext>
          </a:extLst>
        </xdr:cNvPr>
        <xdr:cNvPicPr>
          <a:picLocks noChangeArrowheads="1"/>
        </xdr:cNvPicPr>
      </xdr:nvPicPr>
      <xdr:blipFill>
        <a:blip xmlns:r="http://schemas.openxmlformats.org/officeDocument/2006/relationships" r:embed="rId310">
          <a:extLst>
            <a:ext uri="{28A0092B-C50C-407E-A947-70E740481C1C}">
              <a14:useLocalDpi xmlns:a14="http://schemas.microsoft.com/office/drawing/2010/main" val="0"/>
            </a:ext>
          </a:extLst>
        </a:blip>
        <a:srcRect/>
        <a:stretch>
          <a:fillRect/>
        </a:stretch>
      </xdr:blipFill>
      <xdr:spPr bwMode="auto">
        <a:xfrm>
          <a:off x="2603499" y="40525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221</xdr:row>
      <xdr:rowOff>12700</xdr:rowOff>
    </xdr:from>
    <xdr:to>
      <xdr:col>4</xdr:col>
      <xdr:colOff>2603499</xdr:colOff>
      <xdr:row>221</xdr:row>
      <xdr:rowOff>1409700</xdr:rowOff>
    </xdr:to>
    <xdr:pic>
      <xdr:nvPicPr>
        <xdr:cNvPr id="312" name="Picture 198">
          <a:extLst>
            <a:ext uri="{FF2B5EF4-FFF2-40B4-BE49-F238E27FC236}">
              <a16:creationId xmlns:a16="http://schemas.microsoft.com/office/drawing/2014/main" id="{71332497-02BC-4F12-93D3-2196BF30CFE2}"/>
            </a:ext>
          </a:extLst>
        </xdr:cNvPr>
        <xdr:cNvPicPr>
          <a:picLocks noChangeArrowheads="1"/>
        </xdr:cNvPicPr>
      </xdr:nvPicPr>
      <xdr:blipFill>
        <a:blip xmlns:r="http://schemas.openxmlformats.org/officeDocument/2006/relationships" r:embed="rId311">
          <a:extLst>
            <a:ext uri="{28A0092B-C50C-407E-A947-70E740481C1C}">
              <a14:useLocalDpi xmlns:a14="http://schemas.microsoft.com/office/drawing/2010/main" val="0"/>
            </a:ext>
          </a:extLst>
        </a:blip>
        <a:srcRect/>
        <a:stretch>
          <a:fillRect/>
        </a:stretch>
      </xdr:blipFill>
      <xdr:spPr bwMode="auto">
        <a:xfrm>
          <a:off x="2603499" y="40709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222</xdr:row>
      <xdr:rowOff>12700</xdr:rowOff>
    </xdr:from>
    <xdr:to>
      <xdr:col>4</xdr:col>
      <xdr:colOff>2603499</xdr:colOff>
      <xdr:row>222</xdr:row>
      <xdr:rowOff>1409700</xdr:rowOff>
    </xdr:to>
    <xdr:pic>
      <xdr:nvPicPr>
        <xdr:cNvPr id="313" name="Picture 199">
          <a:extLst>
            <a:ext uri="{FF2B5EF4-FFF2-40B4-BE49-F238E27FC236}">
              <a16:creationId xmlns:a16="http://schemas.microsoft.com/office/drawing/2014/main" id="{C361F9E6-9FA4-4ED0-8A6E-9BC833DF62AD}"/>
            </a:ext>
          </a:extLst>
        </xdr:cNvPr>
        <xdr:cNvPicPr>
          <a:picLocks noChangeArrowheads="1"/>
        </xdr:cNvPicPr>
      </xdr:nvPicPr>
      <xdr:blipFill>
        <a:blip xmlns:r="http://schemas.openxmlformats.org/officeDocument/2006/relationships" r:embed="rId312">
          <a:extLst>
            <a:ext uri="{28A0092B-C50C-407E-A947-70E740481C1C}">
              <a14:useLocalDpi xmlns:a14="http://schemas.microsoft.com/office/drawing/2010/main" val="0"/>
            </a:ext>
          </a:extLst>
        </a:blip>
        <a:srcRect/>
        <a:stretch>
          <a:fillRect/>
        </a:stretch>
      </xdr:blipFill>
      <xdr:spPr bwMode="auto">
        <a:xfrm>
          <a:off x="2603499" y="40894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223</xdr:row>
      <xdr:rowOff>12700</xdr:rowOff>
    </xdr:from>
    <xdr:to>
      <xdr:col>4</xdr:col>
      <xdr:colOff>2603499</xdr:colOff>
      <xdr:row>223</xdr:row>
      <xdr:rowOff>1409700</xdr:rowOff>
    </xdr:to>
    <xdr:pic>
      <xdr:nvPicPr>
        <xdr:cNvPr id="314" name="Picture 200">
          <a:extLst>
            <a:ext uri="{FF2B5EF4-FFF2-40B4-BE49-F238E27FC236}">
              <a16:creationId xmlns:a16="http://schemas.microsoft.com/office/drawing/2014/main" id="{D79BD3D6-6B3D-4E53-A745-438470ECC0A0}"/>
            </a:ext>
          </a:extLst>
        </xdr:cNvPr>
        <xdr:cNvPicPr>
          <a:picLocks noChangeArrowheads="1"/>
        </xdr:cNvPicPr>
      </xdr:nvPicPr>
      <xdr:blipFill>
        <a:blip xmlns:r="http://schemas.openxmlformats.org/officeDocument/2006/relationships" r:embed="rId313">
          <a:extLst>
            <a:ext uri="{28A0092B-C50C-407E-A947-70E740481C1C}">
              <a14:useLocalDpi xmlns:a14="http://schemas.microsoft.com/office/drawing/2010/main" val="0"/>
            </a:ext>
          </a:extLst>
        </a:blip>
        <a:srcRect/>
        <a:stretch>
          <a:fillRect/>
        </a:stretch>
      </xdr:blipFill>
      <xdr:spPr bwMode="auto">
        <a:xfrm>
          <a:off x="2603499" y="41078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224</xdr:row>
      <xdr:rowOff>12700</xdr:rowOff>
    </xdr:from>
    <xdr:to>
      <xdr:col>4</xdr:col>
      <xdr:colOff>2603499</xdr:colOff>
      <xdr:row>224</xdr:row>
      <xdr:rowOff>1409700</xdr:rowOff>
    </xdr:to>
    <xdr:pic>
      <xdr:nvPicPr>
        <xdr:cNvPr id="315" name="Picture 201">
          <a:extLst>
            <a:ext uri="{FF2B5EF4-FFF2-40B4-BE49-F238E27FC236}">
              <a16:creationId xmlns:a16="http://schemas.microsoft.com/office/drawing/2014/main" id="{340DA699-DCA6-42D8-92FC-9CD0653DBDB3}"/>
            </a:ext>
          </a:extLst>
        </xdr:cNvPr>
        <xdr:cNvPicPr>
          <a:picLocks noChangeArrowheads="1"/>
        </xdr:cNvPicPr>
      </xdr:nvPicPr>
      <xdr:blipFill>
        <a:blip xmlns:r="http://schemas.openxmlformats.org/officeDocument/2006/relationships" r:embed="rId314">
          <a:extLst>
            <a:ext uri="{28A0092B-C50C-407E-A947-70E740481C1C}">
              <a14:useLocalDpi xmlns:a14="http://schemas.microsoft.com/office/drawing/2010/main" val="0"/>
            </a:ext>
          </a:extLst>
        </a:blip>
        <a:srcRect/>
        <a:stretch>
          <a:fillRect/>
        </a:stretch>
      </xdr:blipFill>
      <xdr:spPr bwMode="auto">
        <a:xfrm>
          <a:off x="2603499" y="41262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226</xdr:row>
      <xdr:rowOff>12700</xdr:rowOff>
    </xdr:from>
    <xdr:to>
      <xdr:col>4</xdr:col>
      <xdr:colOff>2603499</xdr:colOff>
      <xdr:row>226</xdr:row>
      <xdr:rowOff>1409700</xdr:rowOff>
    </xdr:to>
    <xdr:pic>
      <xdr:nvPicPr>
        <xdr:cNvPr id="316" name="Picture 202">
          <a:extLst>
            <a:ext uri="{FF2B5EF4-FFF2-40B4-BE49-F238E27FC236}">
              <a16:creationId xmlns:a16="http://schemas.microsoft.com/office/drawing/2014/main" id="{8B166E7C-852B-4BB2-9C06-A6C6F0A9CA3D}"/>
            </a:ext>
          </a:extLst>
        </xdr:cNvPr>
        <xdr:cNvPicPr>
          <a:picLocks noChangeArrowheads="1"/>
        </xdr:cNvPicPr>
      </xdr:nvPicPr>
      <xdr:blipFill>
        <a:blip xmlns:r="http://schemas.openxmlformats.org/officeDocument/2006/relationships" r:embed="rId315">
          <a:extLst>
            <a:ext uri="{28A0092B-C50C-407E-A947-70E740481C1C}">
              <a14:useLocalDpi xmlns:a14="http://schemas.microsoft.com/office/drawing/2010/main" val="0"/>
            </a:ext>
          </a:extLst>
        </a:blip>
        <a:srcRect/>
        <a:stretch>
          <a:fillRect/>
        </a:stretch>
      </xdr:blipFill>
      <xdr:spPr bwMode="auto">
        <a:xfrm>
          <a:off x="2603499" y="41630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227</xdr:row>
      <xdr:rowOff>12700</xdr:rowOff>
    </xdr:from>
    <xdr:to>
      <xdr:col>4</xdr:col>
      <xdr:colOff>2603499</xdr:colOff>
      <xdr:row>227</xdr:row>
      <xdr:rowOff>1409700</xdr:rowOff>
    </xdr:to>
    <xdr:pic>
      <xdr:nvPicPr>
        <xdr:cNvPr id="317" name="Picture 203">
          <a:extLst>
            <a:ext uri="{FF2B5EF4-FFF2-40B4-BE49-F238E27FC236}">
              <a16:creationId xmlns:a16="http://schemas.microsoft.com/office/drawing/2014/main" id="{5BFDC600-230A-4BB2-AE12-3EA3B2F1C2BE}"/>
            </a:ext>
          </a:extLst>
        </xdr:cNvPr>
        <xdr:cNvPicPr>
          <a:picLocks noChangeArrowheads="1"/>
        </xdr:cNvPicPr>
      </xdr:nvPicPr>
      <xdr:blipFill>
        <a:blip xmlns:r="http://schemas.openxmlformats.org/officeDocument/2006/relationships" r:embed="rId316">
          <a:extLst>
            <a:ext uri="{28A0092B-C50C-407E-A947-70E740481C1C}">
              <a14:useLocalDpi xmlns:a14="http://schemas.microsoft.com/office/drawing/2010/main" val="0"/>
            </a:ext>
          </a:extLst>
        </a:blip>
        <a:srcRect/>
        <a:stretch>
          <a:fillRect/>
        </a:stretch>
      </xdr:blipFill>
      <xdr:spPr bwMode="auto">
        <a:xfrm>
          <a:off x="2603499" y="41814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228</xdr:row>
      <xdr:rowOff>12700</xdr:rowOff>
    </xdr:from>
    <xdr:to>
      <xdr:col>4</xdr:col>
      <xdr:colOff>2603499</xdr:colOff>
      <xdr:row>228</xdr:row>
      <xdr:rowOff>1409700</xdr:rowOff>
    </xdr:to>
    <xdr:pic>
      <xdr:nvPicPr>
        <xdr:cNvPr id="318" name="Picture 204">
          <a:extLst>
            <a:ext uri="{FF2B5EF4-FFF2-40B4-BE49-F238E27FC236}">
              <a16:creationId xmlns:a16="http://schemas.microsoft.com/office/drawing/2014/main" id="{FB8BA91D-DA5F-41F0-A706-95B8BF92FF27}"/>
            </a:ext>
          </a:extLst>
        </xdr:cNvPr>
        <xdr:cNvPicPr>
          <a:picLocks noChangeArrowheads="1"/>
        </xdr:cNvPicPr>
      </xdr:nvPicPr>
      <xdr:blipFill>
        <a:blip xmlns:r="http://schemas.openxmlformats.org/officeDocument/2006/relationships" r:embed="rId317">
          <a:extLst>
            <a:ext uri="{28A0092B-C50C-407E-A947-70E740481C1C}">
              <a14:useLocalDpi xmlns:a14="http://schemas.microsoft.com/office/drawing/2010/main" val="0"/>
            </a:ext>
          </a:extLst>
        </a:blip>
        <a:srcRect/>
        <a:stretch>
          <a:fillRect/>
        </a:stretch>
      </xdr:blipFill>
      <xdr:spPr bwMode="auto">
        <a:xfrm>
          <a:off x="2603499" y="41998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229</xdr:row>
      <xdr:rowOff>12700</xdr:rowOff>
    </xdr:from>
    <xdr:to>
      <xdr:col>4</xdr:col>
      <xdr:colOff>2603499</xdr:colOff>
      <xdr:row>229</xdr:row>
      <xdr:rowOff>1409700</xdr:rowOff>
    </xdr:to>
    <xdr:pic>
      <xdr:nvPicPr>
        <xdr:cNvPr id="319" name="Picture 205">
          <a:extLst>
            <a:ext uri="{FF2B5EF4-FFF2-40B4-BE49-F238E27FC236}">
              <a16:creationId xmlns:a16="http://schemas.microsoft.com/office/drawing/2014/main" id="{83BBA8FD-2401-4426-845C-B377653FBB8C}"/>
            </a:ext>
          </a:extLst>
        </xdr:cNvPr>
        <xdr:cNvPicPr>
          <a:picLocks noChangeArrowheads="1"/>
        </xdr:cNvPicPr>
      </xdr:nvPicPr>
      <xdr:blipFill>
        <a:blip xmlns:r="http://schemas.openxmlformats.org/officeDocument/2006/relationships" r:embed="rId318">
          <a:extLst>
            <a:ext uri="{28A0092B-C50C-407E-A947-70E740481C1C}">
              <a14:useLocalDpi xmlns:a14="http://schemas.microsoft.com/office/drawing/2010/main" val="0"/>
            </a:ext>
          </a:extLst>
        </a:blip>
        <a:srcRect/>
        <a:stretch>
          <a:fillRect/>
        </a:stretch>
      </xdr:blipFill>
      <xdr:spPr bwMode="auto">
        <a:xfrm>
          <a:off x="2603499" y="42183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230</xdr:row>
      <xdr:rowOff>12700</xdr:rowOff>
    </xdr:from>
    <xdr:to>
      <xdr:col>4</xdr:col>
      <xdr:colOff>2603499</xdr:colOff>
      <xdr:row>230</xdr:row>
      <xdr:rowOff>1409700</xdr:rowOff>
    </xdr:to>
    <xdr:pic>
      <xdr:nvPicPr>
        <xdr:cNvPr id="320" name="Picture 206">
          <a:extLst>
            <a:ext uri="{FF2B5EF4-FFF2-40B4-BE49-F238E27FC236}">
              <a16:creationId xmlns:a16="http://schemas.microsoft.com/office/drawing/2014/main" id="{0394FEE3-A491-43BD-BFA9-B2F3FC468B7E}"/>
            </a:ext>
          </a:extLst>
        </xdr:cNvPr>
        <xdr:cNvPicPr>
          <a:picLocks noChangeArrowheads="1"/>
        </xdr:cNvPicPr>
      </xdr:nvPicPr>
      <xdr:blipFill>
        <a:blip xmlns:r="http://schemas.openxmlformats.org/officeDocument/2006/relationships" r:embed="rId319">
          <a:extLst>
            <a:ext uri="{28A0092B-C50C-407E-A947-70E740481C1C}">
              <a14:useLocalDpi xmlns:a14="http://schemas.microsoft.com/office/drawing/2010/main" val="0"/>
            </a:ext>
          </a:extLst>
        </a:blip>
        <a:srcRect/>
        <a:stretch>
          <a:fillRect/>
        </a:stretch>
      </xdr:blipFill>
      <xdr:spPr bwMode="auto">
        <a:xfrm>
          <a:off x="2603499" y="42367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231</xdr:row>
      <xdr:rowOff>12700</xdr:rowOff>
    </xdr:from>
    <xdr:to>
      <xdr:col>4</xdr:col>
      <xdr:colOff>2603499</xdr:colOff>
      <xdr:row>231</xdr:row>
      <xdr:rowOff>1409700</xdr:rowOff>
    </xdr:to>
    <xdr:pic>
      <xdr:nvPicPr>
        <xdr:cNvPr id="321" name="Picture 207">
          <a:extLst>
            <a:ext uri="{FF2B5EF4-FFF2-40B4-BE49-F238E27FC236}">
              <a16:creationId xmlns:a16="http://schemas.microsoft.com/office/drawing/2014/main" id="{66FEF0C8-31E7-4F43-876C-47BF3876DE92}"/>
            </a:ext>
          </a:extLst>
        </xdr:cNvPr>
        <xdr:cNvPicPr>
          <a:picLocks noChangeArrowheads="1"/>
        </xdr:cNvPicPr>
      </xdr:nvPicPr>
      <xdr:blipFill>
        <a:blip xmlns:r="http://schemas.openxmlformats.org/officeDocument/2006/relationships" r:embed="rId320">
          <a:extLst>
            <a:ext uri="{28A0092B-C50C-407E-A947-70E740481C1C}">
              <a14:useLocalDpi xmlns:a14="http://schemas.microsoft.com/office/drawing/2010/main" val="0"/>
            </a:ext>
          </a:extLst>
        </a:blip>
        <a:srcRect/>
        <a:stretch>
          <a:fillRect/>
        </a:stretch>
      </xdr:blipFill>
      <xdr:spPr bwMode="auto">
        <a:xfrm>
          <a:off x="2603499" y="42551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232</xdr:row>
      <xdr:rowOff>12700</xdr:rowOff>
    </xdr:from>
    <xdr:to>
      <xdr:col>4</xdr:col>
      <xdr:colOff>2603499</xdr:colOff>
      <xdr:row>232</xdr:row>
      <xdr:rowOff>1409700</xdr:rowOff>
    </xdr:to>
    <xdr:pic>
      <xdr:nvPicPr>
        <xdr:cNvPr id="322" name="Picture 208">
          <a:extLst>
            <a:ext uri="{FF2B5EF4-FFF2-40B4-BE49-F238E27FC236}">
              <a16:creationId xmlns:a16="http://schemas.microsoft.com/office/drawing/2014/main" id="{50819BF9-CD86-4E54-B4BE-336BB0B39C9E}"/>
            </a:ext>
          </a:extLst>
        </xdr:cNvPr>
        <xdr:cNvPicPr>
          <a:picLocks noChangeArrowheads="1"/>
        </xdr:cNvPicPr>
      </xdr:nvPicPr>
      <xdr:blipFill>
        <a:blip xmlns:r="http://schemas.openxmlformats.org/officeDocument/2006/relationships" r:embed="rId321">
          <a:extLst>
            <a:ext uri="{28A0092B-C50C-407E-A947-70E740481C1C}">
              <a14:useLocalDpi xmlns:a14="http://schemas.microsoft.com/office/drawing/2010/main" val="0"/>
            </a:ext>
          </a:extLst>
        </a:blip>
        <a:srcRect/>
        <a:stretch>
          <a:fillRect/>
        </a:stretch>
      </xdr:blipFill>
      <xdr:spPr bwMode="auto">
        <a:xfrm>
          <a:off x="2603499" y="42735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233</xdr:row>
      <xdr:rowOff>12700</xdr:rowOff>
    </xdr:from>
    <xdr:to>
      <xdr:col>4</xdr:col>
      <xdr:colOff>2603499</xdr:colOff>
      <xdr:row>233</xdr:row>
      <xdr:rowOff>1409700</xdr:rowOff>
    </xdr:to>
    <xdr:pic>
      <xdr:nvPicPr>
        <xdr:cNvPr id="323" name="Picture 209">
          <a:extLst>
            <a:ext uri="{FF2B5EF4-FFF2-40B4-BE49-F238E27FC236}">
              <a16:creationId xmlns:a16="http://schemas.microsoft.com/office/drawing/2014/main" id="{5F3081B0-1ED6-47D3-98C0-7590D5018DA2}"/>
            </a:ext>
          </a:extLst>
        </xdr:cNvPr>
        <xdr:cNvPicPr>
          <a:picLocks noChangeArrowheads="1"/>
        </xdr:cNvPicPr>
      </xdr:nvPicPr>
      <xdr:blipFill>
        <a:blip xmlns:r="http://schemas.openxmlformats.org/officeDocument/2006/relationships" r:embed="rId322">
          <a:extLst>
            <a:ext uri="{28A0092B-C50C-407E-A947-70E740481C1C}">
              <a14:useLocalDpi xmlns:a14="http://schemas.microsoft.com/office/drawing/2010/main" val="0"/>
            </a:ext>
          </a:extLst>
        </a:blip>
        <a:srcRect/>
        <a:stretch>
          <a:fillRect/>
        </a:stretch>
      </xdr:blipFill>
      <xdr:spPr bwMode="auto">
        <a:xfrm>
          <a:off x="2603499" y="42919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234</xdr:row>
      <xdr:rowOff>12700</xdr:rowOff>
    </xdr:from>
    <xdr:to>
      <xdr:col>4</xdr:col>
      <xdr:colOff>2603499</xdr:colOff>
      <xdr:row>234</xdr:row>
      <xdr:rowOff>1409700</xdr:rowOff>
    </xdr:to>
    <xdr:pic>
      <xdr:nvPicPr>
        <xdr:cNvPr id="324" name="Picture 210">
          <a:extLst>
            <a:ext uri="{FF2B5EF4-FFF2-40B4-BE49-F238E27FC236}">
              <a16:creationId xmlns:a16="http://schemas.microsoft.com/office/drawing/2014/main" id="{CCC15E1C-5E09-47AA-89AF-FCE00B9642A4}"/>
            </a:ext>
          </a:extLst>
        </xdr:cNvPr>
        <xdr:cNvPicPr>
          <a:picLocks noChangeArrowheads="1"/>
        </xdr:cNvPicPr>
      </xdr:nvPicPr>
      <xdr:blipFill>
        <a:blip xmlns:r="http://schemas.openxmlformats.org/officeDocument/2006/relationships" r:embed="rId323">
          <a:extLst>
            <a:ext uri="{28A0092B-C50C-407E-A947-70E740481C1C}">
              <a14:useLocalDpi xmlns:a14="http://schemas.microsoft.com/office/drawing/2010/main" val="0"/>
            </a:ext>
          </a:extLst>
        </a:blip>
        <a:srcRect/>
        <a:stretch>
          <a:fillRect/>
        </a:stretch>
      </xdr:blipFill>
      <xdr:spPr bwMode="auto">
        <a:xfrm>
          <a:off x="2603499" y="43103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236</xdr:row>
      <xdr:rowOff>12700</xdr:rowOff>
    </xdr:from>
    <xdr:to>
      <xdr:col>4</xdr:col>
      <xdr:colOff>2603499</xdr:colOff>
      <xdr:row>236</xdr:row>
      <xdr:rowOff>1409700</xdr:rowOff>
    </xdr:to>
    <xdr:pic>
      <xdr:nvPicPr>
        <xdr:cNvPr id="325" name="Picture 211">
          <a:extLst>
            <a:ext uri="{FF2B5EF4-FFF2-40B4-BE49-F238E27FC236}">
              <a16:creationId xmlns:a16="http://schemas.microsoft.com/office/drawing/2014/main" id="{C21C3B11-A305-4DB3-A7CF-4DBA5015DFFD}"/>
            </a:ext>
          </a:extLst>
        </xdr:cNvPr>
        <xdr:cNvPicPr>
          <a:picLocks noChangeArrowheads="1"/>
        </xdr:cNvPicPr>
      </xdr:nvPicPr>
      <xdr:blipFill>
        <a:blip xmlns:r="http://schemas.openxmlformats.org/officeDocument/2006/relationships" r:embed="rId324">
          <a:extLst>
            <a:ext uri="{28A0092B-C50C-407E-A947-70E740481C1C}">
              <a14:useLocalDpi xmlns:a14="http://schemas.microsoft.com/office/drawing/2010/main" val="0"/>
            </a:ext>
          </a:extLst>
        </a:blip>
        <a:srcRect/>
        <a:stretch>
          <a:fillRect/>
        </a:stretch>
      </xdr:blipFill>
      <xdr:spPr bwMode="auto">
        <a:xfrm>
          <a:off x="2603499" y="43472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237</xdr:row>
      <xdr:rowOff>12700</xdr:rowOff>
    </xdr:from>
    <xdr:to>
      <xdr:col>4</xdr:col>
      <xdr:colOff>2603499</xdr:colOff>
      <xdr:row>237</xdr:row>
      <xdr:rowOff>1409700</xdr:rowOff>
    </xdr:to>
    <xdr:pic>
      <xdr:nvPicPr>
        <xdr:cNvPr id="326" name="Picture 212">
          <a:extLst>
            <a:ext uri="{FF2B5EF4-FFF2-40B4-BE49-F238E27FC236}">
              <a16:creationId xmlns:a16="http://schemas.microsoft.com/office/drawing/2014/main" id="{820ED614-DEBC-4A92-8C99-8BB8212C3655}"/>
            </a:ext>
          </a:extLst>
        </xdr:cNvPr>
        <xdr:cNvPicPr>
          <a:picLocks noChangeArrowheads="1"/>
        </xdr:cNvPicPr>
      </xdr:nvPicPr>
      <xdr:blipFill>
        <a:blip xmlns:r="http://schemas.openxmlformats.org/officeDocument/2006/relationships" r:embed="rId325">
          <a:extLst>
            <a:ext uri="{28A0092B-C50C-407E-A947-70E740481C1C}">
              <a14:useLocalDpi xmlns:a14="http://schemas.microsoft.com/office/drawing/2010/main" val="0"/>
            </a:ext>
          </a:extLst>
        </a:blip>
        <a:srcRect/>
        <a:stretch>
          <a:fillRect/>
        </a:stretch>
      </xdr:blipFill>
      <xdr:spPr bwMode="auto">
        <a:xfrm>
          <a:off x="2603499" y="436562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238</xdr:row>
      <xdr:rowOff>12700</xdr:rowOff>
    </xdr:from>
    <xdr:to>
      <xdr:col>4</xdr:col>
      <xdr:colOff>2603499</xdr:colOff>
      <xdr:row>238</xdr:row>
      <xdr:rowOff>1409700</xdr:rowOff>
    </xdr:to>
    <xdr:pic>
      <xdr:nvPicPr>
        <xdr:cNvPr id="327" name="Picture 213">
          <a:extLst>
            <a:ext uri="{FF2B5EF4-FFF2-40B4-BE49-F238E27FC236}">
              <a16:creationId xmlns:a16="http://schemas.microsoft.com/office/drawing/2014/main" id="{782A2CB7-84A8-4D96-ABE5-AAE0F6C1B545}"/>
            </a:ext>
          </a:extLst>
        </xdr:cNvPr>
        <xdr:cNvPicPr>
          <a:picLocks noChangeArrowheads="1"/>
        </xdr:cNvPicPr>
      </xdr:nvPicPr>
      <xdr:blipFill>
        <a:blip xmlns:r="http://schemas.openxmlformats.org/officeDocument/2006/relationships" r:embed="rId326">
          <a:extLst>
            <a:ext uri="{28A0092B-C50C-407E-A947-70E740481C1C}">
              <a14:useLocalDpi xmlns:a14="http://schemas.microsoft.com/office/drawing/2010/main" val="0"/>
            </a:ext>
          </a:extLst>
        </a:blip>
        <a:srcRect/>
        <a:stretch>
          <a:fillRect/>
        </a:stretch>
      </xdr:blipFill>
      <xdr:spPr bwMode="auto">
        <a:xfrm>
          <a:off x="2603499" y="43840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239</xdr:row>
      <xdr:rowOff>12700</xdr:rowOff>
    </xdr:from>
    <xdr:to>
      <xdr:col>4</xdr:col>
      <xdr:colOff>2603499</xdr:colOff>
      <xdr:row>239</xdr:row>
      <xdr:rowOff>1409700</xdr:rowOff>
    </xdr:to>
    <xdr:pic>
      <xdr:nvPicPr>
        <xdr:cNvPr id="328" name="Picture 214">
          <a:extLst>
            <a:ext uri="{FF2B5EF4-FFF2-40B4-BE49-F238E27FC236}">
              <a16:creationId xmlns:a16="http://schemas.microsoft.com/office/drawing/2014/main" id="{8682DCF3-AEDE-4F01-AF25-0792050DF9B7}"/>
            </a:ext>
          </a:extLst>
        </xdr:cNvPr>
        <xdr:cNvPicPr>
          <a:picLocks noChangeArrowheads="1"/>
        </xdr:cNvPicPr>
      </xdr:nvPicPr>
      <xdr:blipFill>
        <a:blip xmlns:r="http://schemas.openxmlformats.org/officeDocument/2006/relationships" r:embed="rId327">
          <a:extLst>
            <a:ext uri="{28A0092B-C50C-407E-A947-70E740481C1C}">
              <a14:useLocalDpi xmlns:a14="http://schemas.microsoft.com/office/drawing/2010/main" val="0"/>
            </a:ext>
          </a:extLst>
        </a:blip>
        <a:srcRect/>
        <a:stretch>
          <a:fillRect/>
        </a:stretch>
      </xdr:blipFill>
      <xdr:spPr bwMode="auto">
        <a:xfrm>
          <a:off x="2603499" y="44024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240</xdr:row>
      <xdr:rowOff>12700</xdr:rowOff>
    </xdr:from>
    <xdr:to>
      <xdr:col>4</xdr:col>
      <xdr:colOff>2603499</xdr:colOff>
      <xdr:row>240</xdr:row>
      <xdr:rowOff>1409700</xdr:rowOff>
    </xdr:to>
    <xdr:pic>
      <xdr:nvPicPr>
        <xdr:cNvPr id="329" name="Picture 215">
          <a:extLst>
            <a:ext uri="{FF2B5EF4-FFF2-40B4-BE49-F238E27FC236}">
              <a16:creationId xmlns:a16="http://schemas.microsoft.com/office/drawing/2014/main" id="{4E30FFB1-8312-47A6-86FC-07AC394DF871}"/>
            </a:ext>
          </a:extLst>
        </xdr:cNvPr>
        <xdr:cNvPicPr>
          <a:picLocks noChangeArrowheads="1"/>
        </xdr:cNvPicPr>
      </xdr:nvPicPr>
      <xdr:blipFill>
        <a:blip xmlns:r="http://schemas.openxmlformats.org/officeDocument/2006/relationships" r:embed="rId328">
          <a:extLst>
            <a:ext uri="{28A0092B-C50C-407E-A947-70E740481C1C}">
              <a14:useLocalDpi xmlns:a14="http://schemas.microsoft.com/office/drawing/2010/main" val="0"/>
            </a:ext>
          </a:extLst>
        </a:blip>
        <a:srcRect/>
        <a:stretch>
          <a:fillRect/>
        </a:stretch>
      </xdr:blipFill>
      <xdr:spPr bwMode="auto">
        <a:xfrm>
          <a:off x="2603499" y="44208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241</xdr:row>
      <xdr:rowOff>12700</xdr:rowOff>
    </xdr:from>
    <xdr:to>
      <xdr:col>4</xdr:col>
      <xdr:colOff>2603499</xdr:colOff>
      <xdr:row>241</xdr:row>
      <xdr:rowOff>1409700</xdr:rowOff>
    </xdr:to>
    <xdr:pic>
      <xdr:nvPicPr>
        <xdr:cNvPr id="330" name="Picture 216">
          <a:extLst>
            <a:ext uri="{FF2B5EF4-FFF2-40B4-BE49-F238E27FC236}">
              <a16:creationId xmlns:a16="http://schemas.microsoft.com/office/drawing/2014/main" id="{26C7BDE9-663F-49CB-8CC4-08B572ECD12F}"/>
            </a:ext>
          </a:extLst>
        </xdr:cNvPr>
        <xdr:cNvPicPr>
          <a:picLocks noChangeArrowheads="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2603499" y="44392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242</xdr:row>
      <xdr:rowOff>12700</xdr:rowOff>
    </xdr:from>
    <xdr:to>
      <xdr:col>4</xdr:col>
      <xdr:colOff>2603499</xdr:colOff>
      <xdr:row>242</xdr:row>
      <xdr:rowOff>1409700</xdr:rowOff>
    </xdr:to>
    <xdr:pic>
      <xdr:nvPicPr>
        <xdr:cNvPr id="331" name="Picture 217">
          <a:extLst>
            <a:ext uri="{FF2B5EF4-FFF2-40B4-BE49-F238E27FC236}">
              <a16:creationId xmlns:a16="http://schemas.microsoft.com/office/drawing/2014/main" id="{04DD6D42-23FD-454B-BEC5-75F43088E7E7}"/>
            </a:ext>
          </a:extLst>
        </xdr:cNvPr>
        <xdr:cNvPicPr>
          <a:picLocks noChangeArrowheads="1"/>
        </xdr:cNvPicPr>
      </xdr:nvPicPr>
      <xdr:blipFill>
        <a:blip xmlns:r="http://schemas.openxmlformats.org/officeDocument/2006/relationships" r:embed="rId330">
          <a:extLst>
            <a:ext uri="{28A0092B-C50C-407E-A947-70E740481C1C}">
              <a14:useLocalDpi xmlns:a14="http://schemas.microsoft.com/office/drawing/2010/main" val="0"/>
            </a:ext>
          </a:extLst>
        </a:blip>
        <a:srcRect/>
        <a:stretch>
          <a:fillRect/>
        </a:stretch>
      </xdr:blipFill>
      <xdr:spPr bwMode="auto">
        <a:xfrm>
          <a:off x="2603499" y="44577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243</xdr:row>
      <xdr:rowOff>12700</xdr:rowOff>
    </xdr:from>
    <xdr:to>
      <xdr:col>4</xdr:col>
      <xdr:colOff>2603499</xdr:colOff>
      <xdr:row>243</xdr:row>
      <xdr:rowOff>1409700</xdr:rowOff>
    </xdr:to>
    <xdr:pic>
      <xdr:nvPicPr>
        <xdr:cNvPr id="332" name="Picture 218">
          <a:extLst>
            <a:ext uri="{FF2B5EF4-FFF2-40B4-BE49-F238E27FC236}">
              <a16:creationId xmlns:a16="http://schemas.microsoft.com/office/drawing/2014/main" id="{384FF6E7-0B49-4B3B-A367-AE1146BAA86D}"/>
            </a:ext>
          </a:extLst>
        </xdr:cNvPr>
        <xdr:cNvPicPr>
          <a:picLocks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2603499" y="44761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244</xdr:row>
      <xdr:rowOff>12700</xdr:rowOff>
    </xdr:from>
    <xdr:to>
      <xdr:col>4</xdr:col>
      <xdr:colOff>2603499</xdr:colOff>
      <xdr:row>244</xdr:row>
      <xdr:rowOff>1409700</xdr:rowOff>
    </xdr:to>
    <xdr:pic>
      <xdr:nvPicPr>
        <xdr:cNvPr id="333" name="Picture 219">
          <a:extLst>
            <a:ext uri="{FF2B5EF4-FFF2-40B4-BE49-F238E27FC236}">
              <a16:creationId xmlns:a16="http://schemas.microsoft.com/office/drawing/2014/main" id="{4DFE8A5E-C19C-41E8-A940-03AAFDA177C0}"/>
            </a:ext>
          </a:extLst>
        </xdr:cNvPr>
        <xdr:cNvPicPr>
          <a:picLocks noChangeArrowheads="1"/>
        </xdr:cNvPicPr>
      </xdr:nvPicPr>
      <xdr:blipFill>
        <a:blip xmlns:r="http://schemas.openxmlformats.org/officeDocument/2006/relationships" r:embed="rId332">
          <a:extLst>
            <a:ext uri="{28A0092B-C50C-407E-A947-70E740481C1C}">
              <a14:useLocalDpi xmlns:a14="http://schemas.microsoft.com/office/drawing/2010/main" val="0"/>
            </a:ext>
          </a:extLst>
        </a:blip>
        <a:srcRect/>
        <a:stretch>
          <a:fillRect/>
        </a:stretch>
      </xdr:blipFill>
      <xdr:spPr bwMode="auto">
        <a:xfrm>
          <a:off x="2603499" y="44945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245</xdr:row>
      <xdr:rowOff>12700</xdr:rowOff>
    </xdr:from>
    <xdr:to>
      <xdr:col>4</xdr:col>
      <xdr:colOff>2603499</xdr:colOff>
      <xdr:row>245</xdr:row>
      <xdr:rowOff>1409700</xdr:rowOff>
    </xdr:to>
    <xdr:pic>
      <xdr:nvPicPr>
        <xdr:cNvPr id="334" name="Picture 220">
          <a:extLst>
            <a:ext uri="{FF2B5EF4-FFF2-40B4-BE49-F238E27FC236}">
              <a16:creationId xmlns:a16="http://schemas.microsoft.com/office/drawing/2014/main" id="{44CFDAD8-0E07-4E25-BB06-C933B1D12536}"/>
            </a:ext>
          </a:extLst>
        </xdr:cNvPr>
        <xdr:cNvPicPr>
          <a:picLocks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2603499" y="45129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247</xdr:row>
      <xdr:rowOff>12700</xdr:rowOff>
    </xdr:from>
    <xdr:to>
      <xdr:col>4</xdr:col>
      <xdr:colOff>2603499</xdr:colOff>
      <xdr:row>247</xdr:row>
      <xdr:rowOff>1409700</xdr:rowOff>
    </xdr:to>
    <xdr:pic>
      <xdr:nvPicPr>
        <xdr:cNvPr id="335" name="Picture 221">
          <a:extLst>
            <a:ext uri="{FF2B5EF4-FFF2-40B4-BE49-F238E27FC236}">
              <a16:creationId xmlns:a16="http://schemas.microsoft.com/office/drawing/2014/main" id="{E8CA2422-9871-4AF5-8F36-13C457B1B6A8}"/>
            </a:ext>
          </a:extLst>
        </xdr:cNvPr>
        <xdr:cNvPicPr>
          <a:picLocks noChangeArrowheads="1"/>
        </xdr:cNvPicPr>
      </xdr:nvPicPr>
      <xdr:blipFill>
        <a:blip xmlns:r="http://schemas.openxmlformats.org/officeDocument/2006/relationships" r:embed="rId334">
          <a:extLst>
            <a:ext uri="{28A0092B-C50C-407E-A947-70E740481C1C}">
              <a14:useLocalDpi xmlns:a14="http://schemas.microsoft.com/office/drawing/2010/main" val="0"/>
            </a:ext>
          </a:extLst>
        </a:blip>
        <a:srcRect/>
        <a:stretch>
          <a:fillRect/>
        </a:stretch>
      </xdr:blipFill>
      <xdr:spPr bwMode="auto">
        <a:xfrm>
          <a:off x="2603499" y="45497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248</xdr:row>
      <xdr:rowOff>12700</xdr:rowOff>
    </xdr:from>
    <xdr:to>
      <xdr:col>4</xdr:col>
      <xdr:colOff>2603499</xdr:colOff>
      <xdr:row>248</xdr:row>
      <xdr:rowOff>1409700</xdr:rowOff>
    </xdr:to>
    <xdr:pic>
      <xdr:nvPicPr>
        <xdr:cNvPr id="336" name="Picture 222">
          <a:extLst>
            <a:ext uri="{FF2B5EF4-FFF2-40B4-BE49-F238E27FC236}">
              <a16:creationId xmlns:a16="http://schemas.microsoft.com/office/drawing/2014/main" id="{62943722-7632-4B9E-9992-B867A954F2BC}"/>
            </a:ext>
          </a:extLst>
        </xdr:cNvPr>
        <xdr:cNvPicPr>
          <a:picLocks noChangeArrowheads="1"/>
        </xdr:cNvPicPr>
      </xdr:nvPicPr>
      <xdr:blipFill>
        <a:blip xmlns:r="http://schemas.openxmlformats.org/officeDocument/2006/relationships" r:embed="rId335">
          <a:extLst>
            <a:ext uri="{28A0092B-C50C-407E-A947-70E740481C1C}">
              <a14:useLocalDpi xmlns:a14="http://schemas.microsoft.com/office/drawing/2010/main" val="0"/>
            </a:ext>
          </a:extLst>
        </a:blip>
        <a:srcRect/>
        <a:stretch>
          <a:fillRect/>
        </a:stretch>
      </xdr:blipFill>
      <xdr:spPr bwMode="auto">
        <a:xfrm>
          <a:off x="2603499" y="456819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249</xdr:row>
      <xdr:rowOff>12700</xdr:rowOff>
    </xdr:from>
    <xdr:to>
      <xdr:col>4</xdr:col>
      <xdr:colOff>2603499</xdr:colOff>
      <xdr:row>249</xdr:row>
      <xdr:rowOff>1409700</xdr:rowOff>
    </xdr:to>
    <xdr:pic>
      <xdr:nvPicPr>
        <xdr:cNvPr id="337" name="Picture 223">
          <a:extLst>
            <a:ext uri="{FF2B5EF4-FFF2-40B4-BE49-F238E27FC236}">
              <a16:creationId xmlns:a16="http://schemas.microsoft.com/office/drawing/2014/main" id="{8DBCDB72-3048-408E-AA34-D9F68B74A628}"/>
            </a:ext>
          </a:extLst>
        </xdr:cNvPr>
        <xdr:cNvPicPr>
          <a:picLocks noChangeArrowheads="1"/>
        </xdr:cNvPicPr>
      </xdr:nvPicPr>
      <xdr:blipFill>
        <a:blip xmlns:r="http://schemas.openxmlformats.org/officeDocument/2006/relationships" r:embed="rId336">
          <a:extLst>
            <a:ext uri="{28A0092B-C50C-407E-A947-70E740481C1C}">
              <a14:useLocalDpi xmlns:a14="http://schemas.microsoft.com/office/drawing/2010/main" val="0"/>
            </a:ext>
          </a:extLst>
        </a:blip>
        <a:srcRect/>
        <a:stretch>
          <a:fillRect/>
        </a:stretch>
      </xdr:blipFill>
      <xdr:spPr bwMode="auto">
        <a:xfrm>
          <a:off x="2603499" y="45866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250</xdr:row>
      <xdr:rowOff>12700</xdr:rowOff>
    </xdr:from>
    <xdr:to>
      <xdr:col>4</xdr:col>
      <xdr:colOff>2603499</xdr:colOff>
      <xdr:row>250</xdr:row>
      <xdr:rowOff>1409700</xdr:rowOff>
    </xdr:to>
    <xdr:pic>
      <xdr:nvPicPr>
        <xdr:cNvPr id="338" name="Picture 224">
          <a:extLst>
            <a:ext uri="{FF2B5EF4-FFF2-40B4-BE49-F238E27FC236}">
              <a16:creationId xmlns:a16="http://schemas.microsoft.com/office/drawing/2014/main" id="{4B2812AB-5810-482F-A143-49BA96011D05}"/>
            </a:ext>
          </a:extLst>
        </xdr:cNvPr>
        <xdr:cNvPicPr>
          <a:picLocks noChangeArrowheads="1"/>
        </xdr:cNvPicPr>
      </xdr:nvPicPr>
      <xdr:blipFill>
        <a:blip xmlns:r="http://schemas.openxmlformats.org/officeDocument/2006/relationships" r:embed="rId337">
          <a:extLst>
            <a:ext uri="{28A0092B-C50C-407E-A947-70E740481C1C}">
              <a14:useLocalDpi xmlns:a14="http://schemas.microsoft.com/office/drawing/2010/main" val="0"/>
            </a:ext>
          </a:extLst>
        </a:blip>
        <a:srcRect/>
        <a:stretch>
          <a:fillRect/>
        </a:stretch>
      </xdr:blipFill>
      <xdr:spPr bwMode="auto">
        <a:xfrm>
          <a:off x="2603499" y="46050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251</xdr:row>
      <xdr:rowOff>12700</xdr:rowOff>
    </xdr:from>
    <xdr:to>
      <xdr:col>4</xdr:col>
      <xdr:colOff>2603499</xdr:colOff>
      <xdr:row>251</xdr:row>
      <xdr:rowOff>1409700</xdr:rowOff>
    </xdr:to>
    <xdr:pic>
      <xdr:nvPicPr>
        <xdr:cNvPr id="339" name="Picture 225">
          <a:extLst>
            <a:ext uri="{FF2B5EF4-FFF2-40B4-BE49-F238E27FC236}">
              <a16:creationId xmlns:a16="http://schemas.microsoft.com/office/drawing/2014/main" id="{BA4DBC19-139A-45AD-94DC-EB13C36B3922}"/>
            </a:ext>
          </a:extLst>
        </xdr:cNvPr>
        <xdr:cNvPicPr>
          <a:picLocks noChangeArrowheads="1"/>
        </xdr:cNvPicPr>
      </xdr:nvPicPr>
      <xdr:blipFill>
        <a:blip xmlns:r="http://schemas.openxmlformats.org/officeDocument/2006/relationships" r:embed="rId338">
          <a:extLst>
            <a:ext uri="{28A0092B-C50C-407E-A947-70E740481C1C}">
              <a14:useLocalDpi xmlns:a14="http://schemas.microsoft.com/office/drawing/2010/main" val="0"/>
            </a:ext>
          </a:extLst>
        </a:blip>
        <a:srcRect/>
        <a:stretch>
          <a:fillRect/>
        </a:stretch>
      </xdr:blipFill>
      <xdr:spPr bwMode="auto">
        <a:xfrm>
          <a:off x="2603499" y="46234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252</xdr:row>
      <xdr:rowOff>12700</xdr:rowOff>
    </xdr:from>
    <xdr:to>
      <xdr:col>4</xdr:col>
      <xdr:colOff>2603499</xdr:colOff>
      <xdr:row>252</xdr:row>
      <xdr:rowOff>1409700</xdr:rowOff>
    </xdr:to>
    <xdr:pic>
      <xdr:nvPicPr>
        <xdr:cNvPr id="340" name="Picture 226">
          <a:extLst>
            <a:ext uri="{FF2B5EF4-FFF2-40B4-BE49-F238E27FC236}">
              <a16:creationId xmlns:a16="http://schemas.microsoft.com/office/drawing/2014/main" id="{AB6B6775-5E40-4F16-8D92-7F1349016413}"/>
            </a:ext>
          </a:extLst>
        </xdr:cNvPr>
        <xdr:cNvPicPr>
          <a:picLocks noChangeArrowheads="1"/>
        </xdr:cNvPicPr>
      </xdr:nvPicPr>
      <xdr:blipFill>
        <a:blip xmlns:r="http://schemas.openxmlformats.org/officeDocument/2006/relationships" r:embed="rId339">
          <a:extLst>
            <a:ext uri="{28A0092B-C50C-407E-A947-70E740481C1C}">
              <a14:useLocalDpi xmlns:a14="http://schemas.microsoft.com/office/drawing/2010/main" val="0"/>
            </a:ext>
          </a:extLst>
        </a:blip>
        <a:srcRect/>
        <a:stretch>
          <a:fillRect/>
        </a:stretch>
      </xdr:blipFill>
      <xdr:spPr bwMode="auto">
        <a:xfrm>
          <a:off x="2603499" y="464185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253</xdr:row>
      <xdr:rowOff>12700</xdr:rowOff>
    </xdr:from>
    <xdr:to>
      <xdr:col>4</xdr:col>
      <xdr:colOff>2603499</xdr:colOff>
      <xdr:row>253</xdr:row>
      <xdr:rowOff>1409700</xdr:rowOff>
    </xdr:to>
    <xdr:pic>
      <xdr:nvPicPr>
        <xdr:cNvPr id="341" name="Picture 227">
          <a:extLst>
            <a:ext uri="{FF2B5EF4-FFF2-40B4-BE49-F238E27FC236}">
              <a16:creationId xmlns:a16="http://schemas.microsoft.com/office/drawing/2014/main" id="{B791DC24-AD13-4372-B141-05B6C9AA1313}"/>
            </a:ext>
          </a:extLst>
        </xdr:cNvPr>
        <xdr:cNvPicPr>
          <a:picLocks noChangeArrowheads="1"/>
        </xdr:cNvPicPr>
      </xdr:nvPicPr>
      <xdr:blipFill>
        <a:blip xmlns:r="http://schemas.openxmlformats.org/officeDocument/2006/relationships" r:embed="rId340">
          <a:extLst>
            <a:ext uri="{28A0092B-C50C-407E-A947-70E740481C1C}">
              <a14:useLocalDpi xmlns:a14="http://schemas.microsoft.com/office/drawing/2010/main" val="0"/>
            </a:ext>
          </a:extLst>
        </a:blip>
        <a:srcRect/>
        <a:stretch>
          <a:fillRect/>
        </a:stretch>
      </xdr:blipFill>
      <xdr:spPr bwMode="auto">
        <a:xfrm>
          <a:off x="2603499" y="466026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254</xdr:row>
      <xdr:rowOff>12700</xdr:rowOff>
    </xdr:from>
    <xdr:to>
      <xdr:col>4</xdr:col>
      <xdr:colOff>2603499</xdr:colOff>
      <xdr:row>254</xdr:row>
      <xdr:rowOff>1409700</xdr:rowOff>
    </xdr:to>
    <xdr:pic>
      <xdr:nvPicPr>
        <xdr:cNvPr id="342" name="Picture 228">
          <a:extLst>
            <a:ext uri="{FF2B5EF4-FFF2-40B4-BE49-F238E27FC236}">
              <a16:creationId xmlns:a16="http://schemas.microsoft.com/office/drawing/2014/main" id="{8D6ABB36-B41C-457D-A1CF-4C10C504F711}"/>
            </a:ext>
          </a:extLst>
        </xdr:cNvPr>
        <xdr:cNvPicPr>
          <a:picLocks noChangeArrowheads="1"/>
        </xdr:cNvPicPr>
      </xdr:nvPicPr>
      <xdr:blipFill>
        <a:blip xmlns:r="http://schemas.openxmlformats.org/officeDocument/2006/relationships" r:embed="rId341">
          <a:extLst>
            <a:ext uri="{28A0092B-C50C-407E-A947-70E740481C1C}">
              <a14:useLocalDpi xmlns:a14="http://schemas.microsoft.com/office/drawing/2010/main" val="0"/>
            </a:ext>
          </a:extLst>
        </a:blip>
        <a:srcRect/>
        <a:stretch>
          <a:fillRect/>
        </a:stretch>
      </xdr:blipFill>
      <xdr:spPr bwMode="auto">
        <a:xfrm>
          <a:off x="2603499" y="467868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255</xdr:row>
      <xdr:rowOff>12700</xdr:rowOff>
    </xdr:from>
    <xdr:to>
      <xdr:col>4</xdr:col>
      <xdr:colOff>2603499</xdr:colOff>
      <xdr:row>255</xdr:row>
      <xdr:rowOff>1409700</xdr:rowOff>
    </xdr:to>
    <xdr:pic>
      <xdr:nvPicPr>
        <xdr:cNvPr id="343" name="Picture 229">
          <a:extLst>
            <a:ext uri="{FF2B5EF4-FFF2-40B4-BE49-F238E27FC236}">
              <a16:creationId xmlns:a16="http://schemas.microsoft.com/office/drawing/2014/main" id="{6230ABCD-92E9-47D7-8F80-B0817959CEE8}"/>
            </a:ext>
          </a:extLst>
        </xdr:cNvPr>
        <xdr:cNvPicPr>
          <a:picLocks noChangeArrowheads="1"/>
        </xdr:cNvPicPr>
      </xdr:nvPicPr>
      <xdr:blipFill>
        <a:blip xmlns:r="http://schemas.openxmlformats.org/officeDocument/2006/relationships" r:embed="rId342">
          <a:extLst>
            <a:ext uri="{28A0092B-C50C-407E-A947-70E740481C1C}">
              <a14:useLocalDpi xmlns:a14="http://schemas.microsoft.com/office/drawing/2010/main" val="0"/>
            </a:ext>
          </a:extLst>
        </a:blip>
        <a:srcRect/>
        <a:stretch>
          <a:fillRect/>
        </a:stretch>
      </xdr:blipFill>
      <xdr:spPr bwMode="auto">
        <a:xfrm>
          <a:off x="2603499" y="469709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256</xdr:row>
      <xdr:rowOff>12700</xdr:rowOff>
    </xdr:from>
    <xdr:to>
      <xdr:col>4</xdr:col>
      <xdr:colOff>2603499</xdr:colOff>
      <xdr:row>256</xdr:row>
      <xdr:rowOff>1409700</xdr:rowOff>
    </xdr:to>
    <xdr:pic>
      <xdr:nvPicPr>
        <xdr:cNvPr id="344" name="Picture 230">
          <a:extLst>
            <a:ext uri="{FF2B5EF4-FFF2-40B4-BE49-F238E27FC236}">
              <a16:creationId xmlns:a16="http://schemas.microsoft.com/office/drawing/2014/main" id="{AFCA10C7-1C5C-4A8C-8D67-D498628399D6}"/>
            </a:ext>
          </a:extLst>
        </xdr:cNvPr>
        <xdr:cNvPicPr>
          <a:picLocks noChangeArrowheads="1"/>
        </xdr:cNvPicPr>
      </xdr:nvPicPr>
      <xdr:blipFill>
        <a:blip xmlns:r="http://schemas.openxmlformats.org/officeDocument/2006/relationships" r:embed="rId343">
          <a:extLst>
            <a:ext uri="{28A0092B-C50C-407E-A947-70E740481C1C}">
              <a14:useLocalDpi xmlns:a14="http://schemas.microsoft.com/office/drawing/2010/main" val="0"/>
            </a:ext>
          </a:extLst>
        </a:blip>
        <a:srcRect/>
        <a:stretch>
          <a:fillRect/>
        </a:stretch>
      </xdr:blipFill>
      <xdr:spPr bwMode="auto">
        <a:xfrm>
          <a:off x="2603499" y="471551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258</xdr:row>
      <xdr:rowOff>12700</xdr:rowOff>
    </xdr:from>
    <xdr:to>
      <xdr:col>4</xdr:col>
      <xdr:colOff>2603499</xdr:colOff>
      <xdr:row>258</xdr:row>
      <xdr:rowOff>1409700</xdr:rowOff>
    </xdr:to>
    <xdr:pic>
      <xdr:nvPicPr>
        <xdr:cNvPr id="345" name="Picture 231">
          <a:extLst>
            <a:ext uri="{FF2B5EF4-FFF2-40B4-BE49-F238E27FC236}">
              <a16:creationId xmlns:a16="http://schemas.microsoft.com/office/drawing/2014/main" id="{C977EAC4-40EB-494D-9CA1-D22FEAAF0EFE}"/>
            </a:ext>
          </a:extLst>
        </xdr:cNvPr>
        <xdr:cNvPicPr>
          <a:picLocks noChangeArrowheads="1"/>
        </xdr:cNvPicPr>
      </xdr:nvPicPr>
      <xdr:blipFill>
        <a:blip xmlns:r="http://schemas.openxmlformats.org/officeDocument/2006/relationships" r:embed="rId344">
          <a:extLst>
            <a:ext uri="{28A0092B-C50C-407E-A947-70E740481C1C}">
              <a14:useLocalDpi xmlns:a14="http://schemas.microsoft.com/office/drawing/2010/main" val="0"/>
            </a:ext>
          </a:extLst>
        </a:blip>
        <a:srcRect/>
        <a:stretch>
          <a:fillRect/>
        </a:stretch>
      </xdr:blipFill>
      <xdr:spPr bwMode="auto">
        <a:xfrm>
          <a:off x="2603499" y="475234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259</xdr:row>
      <xdr:rowOff>12700</xdr:rowOff>
    </xdr:from>
    <xdr:to>
      <xdr:col>4</xdr:col>
      <xdr:colOff>2603499</xdr:colOff>
      <xdr:row>259</xdr:row>
      <xdr:rowOff>1409700</xdr:rowOff>
    </xdr:to>
    <xdr:pic>
      <xdr:nvPicPr>
        <xdr:cNvPr id="346" name="Picture 232">
          <a:extLst>
            <a:ext uri="{FF2B5EF4-FFF2-40B4-BE49-F238E27FC236}">
              <a16:creationId xmlns:a16="http://schemas.microsoft.com/office/drawing/2014/main" id="{CDEF196C-F81D-475D-AD8B-7A6B06EB8F20}"/>
            </a:ext>
          </a:extLst>
        </xdr:cNvPr>
        <xdr:cNvPicPr>
          <a:picLocks noChangeArrowheads="1"/>
        </xdr:cNvPicPr>
      </xdr:nvPicPr>
      <xdr:blipFill>
        <a:blip xmlns:r="http://schemas.openxmlformats.org/officeDocument/2006/relationships" r:embed="rId345">
          <a:extLst>
            <a:ext uri="{28A0092B-C50C-407E-A947-70E740481C1C}">
              <a14:useLocalDpi xmlns:a14="http://schemas.microsoft.com/office/drawing/2010/main" val="0"/>
            </a:ext>
          </a:extLst>
        </a:blip>
        <a:srcRect/>
        <a:stretch>
          <a:fillRect/>
        </a:stretch>
      </xdr:blipFill>
      <xdr:spPr bwMode="auto">
        <a:xfrm>
          <a:off x="2603499" y="477075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260</xdr:row>
      <xdr:rowOff>12700</xdr:rowOff>
    </xdr:from>
    <xdr:to>
      <xdr:col>4</xdr:col>
      <xdr:colOff>2603499</xdr:colOff>
      <xdr:row>260</xdr:row>
      <xdr:rowOff>1409700</xdr:rowOff>
    </xdr:to>
    <xdr:pic>
      <xdr:nvPicPr>
        <xdr:cNvPr id="347" name="Picture 233">
          <a:extLst>
            <a:ext uri="{FF2B5EF4-FFF2-40B4-BE49-F238E27FC236}">
              <a16:creationId xmlns:a16="http://schemas.microsoft.com/office/drawing/2014/main" id="{898843E9-C8B9-4A2A-812F-6C31B8BFD09E}"/>
            </a:ext>
          </a:extLst>
        </xdr:cNvPr>
        <xdr:cNvPicPr>
          <a:picLocks noChangeArrowheads="1"/>
        </xdr:cNvPicPr>
      </xdr:nvPicPr>
      <xdr:blipFill>
        <a:blip xmlns:r="http://schemas.openxmlformats.org/officeDocument/2006/relationships" r:embed="rId346">
          <a:extLst>
            <a:ext uri="{28A0092B-C50C-407E-A947-70E740481C1C}">
              <a14:useLocalDpi xmlns:a14="http://schemas.microsoft.com/office/drawing/2010/main" val="0"/>
            </a:ext>
          </a:extLst>
        </a:blip>
        <a:srcRect/>
        <a:stretch>
          <a:fillRect/>
        </a:stretch>
      </xdr:blipFill>
      <xdr:spPr bwMode="auto">
        <a:xfrm>
          <a:off x="2603499" y="478917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261</xdr:row>
      <xdr:rowOff>12700</xdr:rowOff>
    </xdr:from>
    <xdr:to>
      <xdr:col>4</xdr:col>
      <xdr:colOff>2603499</xdr:colOff>
      <xdr:row>261</xdr:row>
      <xdr:rowOff>1409700</xdr:rowOff>
    </xdr:to>
    <xdr:pic>
      <xdr:nvPicPr>
        <xdr:cNvPr id="348" name="Picture 234">
          <a:extLst>
            <a:ext uri="{FF2B5EF4-FFF2-40B4-BE49-F238E27FC236}">
              <a16:creationId xmlns:a16="http://schemas.microsoft.com/office/drawing/2014/main" id="{57E2C5D2-2DF1-4255-BE5E-B92C195259C5}"/>
            </a:ext>
          </a:extLst>
        </xdr:cNvPr>
        <xdr:cNvPicPr>
          <a:picLocks noChangeArrowheads="1"/>
        </xdr:cNvPicPr>
      </xdr:nvPicPr>
      <xdr:blipFill>
        <a:blip xmlns:r="http://schemas.openxmlformats.org/officeDocument/2006/relationships" r:embed="rId347">
          <a:extLst>
            <a:ext uri="{28A0092B-C50C-407E-A947-70E740481C1C}">
              <a14:useLocalDpi xmlns:a14="http://schemas.microsoft.com/office/drawing/2010/main" val="0"/>
            </a:ext>
          </a:extLst>
        </a:blip>
        <a:srcRect/>
        <a:stretch>
          <a:fillRect/>
        </a:stretch>
      </xdr:blipFill>
      <xdr:spPr bwMode="auto">
        <a:xfrm>
          <a:off x="2603499" y="480758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262</xdr:row>
      <xdr:rowOff>12700</xdr:rowOff>
    </xdr:from>
    <xdr:to>
      <xdr:col>4</xdr:col>
      <xdr:colOff>2603499</xdr:colOff>
      <xdr:row>262</xdr:row>
      <xdr:rowOff>1409700</xdr:rowOff>
    </xdr:to>
    <xdr:pic>
      <xdr:nvPicPr>
        <xdr:cNvPr id="349" name="Picture 235">
          <a:extLst>
            <a:ext uri="{FF2B5EF4-FFF2-40B4-BE49-F238E27FC236}">
              <a16:creationId xmlns:a16="http://schemas.microsoft.com/office/drawing/2014/main" id="{3CB062CB-E353-4013-A2BF-4F7DC3717E78}"/>
            </a:ext>
          </a:extLst>
        </xdr:cNvPr>
        <xdr:cNvPicPr>
          <a:picLocks noChangeArrowheads="1"/>
        </xdr:cNvPicPr>
      </xdr:nvPicPr>
      <xdr:blipFill>
        <a:blip xmlns:r="http://schemas.openxmlformats.org/officeDocument/2006/relationships" r:embed="rId348">
          <a:extLst>
            <a:ext uri="{28A0092B-C50C-407E-A947-70E740481C1C}">
              <a14:useLocalDpi xmlns:a14="http://schemas.microsoft.com/office/drawing/2010/main" val="0"/>
            </a:ext>
          </a:extLst>
        </a:blip>
        <a:srcRect/>
        <a:stretch>
          <a:fillRect/>
        </a:stretch>
      </xdr:blipFill>
      <xdr:spPr bwMode="auto">
        <a:xfrm>
          <a:off x="2603499" y="482600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263</xdr:row>
      <xdr:rowOff>12700</xdr:rowOff>
    </xdr:from>
    <xdr:to>
      <xdr:col>4</xdr:col>
      <xdr:colOff>2603499</xdr:colOff>
      <xdr:row>263</xdr:row>
      <xdr:rowOff>1409700</xdr:rowOff>
    </xdr:to>
    <xdr:pic>
      <xdr:nvPicPr>
        <xdr:cNvPr id="350" name="Picture 236">
          <a:extLst>
            <a:ext uri="{FF2B5EF4-FFF2-40B4-BE49-F238E27FC236}">
              <a16:creationId xmlns:a16="http://schemas.microsoft.com/office/drawing/2014/main" id="{5C94AE4A-2429-4335-938A-2C6412AB1590}"/>
            </a:ext>
          </a:extLst>
        </xdr:cNvPr>
        <xdr:cNvPicPr>
          <a:picLocks noChangeArrowheads="1"/>
        </xdr:cNvPicPr>
      </xdr:nvPicPr>
      <xdr:blipFill>
        <a:blip xmlns:r="http://schemas.openxmlformats.org/officeDocument/2006/relationships" r:embed="rId349">
          <a:extLst>
            <a:ext uri="{28A0092B-C50C-407E-A947-70E740481C1C}">
              <a14:useLocalDpi xmlns:a14="http://schemas.microsoft.com/office/drawing/2010/main" val="0"/>
            </a:ext>
          </a:extLst>
        </a:blip>
        <a:srcRect/>
        <a:stretch>
          <a:fillRect/>
        </a:stretch>
      </xdr:blipFill>
      <xdr:spPr bwMode="auto">
        <a:xfrm>
          <a:off x="2603499" y="484441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264</xdr:row>
      <xdr:rowOff>12700</xdr:rowOff>
    </xdr:from>
    <xdr:to>
      <xdr:col>4</xdr:col>
      <xdr:colOff>2603499</xdr:colOff>
      <xdr:row>264</xdr:row>
      <xdr:rowOff>1409700</xdr:rowOff>
    </xdr:to>
    <xdr:pic>
      <xdr:nvPicPr>
        <xdr:cNvPr id="351" name="Picture 237">
          <a:extLst>
            <a:ext uri="{FF2B5EF4-FFF2-40B4-BE49-F238E27FC236}">
              <a16:creationId xmlns:a16="http://schemas.microsoft.com/office/drawing/2014/main" id="{C5174655-0446-496C-9959-8B976A00F0E5}"/>
            </a:ext>
          </a:extLst>
        </xdr:cNvPr>
        <xdr:cNvPicPr>
          <a:picLocks noChangeArrowheads="1"/>
        </xdr:cNvPicPr>
      </xdr:nvPicPr>
      <xdr:blipFill>
        <a:blip xmlns:r="http://schemas.openxmlformats.org/officeDocument/2006/relationships" r:embed="rId350">
          <a:extLst>
            <a:ext uri="{28A0092B-C50C-407E-A947-70E740481C1C}">
              <a14:useLocalDpi xmlns:a14="http://schemas.microsoft.com/office/drawing/2010/main" val="0"/>
            </a:ext>
          </a:extLst>
        </a:blip>
        <a:srcRect/>
        <a:stretch>
          <a:fillRect/>
        </a:stretch>
      </xdr:blipFill>
      <xdr:spPr bwMode="auto">
        <a:xfrm>
          <a:off x="2603499" y="486283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265</xdr:row>
      <xdr:rowOff>12700</xdr:rowOff>
    </xdr:from>
    <xdr:to>
      <xdr:col>4</xdr:col>
      <xdr:colOff>2603499</xdr:colOff>
      <xdr:row>265</xdr:row>
      <xdr:rowOff>1409700</xdr:rowOff>
    </xdr:to>
    <xdr:pic>
      <xdr:nvPicPr>
        <xdr:cNvPr id="352" name="Picture 238">
          <a:extLst>
            <a:ext uri="{FF2B5EF4-FFF2-40B4-BE49-F238E27FC236}">
              <a16:creationId xmlns:a16="http://schemas.microsoft.com/office/drawing/2014/main" id="{573232A4-2686-4F79-A318-C0CB1DB28603}"/>
            </a:ext>
          </a:extLst>
        </xdr:cNvPr>
        <xdr:cNvPicPr>
          <a:picLocks noChangeArrowheads="1"/>
        </xdr:cNvPicPr>
      </xdr:nvPicPr>
      <xdr:blipFill>
        <a:blip xmlns:r="http://schemas.openxmlformats.org/officeDocument/2006/relationships" r:embed="rId351">
          <a:extLst>
            <a:ext uri="{28A0092B-C50C-407E-A947-70E740481C1C}">
              <a14:useLocalDpi xmlns:a14="http://schemas.microsoft.com/office/drawing/2010/main" val="0"/>
            </a:ext>
          </a:extLst>
        </a:blip>
        <a:srcRect/>
        <a:stretch>
          <a:fillRect/>
        </a:stretch>
      </xdr:blipFill>
      <xdr:spPr bwMode="auto">
        <a:xfrm>
          <a:off x="2603499" y="488124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266</xdr:row>
      <xdr:rowOff>12700</xdr:rowOff>
    </xdr:from>
    <xdr:to>
      <xdr:col>4</xdr:col>
      <xdr:colOff>2603499</xdr:colOff>
      <xdr:row>266</xdr:row>
      <xdr:rowOff>1409700</xdr:rowOff>
    </xdr:to>
    <xdr:pic>
      <xdr:nvPicPr>
        <xdr:cNvPr id="353" name="Picture 239">
          <a:extLst>
            <a:ext uri="{FF2B5EF4-FFF2-40B4-BE49-F238E27FC236}">
              <a16:creationId xmlns:a16="http://schemas.microsoft.com/office/drawing/2014/main" id="{239294E0-2C0F-4E53-86F4-3488DC72C331}"/>
            </a:ext>
          </a:extLst>
        </xdr:cNvPr>
        <xdr:cNvPicPr>
          <a:picLocks noChangeArrowheads="1"/>
        </xdr:cNvPicPr>
      </xdr:nvPicPr>
      <xdr:blipFill>
        <a:blip xmlns:r="http://schemas.openxmlformats.org/officeDocument/2006/relationships" r:embed="rId352">
          <a:extLst>
            <a:ext uri="{28A0092B-C50C-407E-A947-70E740481C1C}">
              <a14:useLocalDpi xmlns:a14="http://schemas.microsoft.com/office/drawing/2010/main" val="0"/>
            </a:ext>
          </a:extLst>
        </a:blip>
        <a:srcRect/>
        <a:stretch>
          <a:fillRect/>
        </a:stretch>
      </xdr:blipFill>
      <xdr:spPr bwMode="auto">
        <a:xfrm>
          <a:off x="2603499" y="489966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267</xdr:row>
      <xdr:rowOff>12700</xdr:rowOff>
    </xdr:from>
    <xdr:to>
      <xdr:col>4</xdr:col>
      <xdr:colOff>2603499</xdr:colOff>
      <xdr:row>267</xdr:row>
      <xdr:rowOff>1409700</xdr:rowOff>
    </xdr:to>
    <xdr:pic>
      <xdr:nvPicPr>
        <xdr:cNvPr id="354" name="Picture 240">
          <a:extLst>
            <a:ext uri="{FF2B5EF4-FFF2-40B4-BE49-F238E27FC236}">
              <a16:creationId xmlns:a16="http://schemas.microsoft.com/office/drawing/2014/main" id="{71876903-1340-40EB-AE3D-C551931DA626}"/>
            </a:ext>
          </a:extLst>
        </xdr:cNvPr>
        <xdr:cNvPicPr>
          <a:picLocks noChangeArrowheads="1"/>
        </xdr:cNvPicPr>
      </xdr:nvPicPr>
      <xdr:blipFill>
        <a:blip xmlns:r="http://schemas.openxmlformats.org/officeDocument/2006/relationships" r:embed="rId353">
          <a:extLst>
            <a:ext uri="{28A0092B-C50C-407E-A947-70E740481C1C}">
              <a14:useLocalDpi xmlns:a14="http://schemas.microsoft.com/office/drawing/2010/main" val="0"/>
            </a:ext>
          </a:extLst>
        </a:blip>
        <a:srcRect/>
        <a:stretch>
          <a:fillRect/>
        </a:stretch>
      </xdr:blipFill>
      <xdr:spPr bwMode="auto">
        <a:xfrm>
          <a:off x="2603499" y="491807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269</xdr:row>
      <xdr:rowOff>12700</xdr:rowOff>
    </xdr:from>
    <xdr:to>
      <xdr:col>4</xdr:col>
      <xdr:colOff>2603499</xdr:colOff>
      <xdr:row>269</xdr:row>
      <xdr:rowOff>1409700</xdr:rowOff>
    </xdr:to>
    <xdr:pic>
      <xdr:nvPicPr>
        <xdr:cNvPr id="355" name="Picture 241">
          <a:extLst>
            <a:ext uri="{FF2B5EF4-FFF2-40B4-BE49-F238E27FC236}">
              <a16:creationId xmlns:a16="http://schemas.microsoft.com/office/drawing/2014/main" id="{2FC9BDD2-1A8C-4714-ADB0-29BF056B0F17}"/>
            </a:ext>
          </a:extLst>
        </xdr:cNvPr>
        <xdr:cNvPicPr>
          <a:picLocks noChangeArrowheads="1"/>
        </xdr:cNvPicPr>
      </xdr:nvPicPr>
      <xdr:blipFill>
        <a:blip xmlns:r="http://schemas.openxmlformats.org/officeDocument/2006/relationships" r:embed="rId354">
          <a:extLst>
            <a:ext uri="{28A0092B-C50C-407E-A947-70E740481C1C}">
              <a14:useLocalDpi xmlns:a14="http://schemas.microsoft.com/office/drawing/2010/main" val="0"/>
            </a:ext>
          </a:extLst>
        </a:blip>
        <a:srcRect/>
        <a:stretch>
          <a:fillRect/>
        </a:stretch>
      </xdr:blipFill>
      <xdr:spPr bwMode="auto">
        <a:xfrm>
          <a:off x="2603499" y="495490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270</xdr:row>
      <xdr:rowOff>12700</xdr:rowOff>
    </xdr:from>
    <xdr:to>
      <xdr:col>4</xdr:col>
      <xdr:colOff>2603499</xdr:colOff>
      <xdr:row>270</xdr:row>
      <xdr:rowOff>1409700</xdr:rowOff>
    </xdr:to>
    <xdr:pic>
      <xdr:nvPicPr>
        <xdr:cNvPr id="356" name="Picture 242">
          <a:extLst>
            <a:ext uri="{FF2B5EF4-FFF2-40B4-BE49-F238E27FC236}">
              <a16:creationId xmlns:a16="http://schemas.microsoft.com/office/drawing/2014/main" id="{3627D624-4D05-49C5-AAA4-5AE04E49D298}"/>
            </a:ext>
          </a:extLst>
        </xdr:cNvPr>
        <xdr:cNvPicPr>
          <a:picLocks noChangeArrowheads="1"/>
        </xdr:cNvPicPr>
      </xdr:nvPicPr>
      <xdr:blipFill>
        <a:blip xmlns:r="http://schemas.openxmlformats.org/officeDocument/2006/relationships" r:embed="rId355">
          <a:extLst>
            <a:ext uri="{28A0092B-C50C-407E-A947-70E740481C1C}">
              <a14:useLocalDpi xmlns:a14="http://schemas.microsoft.com/office/drawing/2010/main" val="0"/>
            </a:ext>
          </a:extLst>
        </a:blip>
        <a:srcRect/>
        <a:stretch>
          <a:fillRect/>
        </a:stretch>
      </xdr:blipFill>
      <xdr:spPr bwMode="auto">
        <a:xfrm>
          <a:off x="2603499" y="4973320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63499</xdr:colOff>
      <xdr:row>271</xdr:row>
      <xdr:rowOff>12700</xdr:rowOff>
    </xdr:from>
    <xdr:to>
      <xdr:col>4</xdr:col>
      <xdr:colOff>2603499</xdr:colOff>
      <xdr:row>271</xdr:row>
      <xdr:rowOff>1409700</xdr:rowOff>
    </xdr:to>
    <xdr:pic>
      <xdr:nvPicPr>
        <xdr:cNvPr id="357" name="Picture 243">
          <a:extLst>
            <a:ext uri="{FF2B5EF4-FFF2-40B4-BE49-F238E27FC236}">
              <a16:creationId xmlns:a16="http://schemas.microsoft.com/office/drawing/2014/main" id="{6A31D30D-B3A2-4492-927E-1B5220654467}"/>
            </a:ext>
          </a:extLst>
        </xdr:cNvPr>
        <xdr:cNvPicPr>
          <a:picLocks noChangeArrowheads="1"/>
        </xdr:cNvPicPr>
      </xdr:nvPicPr>
      <xdr:blipFill>
        <a:blip xmlns:r="http://schemas.openxmlformats.org/officeDocument/2006/relationships" r:embed="rId356">
          <a:extLst>
            <a:ext uri="{28A0092B-C50C-407E-A947-70E740481C1C}">
              <a14:useLocalDpi xmlns:a14="http://schemas.microsoft.com/office/drawing/2010/main" val="0"/>
            </a:ext>
          </a:extLst>
        </a:blip>
        <a:srcRect/>
        <a:stretch>
          <a:fillRect/>
        </a:stretch>
      </xdr:blipFill>
      <xdr:spPr bwMode="auto">
        <a:xfrm>
          <a:off x="2603499" y="49917350"/>
          <a:ext cx="571500" cy="171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0</xdr:colOff>
      <xdr:row>13</xdr:row>
      <xdr:rowOff>9525</xdr:rowOff>
    </xdr:from>
    <xdr:to>
      <xdr:col>12</xdr:col>
      <xdr:colOff>9525</xdr:colOff>
      <xdr:row>31</xdr:row>
      <xdr:rowOff>152400</xdr:rowOff>
    </xdr:to>
    <xdr:graphicFrame macro="">
      <xdr:nvGraphicFramePr>
        <xdr:cNvPr id="5122" name="Chart 2">
          <a:extLst>
            <a:ext uri="{FF2B5EF4-FFF2-40B4-BE49-F238E27FC236}">
              <a16:creationId xmlns:a16="http://schemas.microsoft.com/office/drawing/2014/main" id="{00000000-0008-0000-0500-000002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44</xdr:row>
      <xdr:rowOff>0</xdr:rowOff>
    </xdr:from>
    <xdr:to>
      <xdr:col>12</xdr:col>
      <xdr:colOff>28575</xdr:colOff>
      <xdr:row>62</xdr:row>
      <xdr:rowOff>152400</xdr:rowOff>
    </xdr:to>
    <xdr:graphicFrame macro="">
      <xdr:nvGraphicFramePr>
        <xdr:cNvPr id="5123" name="Chart 3">
          <a:extLst>
            <a:ext uri="{FF2B5EF4-FFF2-40B4-BE49-F238E27FC236}">
              <a16:creationId xmlns:a16="http://schemas.microsoft.com/office/drawing/2014/main" id="{00000000-0008-0000-0500-000003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106</xdr:row>
      <xdr:rowOff>0</xdr:rowOff>
    </xdr:from>
    <xdr:to>
      <xdr:col>12</xdr:col>
      <xdr:colOff>38100</xdr:colOff>
      <xdr:row>125</xdr:row>
      <xdr:rowOff>0</xdr:rowOff>
    </xdr:to>
    <xdr:graphicFrame macro="">
      <xdr:nvGraphicFramePr>
        <xdr:cNvPr id="5124" name="Chart 4">
          <a:extLst>
            <a:ext uri="{FF2B5EF4-FFF2-40B4-BE49-F238E27FC236}">
              <a16:creationId xmlns:a16="http://schemas.microsoft.com/office/drawing/2014/main" id="{00000000-0008-0000-0500-0000041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75</xdr:row>
      <xdr:rowOff>0</xdr:rowOff>
    </xdr:from>
    <xdr:to>
      <xdr:col>12</xdr:col>
      <xdr:colOff>28575</xdr:colOff>
      <xdr:row>93</xdr:row>
      <xdr:rowOff>152400</xdr:rowOff>
    </xdr:to>
    <xdr:graphicFrame macro="">
      <xdr:nvGraphicFramePr>
        <xdr:cNvPr id="6" name="Chart 3">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13</xdr:row>
      <xdr:rowOff>9525</xdr:rowOff>
    </xdr:from>
    <xdr:to>
      <xdr:col>12</xdr:col>
      <xdr:colOff>9525</xdr:colOff>
      <xdr:row>31</xdr:row>
      <xdr:rowOff>152400</xdr:rowOff>
    </xdr:to>
    <xdr:graphicFrame macro="">
      <xdr:nvGraphicFramePr>
        <xdr:cNvPr id="2" name="Chart 2">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44</xdr:row>
      <xdr:rowOff>0</xdr:rowOff>
    </xdr:from>
    <xdr:to>
      <xdr:col>12</xdr:col>
      <xdr:colOff>28575</xdr:colOff>
      <xdr:row>62</xdr:row>
      <xdr:rowOff>152400</xdr:rowOff>
    </xdr:to>
    <xdr:graphicFrame macro="">
      <xdr:nvGraphicFramePr>
        <xdr:cNvPr id="3" name="Chart 3">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106</xdr:row>
      <xdr:rowOff>0</xdr:rowOff>
    </xdr:from>
    <xdr:to>
      <xdr:col>12</xdr:col>
      <xdr:colOff>38100</xdr:colOff>
      <xdr:row>125</xdr:row>
      <xdr:rowOff>0</xdr:rowOff>
    </xdr:to>
    <xdr:graphicFrame macro="">
      <xdr:nvGraphicFramePr>
        <xdr:cNvPr id="4" name="Chart 4">
          <a:extLst>
            <a:ext uri="{FF2B5EF4-FFF2-40B4-BE49-F238E27FC236}">
              <a16:creationId xmlns:a16="http://schemas.microsoft.com/office/drawing/2014/main" id="{00000000-0008-0000-06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75</xdr:row>
      <xdr:rowOff>0</xdr:rowOff>
    </xdr:from>
    <xdr:to>
      <xdr:col>12</xdr:col>
      <xdr:colOff>28575</xdr:colOff>
      <xdr:row>93</xdr:row>
      <xdr:rowOff>152400</xdr:rowOff>
    </xdr:to>
    <xdr:graphicFrame macro="">
      <xdr:nvGraphicFramePr>
        <xdr:cNvPr id="5" name="Chart 3">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13</xdr:row>
      <xdr:rowOff>9525</xdr:rowOff>
    </xdr:from>
    <xdr:to>
      <xdr:col>12</xdr:col>
      <xdr:colOff>9525</xdr:colOff>
      <xdr:row>31</xdr:row>
      <xdr:rowOff>152400</xdr:rowOff>
    </xdr:to>
    <xdr:graphicFrame macro="">
      <xdr:nvGraphicFramePr>
        <xdr:cNvPr id="2" name="Chart 2">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44</xdr:row>
      <xdr:rowOff>0</xdr:rowOff>
    </xdr:from>
    <xdr:to>
      <xdr:col>12</xdr:col>
      <xdr:colOff>28575</xdr:colOff>
      <xdr:row>62</xdr:row>
      <xdr:rowOff>152400</xdr:rowOff>
    </xdr:to>
    <xdr:graphicFrame macro="">
      <xdr:nvGraphicFramePr>
        <xdr:cNvPr id="3" name="Chart 3">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106</xdr:row>
      <xdr:rowOff>0</xdr:rowOff>
    </xdr:from>
    <xdr:to>
      <xdr:col>12</xdr:col>
      <xdr:colOff>38100</xdr:colOff>
      <xdr:row>125</xdr:row>
      <xdr:rowOff>0</xdr:rowOff>
    </xdr:to>
    <xdr:graphicFrame macro="">
      <xdr:nvGraphicFramePr>
        <xdr:cNvPr id="4" name="Chart 4">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75</xdr:row>
      <xdr:rowOff>0</xdr:rowOff>
    </xdr:from>
    <xdr:to>
      <xdr:col>12</xdr:col>
      <xdr:colOff>28575</xdr:colOff>
      <xdr:row>93</xdr:row>
      <xdr:rowOff>152400</xdr:rowOff>
    </xdr:to>
    <xdr:graphicFrame macro="">
      <xdr:nvGraphicFramePr>
        <xdr:cNvPr id="5" name="Chart 3">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E63F0-BDDB-49B5-B393-23B8C625A710}">
  <dimension ref="A1:AAH2"/>
  <sheetViews>
    <sheetView workbookViewId="0"/>
  </sheetViews>
  <sheetFormatPr defaultRowHeight="12.5" x14ac:dyDescent="0.25"/>
  <sheetData>
    <row r="1" spans="1:710" x14ac:dyDescent="0.25">
      <c r="A1">
        <v>1</v>
      </c>
      <c r="B1">
        <v>356</v>
      </c>
      <c r="C1">
        <v>355</v>
      </c>
      <c r="D1">
        <v>710</v>
      </c>
      <c r="E1">
        <v>0</v>
      </c>
      <c r="F1">
        <v>0</v>
      </c>
      <c r="G1">
        <v>0</v>
      </c>
    </row>
    <row r="2" spans="1:710" x14ac:dyDescent="0.25">
      <c r="A2" s="1">
        <f>'Base data'!$N$4</f>
        <v>6703.7065418660641</v>
      </c>
      <c r="B2" s="1" t="e">
        <f ca="1">_xll.RiskOutput(CONCATENATE("SC",'Base data'!N2," in ",[0]!Y_SCC))+'Impacts A-B'!M450</f>
        <v>#NAME?</v>
      </c>
      <c r="C2">
        <f>'Base data'!$B$16</f>
        <v>30</v>
      </c>
      <c r="D2" t="e">
        <f ca="1">RiskValStatic(30)+_xll.RiskTriang(25,30,35)</f>
        <v>#NAME?</v>
      </c>
      <c r="E2" s="6">
        <f>'Library data'!$C$4</f>
        <v>62</v>
      </c>
      <c r="F2" t="e">
        <f ca="1">RiskValStatic(62)+_xll.RiskTriang('Library data'!D4,'Library data'!E4,'Library data'!F4)</f>
        <v>#NAME?</v>
      </c>
      <c r="G2" s="6">
        <f>'Library data'!$C$5</f>
        <v>73.333333330000002</v>
      </c>
      <c r="H2" t="e">
        <f ca="1">RiskValStatic(73.33333333)+_xll.RiskTriang('Library data'!D5,'Library data'!E5,'Library data'!F5)</f>
        <v>#NAME?</v>
      </c>
      <c r="I2" s="6">
        <f>'Library data'!$C$6</f>
        <v>1.7</v>
      </c>
      <c r="J2" t="e">
        <f ca="1">RiskValStatic(1.7)+_xll.RiskTriang('Library data'!D6, 'Library data'!E6, 'Library data'!F6)</f>
        <v>#NAME?</v>
      </c>
      <c r="K2" s="6">
        <f>'Library data'!$C$7</f>
        <v>9.6666666669999994</v>
      </c>
      <c r="L2" t="e">
        <f ca="1">RiskValStatic(9.666666667)+_xll.RiskTriang('Library data'!D7,'Library data'!E7,'Library data'!F7)</f>
        <v>#NAME?</v>
      </c>
      <c r="M2" s="6">
        <f>'Library data'!$C$8</f>
        <v>53.333333330000002</v>
      </c>
      <c r="N2" t="e">
        <f ca="1">RiskValStatic(53.33333333)+_xll.RiskTriang('Library data'!D8,'Library data'!E8,'Library data'!F8)</f>
        <v>#NAME?</v>
      </c>
      <c r="O2" s="6">
        <f>'Library data'!$C$9</f>
        <v>1.4</v>
      </c>
      <c r="P2" t="e">
        <f ca="1">RiskValStatic(1.4)+_xll.RiskTriang('Library data'!D9,'Library data'!E9,'Library data'!F9)</f>
        <v>#NAME?</v>
      </c>
      <c r="Q2" s="6">
        <f>'Library data'!$C$10</f>
        <v>1.5</v>
      </c>
      <c r="R2" t="e">
        <f ca="1">RiskValStatic(1.5)+_xll.RiskTriang('Library data'!D10,'Library data'!E10,'Library data'!F10)</f>
        <v>#NAME?</v>
      </c>
      <c r="S2" s="6">
        <f>'Library data'!$C$11</f>
        <v>-0.46666666670000001</v>
      </c>
      <c r="T2" t="e">
        <f ca="1">RiskValStatic(-0.4666666667)+_xll.RiskTriang('Library data'!D11,'Library data'!E11,'Library data'!F11)</f>
        <v>#NAME?</v>
      </c>
      <c r="U2" s="6">
        <f>'Library data'!$C$12</f>
        <v>-0.4</v>
      </c>
      <c r="V2" t="e">
        <f ca="1">RiskValStatic(-0.4)+_xll.RiskTriang('Library data'!D12,'Library data'!E12,'Library data'!F12)</f>
        <v>#NAME?</v>
      </c>
      <c r="W2" s="6">
        <f>'Library data'!$C$13</f>
        <v>0.15</v>
      </c>
      <c r="X2" t="e">
        <f ca="1">RiskValStatic(0.15)+_xll.RiskTriang('Library data'!D13,'Library data'!E13,'Library data'!F13)</f>
        <v>#NAME?</v>
      </c>
      <c r="Y2" s="6">
        <f>'Library data'!$C$14</f>
        <v>1.733333333</v>
      </c>
      <c r="Z2" t="e">
        <f ca="1">RiskValStatic(1.733333333)+_xll.RiskTriang('Library data'!D14,'Library data'!E14,'Library data'!F14)</f>
        <v>#NAME?</v>
      </c>
      <c r="AA2" s="6">
        <f>'Library data'!$C$15</f>
        <v>1</v>
      </c>
      <c r="AB2" t="e">
        <f ca="1">RiskValStatic(1)+_xll.RiskTriang('Library data'!D15,'Library data'!E15,'Library data'!F15)</f>
        <v>#NAME?</v>
      </c>
      <c r="AC2" s="6">
        <f>'Library data'!$C$16</f>
        <v>1000</v>
      </c>
      <c r="AD2" t="e">
        <f ca="1">RiskValStatic(1000)+_xll.RiskTriang('Library data'!D16,'Library data'!E16,'Library data'!F16)</f>
        <v>#NAME?</v>
      </c>
      <c r="AE2" s="6">
        <f>'Library data'!$C$17</f>
        <v>35</v>
      </c>
      <c r="AF2" t="e">
        <f ca="1">RiskValStatic(35)+_xll.RiskTriang('Library data'!D17,'Library data'!E17,'Library data'!F17)</f>
        <v>#NAME?</v>
      </c>
      <c r="AG2" s="6">
        <f>'Library data'!$C$18</f>
        <v>3.5</v>
      </c>
      <c r="AH2" t="e">
        <f ca="1">_xll.RiskOutput("Climate Sensitivity Factor")+RiskValStatic(3.5)+_xll.RiskDiscrete('Library data'!J2:J1001,'Library data'!K2:K1001)</f>
        <v>#NAME?</v>
      </c>
      <c r="AI2" s="6">
        <f>'Library data'!$C$21</f>
        <v>3</v>
      </c>
      <c r="AJ2" t="e">
        <f ca="1">RiskValStatic(3)+_xll.RiskTriang('Library data'!D21,'Library data'!E21,'Library data'!F21)</f>
        <v>#NAME?</v>
      </c>
      <c r="AK2" s="6">
        <f>'Library data'!$C$22</f>
        <v>20</v>
      </c>
      <c r="AL2" t="e">
        <f ca="1">RiskValStatic(20)+_xll.RiskTriang('Library data'!D22,'Library data'!E22,'Library data'!F22)</f>
        <v>#NAME?</v>
      </c>
      <c r="AM2" s="6">
        <f>'Library data'!$C$25</f>
        <v>15</v>
      </c>
      <c r="AN2" t="e">
        <f ca="1">RiskValStatic(15)+_xll.RiskTriang('Library data'!D25,'Library data'!E25,'Library data'!F25)</f>
        <v>#NAME?</v>
      </c>
      <c r="AO2" s="6">
        <f>'Library data'!$C$26</f>
        <v>0.5</v>
      </c>
      <c r="AP2" t="e">
        <f ca="1">RiskValStatic(0.5)+_xll.RiskTriang('Library data'!D26,'Library data'!E26,'Library data'!F26)</f>
        <v>#NAME?</v>
      </c>
      <c r="AQ2" s="6">
        <f>'Library data'!$C$27</f>
        <v>3</v>
      </c>
      <c r="AR2" t="e">
        <f ca="1">RiskValStatic(3)+_xll.RiskTriang('Library data'!D27,'Library data'!E27,'Library data'!F27)</f>
        <v>#NAME?</v>
      </c>
      <c r="AS2" s="6">
        <f>'Library data'!$C$28</f>
        <v>0</v>
      </c>
      <c r="AT2" t="e">
        <f ca="1">RiskValStatic(0)+_xll.RiskTriang('Library data'!D28,'Library data'!E28,'Library data'!F28)</f>
        <v>#NAME?</v>
      </c>
      <c r="AU2" s="6">
        <f>'Library data'!$C$29</f>
        <v>1</v>
      </c>
      <c r="AV2" t="e">
        <f ca="1">RiskValStatic(1)+_xll.RiskTriang('Library data'!D29,'Library data'!E29,'Library data'!F29)</f>
        <v>#NAME?</v>
      </c>
      <c r="AW2" s="6">
        <f>'Library data'!$C$30</f>
        <v>0.73333333329999995</v>
      </c>
      <c r="AX2" t="e">
        <f ca="1">RiskValStatic(0.7333333333)+_xll.RiskTriang('Library data'!D30,'Library data'!E30,'Library data'!F30)</f>
        <v>#NAME?</v>
      </c>
      <c r="AY2" s="6">
        <f>'Library data'!$C$31</f>
        <v>-0.3</v>
      </c>
      <c r="AZ2" t="e">
        <f ca="1">RiskValStatic(-0.3)+_xll.RiskTriang('Library data'!D31,'Library data'!E31,'Library data'!F31)</f>
        <v>#NAME?</v>
      </c>
      <c r="BA2" s="6">
        <f>'Library data'!$C$32</f>
        <v>0.1333333333</v>
      </c>
      <c r="BB2" t="e">
        <f ca="1">RiskValStatic(0.1333333333)+_xll.RiskTriang('Library data'!D32,'Library data'!E32,'Library data'!F32)</f>
        <v>#NAME?</v>
      </c>
      <c r="BC2" s="6">
        <f>'Library data'!$C$33</f>
        <v>0.5</v>
      </c>
      <c r="BD2" t="e">
        <f ca="1">RiskValStatic(0.5)+_xll.RiskTriang('Library data'!D33,'Library data'!E33,'Library data'!F33)</f>
        <v>#NAME?</v>
      </c>
      <c r="BE2" s="6">
        <f>'Library data'!$C$34</f>
        <v>2.1666666669999999</v>
      </c>
      <c r="BF2" t="e">
        <f ca="1">RiskValStatic(2.166666667)+_xll.RiskTriang('Library data'!D34,'Library data'!E34,'Library data'!F34)</f>
        <v>#NAME?</v>
      </c>
      <c r="BG2" s="6">
        <f>'Library data'!$C$35</f>
        <v>-0.1333333333</v>
      </c>
      <c r="BH2" t="e">
        <f ca="1">RiskValStatic(-0.1333333333)+_xll.RiskTriang('Library data'!D35,'Library data'!E35,'Library data'!F35)</f>
        <v>#NAME?</v>
      </c>
      <c r="BI2" s="6">
        <f>'Library data'!$C$36</f>
        <v>8.3333333329999995E-2</v>
      </c>
      <c r="BJ2" t="e">
        <f ca="1">RiskValStatic(0.08333333333)+_xll.RiskTriang('Library data'!D36,'Library data'!E36,'Library data'!F36)</f>
        <v>#NAME?</v>
      </c>
      <c r="BK2" s="6">
        <f>'Library data'!$C$37</f>
        <v>0.53333333329999999</v>
      </c>
      <c r="BL2" t="e">
        <f ca="1">RiskValStatic(0.5333333333)+_xll.RiskTriang('Library data'!D37,'Library data'!E37,'Library data'!F37)</f>
        <v>#NAME?</v>
      </c>
      <c r="BM2" s="6">
        <f>'Library data'!$C$38</f>
        <v>2.1666666669999999</v>
      </c>
      <c r="BN2" t="e">
        <f ca="1">RiskValStatic(2.166666667)+_xll.RiskTriang('Library data'!D38,'Library data'!E38,'Library data'!F38)</f>
        <v>#NAME?</v>
      </c>
      <c r="BO2" s="6">
        <f>'Library data'!$C$39</f>
        <v>0</v>
      </c>
      <c r="BP2" t="e">
        <f ca="1">RiskValStatic(0)+_xll.RiskTriang('Library data'!D39,'Library data'!E39,'Library data'!F39)</f>
        <v>#NAME?</v>
      </c>
      <c r="BQ2" s="6">
        <f>'Library data'!$C$40</f>
        <v>15</v>
      </c>
      <c r="BR2" t="e">
        <f ca="1">RiskValStatic(15)+_xll.RiskTriang('Library data'!D40,'Library data'!E40,'Library data'!F40)</f>
        <v>#NAME?</v>
      </c>
      <c r="BS2" s="6">
        <f>'Library data'!$C$41</f>
        <v>-0.1333333333</v>
      </c>
      <c r="BT2" t="e">
        <f ca="1">RiskValStatic(-0.1333333333)+_xll.RiskTriang('Library data'!D41,'Library data'!E41,'Library data'!F41)</f>
        <v>#NAME?</v>
      </c>
      <c r="BU2" s="6">
        <f>'Library data'!$C$42</f>
        <v>90</v>
      </c>
      <c r="BV2" t="e">
        <f ca="1">RiskValStatic(90)+_xll.RiskTriang('Library data'!D42,'Library data'!E42,'Library data'!F42)</f>
        <v>#NAME?</v>
      </c>
      <c r="BW2" s="6">
        <f>'Library data'!$C$43</f>
        <v>33.333333330000002</v>
      </c>
      <c r="BX2" t="e">
        <f ca="1">RiskValStatic(33.33333333)+_xll.RiskTriang('Library data'!D43,'Library data'!E43,'Library data'!F43)</f>
        <v>#NAME?</v>
      </c>
      <c r="BY2">
        <f>'Library data'!$C$44</f>
        <v>53333333330</v>
      </c>
      <c r="BZ2" t="e">
        <f ca="1">RiskValStatic(53333333330)+_xll.RiskTriang('Library data'!D44,'Library data'!E44,'Library data'!F44)</f>
        <v>#NAME?</v>
      </c>
      <c r="CA2" s="6">
        <f>'Library data'!$C$45</f>
        <v>0.8</v>
      </c>
      <c r="CB2" t="e">
        <f ca="1">RiskValStatic(0.8)+_xll.RiskTriang('Library data'!D45,'Library data'!E45,'Library data'!F45)</f>
        <v>#NAME?</v>
      </c>
      <c r="CC2" s="6">
        <f>'Library data'!$C$46</f>
        <v>0.8</v>
      </c>
      <c r="CD2" t="e">
        <f ca="1">RiskValStatic(0.8)+_xll.RiskTriang('Library data'!D46,'Library data'!E46,'Library data'!F46)</f>
        <v>#NAME?</v>
      </c>
      <c r="CE2" s="6">
        <f>'Library data'!$C$47</f>
        <v>0.4</v>
      </c>
      <c r="CF2" t="e">
        <f ca="1">RiskValStatic(0.4)+_xll.RiskTriang('Library data'!D47,'Library data'!E47,'Library data'!F47)</f>
        <v>#NAME?</v>
      </c>
      <c r="CG2" s="6">
        <f>'Library data'!$C$48</f>
        <v>0.8</v>
      </c>
      <c r="CH2" t="e">
        <f ca="1">RiskValStatic(0.8)+_xll.RiskTriang('Library data'!D48,'Library data'!E48,'Library data'!F48)</f>
        <v>#NAME?</v>
      </c>
      <c r="CI2" s="6">
        <f>'Library data'!$C$49</f>
        <v>0.8</v>
      </c>
      <c r="CJ2" t="e">
        <f ca="1">RiskValStatic(0.8)+_xll.RiskTriang('Library data'!D49,'Library data'!E49,'Library data'!F49)</f>
        <v>#NAME?</v>
      </c>
      <c r="CK2" s="6">
        <f>'Library data'!$C$50</f>
        <v>0.6</v>
      </c>
      <c r="CL2" t="e">
        <f ca="1">RiskValStatic(0.6)+_xll.RiskTriang('Library data'!D50,'Library data'!E50,'Library data'!F50)</f>
        <v>#NAME?</v>
      </c>
      <c r="CM2" s="6">
        <f>'Library data'!$C$51</f>
        <v>0.6</v>
      </c>
      <c r="CN2" t="e">
        <f ca="1">RiskValStatic(0.6)+_xll.RiskTriang('Library data'!D51,'Library data'!E51,'Library data'!F51)</f>
        <v>#NAME?</v>
      </c>
      <c r="CO2">
        <f>'Library data'!$C$54</f>
        <v>2.3333333330000001E-2</v>
      </c>
      <c r="CP2" t="e">
        <f ca="1">RiskValStatic(0.02333333333)+_xll.RiskTriang('Library data'!D54,'Library data'!E54,'Library data'!F54)</f>
        <v>#NAME?</v>
      </c>
      <c r="CQ2">
        <f>'Library data'!$C$55</f>
        <v>1.166666667E-3</v>
      </c>
      <c r="CR2" t="e">
        <f ca="1">RiskValStatic(0.001166666667)+_xll.RiskTriang('Library data'!D55,'Library data'!E55,'Library data'!F55)</f>
        <v>#NAME?</v>
      </c>
      <c r="CS2">
        <f>'Library data'!$C$56</f>
        <v>1.1666666670000001E-2</v>
      </c>
      <c r="CT2" t="e">
        <f ca="1">RiskValStatic(0.01166666667)+_xll.RiskTriang('Library data'!D56,'Library data'!E56,'Library data'!F56)</f>
        <v>#NAME?</v>
      </c>
      <c r="CU2">
        <f>'Library data'!$C$57</f>
        <v>4.0000000000000001E-3</v>
      </c>
      <c r="CV2" t="e">
        <f ca="1">RiskValStatic(0.004)+_xll.RiskTriang('Library data'!D57,'Library data'!E57,'Library data'!F57)</f>
        <v>#NAME?</v>
      </c>
      <c r="CW2">
        <f>'Library data'!$C$58</f>
        <v>2.3333333330000001E-2</v>
      </c>
      <c r="CX2" t="e">
        <f ca="1">RiskValStatic(0.02333333333)+_xll.RiskTriang('Library data'!D58,'Library data'!E58,'Library data'!F58)</f>
        <v>#NAME?</v>
      </c>
      <c r="CY2">
        <f>'Library data'!$C$59</f>
        <v>5.6666666670000003E-3</v>
      </c>
      <c r="CZ2" t="e">
        <f ca="1">RiskValStatic(0.005666666667)+_xll.RiskTriang('Library data'!D59,'Library data'!E59,'Library data'!F59)</f>
        <v>#NAME?</v>
      </c>
      <c r="DA2" s="6">
        <f>'Library data'!$C$60</f>
        <v>0.8</v>
      </c>
      <c r="DB2" t="e">
        <f ca="1">RiskValStatic(0.8)+_xll.RiskTriang('Library data'!D60,'Library data'!E60,'Library data'!F60)</f>
        <v>#NAME?</v>
      </c>
      <c r="DC2" s="6">
        <f>'Library data'!$C$61</f>
        <v>0.8</v>
      </c>
      <c r="DD2" t="e">
        <f ca="1">RiskValStatic(0.8)+_xll.RiskTriang('Library data'!D61,'Library data'!E61,'Library data'!F61)</f>
        <v>#NAME?</v>
      </c>
      <c r="DE2" s="6">
        <f>'Library data'!$C$62</f>
        <v>0.4</v>
      </c>
      <c r="DF2" t="e">
        <f ca="1">RiskValStatic(0.4)+_xll.RiskTriang('Library data'!D62,'Library data'!E62,'Library data'!F62)</f>
        <v>#NAME?</v>
      </c>
      <c r="DG2" s="6">
        <f>'Library data'!$C$63</f>
        <v>0.8</v>
      </c>
      <c r="DH2" t="e">
        <f ca="1">RiskValStatic(0.8)+_xll.RiskTriang('Library data'!D63,'Library data'!E63,'Library data'!F63)</f>
        <v>#NAME?</v>
      </c>
      <c r="DI2" s="6">
        <f>'Library data'!$C$64</f>
        <v>0.8</v>
      </c>
      <c r="DJ2" t="e">
        <f ca="1">RiskValStatic(0.8)+_xll.RiskTriang('Library data'!D64,'Library data'!E64,'Library data'!F64)</f>
        <v>#NAME?</v>
      </c>
      <c r="DK2" s="6">
        <f>'Library data'!$C$65</f>
        <v>0.6</v>
      </c>
      <c r="DL2" t="e">
        <f ca="1">RiskValStatic(0.6)+_xll.RiskTriang('Library data'!D65,'Library data'!E65,'Library data'!F65)</f>
        <v>#NAME?</v>
      </c>
      <c r="DM2" s="6">
        <f>'Library data'!$C$66</f>
        <v>0.6</v>
      </c>
      <c r="DN2" t="e">
        <f ca="1">RiskValStatic(0.6)+_xll.RiskTriang('Library data'!D66,'Library data'!E66,'Library data'!F66)</f>
        <v>#NAME?</v>
      </c>
      <c r="DO2" s="6">
        <f>'Library data'!$C$70</f>
        <v>8.3333333330000006</v>
      </c>
      <c r="DP2" t="e">
        <f ca="1">RiskValStatic(8.333333333)+_xll.RiskTriang('Library data'!D70,'Library data'!E70,'Library data'!F70)</f>
        <v>#NAME?</v>
      </c>
      <c r="DQ2" s="6">
        <f>'Library data'!$C$71</f>
        <v>20</v>
      </c>
      <c r="DR2" t="e">
        <f ca="1">RiskValStatic(20)+_xll.RiskTriang('Library data'!D71,'Library data'!E71,'Library data'!F71)</f>
        <v>#NAME?</v>
      </c>
      <c r="DS2" s="6">
        <f>'Library data'!$C$72</f>
        <v>-233.33333329999999</v>
      </c>
      <c r="DT2" t="e">
        <f ca="1">RiskValStatic(-233.3333333)+_xll.RiskTriang('Library data'!D72,'Library data'!E72,'Library data'!F72)</f>
        <v>#NAME?</v>
      </c>
      <c r="DU2" s="6">
        <f>'Library data'!$C$73</f>
        <v>70</v>
      </c>
      <c r="DV2" t="e">
        <f ca="1">RiskValStatic(70)+_xll.RiskTriang('Library data'!D73,'Library data'!E73,'Library data'!F73)</f>
        <v>#NAME?</v>
      </c>
      <c r="DW2" s="6">
        <f>'Library data'!$C$74</f>
        <v>400</v>
      </c>
      <c r="DX2" t="e">
        <f ca="1">RiskValStatic(400)+_xll.RiskTriang('Library data'!D74,'Library data'!E74,'Library data'!F74)</f>
        <v>#NAME?</v>
      </c>
      <c r="DY2" s="6">
        <f>'Library data'!$C$75</f>
        <v>150000</v>
      </c>
      <c r="DZ2" t="e">
        <f ca="1">RiskValStatic(150000)+_xll.RiskTriang('Library data'!D75,'Library data'!E75,'Library data'!F75)</f>
        <v>#NAME?</v>
      </c>
      <c r="EA2" s="6">
        <f>'Library data'!$C$77</f>
        <v>25</v>
      </c>
      <c r="EB2" t="e">
        <f ca="1">RiskValStatic(25)+_xll.RiskTriang('Library data'!D77,'Library data'!E77,'Library data'!F77)</f>
        <v>#NAME?</v>
      </c>
      <c r="EC2" s="6">
        <f>'Library data'!$C$78</f>
        <v>10</v>
      </c>
      <c r="ED2" t="e">
        <f ca="1">RiskValStatic(10)+_xll.RiskTriang('Library data'!D78,'Library data'!E78,'Library data'!F78)</f>
        <v>#NAME?</v>
      </c>
      <c r="EE2" s="6">
        <f>'Library data'!$C$79</f>
        <v>-4333.3333329999996</v>
      </c>
      <c r="EF2" t="e">
        <f ca="1">RiskValStatic(-4333.333333)+_xll.RiskTriang('Library data'!D79,'Library data'!E79,'Library data'!F79)</f>
        <v>#NAME?</v>
      </c>
      <c r="EG2" s="6">
        <f>'Library data'!$C$80</f>
        <v>51.666666669999998</v>
      </c>
      <c r="EH2" t="e">
        <f ca="1">RiskValStatic(51.66666667)+_xll.RiskTriang('Library data'!D80,'Library data'!E80,'Library data'!F80)</f>
        <v>#NAME?</v>
      </c>
      <c r="EI2" s="6">
        <f>'Library data'!$C$81</f>
        <v>6333.3333329999996</v>
      </c>
      <c r="EJ2" t="e">
        <f ca="1">RiskValStatic(6333.333333)+_xll.RiskTriang('Library data'!D81,'Library data'!E81,'Library data'!F81)</f>
        <v>#NAME?</v>
      </c>
      <c r="EK2" s="6">
        <f>'Library data'!$C$82</f>
        <v>2000</v>
      </c>
      <c r="EL2" t="e">
        <f ca="1">RiskValStatic(2000)+_xll.RiskTriang('Library data'!D82,'Library data'!E82,'Library data'!F82)</f>
        <v>#NAME?</v>
      </c>
      <c r="EM2" s="6">
        <f>'Library data'!$C$84</f>
        <v>0</v>
      </c>
      <c r="EN2" t="e">
        <f ca="1">RiskValStatic(0)+_xll.RiskTriang('Library data'!D84,'Library data'!E84,'Library data'!F84)</f>
        <v>#NAME?</v>
      </c>
      <c r="EO2" s="6">
        <f>'Library data'!$C$85</f>
        <v>10</v>
      </c>
      <c r="EP2" t="e">
        <f ca="1">RiskValStatic(10)+_xll.RiskTriang('Library data'!D85,'Library data'!E85,'Library data'!F85)</f>
        <v>#NAME?</v>
      </c>
      <c r="EQ2" s="6">
        <f>'Library data'!$C$86</f>
        <v>-7333.3333329999996</v>
      </c>
      <c r="ER2" t="e">
        <f ca="1">RiskValStatic(-7333.333333)+_xll.RiskTriang('Library data'!D86,'Library data'!E86,'Library data'!F86)</f>
        <v>#NAME?</v>
      </c>
      <c r="ES2" s="6">
        <f>'Library data'!$C$87</f>
        <v>51.666666669999998</v>
      </c>
      <c r="ET2" t="e">
        <f ca="1">RiskValStatic(51.66666667)+_xll.RiskTriang('Library data'!D87,'Library data'!E87,'Library data'!F87)</f>
        <v>#NAME?</v>
      </c>
      <c r="EU2" s="6">
        <f>'Library data'!$C$88</f>
        <v>27333.333330000001</v>
      </c>
      <c r="EV2" t="e">
        <f ca="1">RiskValStatic(27333.33333)+_xll.RiskTriang('Library data'!D88,'Library data'!E88,'Library data'!F88)</f>
        <v>#NAME?</v>
      </c>
      <c r="EW2" s="6">
        <f>'Library data'!$C$89</f>
        <v>53.333333330000002</v>
      </c>
      <c r="EX2" t="e">
        <f ca="1">RiskValStatic(53.33333333)+_xll.RiskTriang('Library data'!D89,'Library data'!E89,'Library data'!F89)</f>
        <v>#NAME?</v>
      </c>
      <c r="EY2" s="6">
        <f>'Library data'!$C$91</f>
        <v>0</v>
      </c>
      <c r="EZ2" t="e">
        <f ca="1">RiskValStatic(0)+_xll.RiskTriang('Library data'!D91,'Library data'!E91,'Library data'!F91)</f>
        <v>#NAME?</v>
      </c>
      <c r="FA2" s="6">
        <f>'Library data'!$C$92</f>
        <v>10</v>
      </c>
      <c r="FB2" t="e">
        <f ca="1">RiskValStatic(10)+_xll.RiskTriang('Library data'!D92,'Library data'!E92,'Library data'!F92)</f>
        <v>#NAME?</v>
      </c>
      <c r="FC2" s="6">
        <f>'Library data'!$C$93</f>
        <v>-233.33333329999999</v>
      </c>
      <c r="FD2" t="e">
        <f ca="1">RiskValStatic(-233.3333333)+_xll.RiskTriang('Library data'!D93,'Library data'!E93,'Library data'!F93)</f>
        <v>#NAME?</v>
      </c>
      <c r="FE2" s="6">
        <f>'Library data'!$C$94</f>
        <v>70</v>
      </c>
      <c r="FF2" t="e">
        <f ca="1">RiskValStatic(70)+_xll.RiskTriang('Library data'!D94,'Library data'!E94,'Library data'!F94)</f>
        <v>#NAME?</v>
      </c>
      <c r="FG2" s="6">
        <f>'Library data'!$C$95</f>
        <v>333.33333329999999</v>
      </c>
      <c r="FH2" t="e">
        <f ca="1">RiskValStatic(333.3333333)+_xll.RiskTriang('Library data'!D95,'Library data'!E95,'Library data'!F95)</f>
        <v>#NAME?</v>
      </c>
      <c r="FI2" s="6">
        <f>'Library data'!$C$96</f>
        <v>2000</v>
      </c>
      <c r="FJ2" t="e">
        <f ca="1">RiskValStatic(2000)+_xll.RiskTriang('Library data'!D96,'Library data'!E96,'Library data'!F96)</f>
        <v>#NAME?</v>
      </c>
      <c r="FK2" s="6">
        <f>'Library data'!$C$98</f>
        <v>1</v>
      </c>
      <c r="FL2" t="e">
        <f ca="1">RiskValStatic(1)+_xll.RiskTriang('Library data'!D98,'Library data'!E98,'Library data'!F98)</f>
        <v>#NAME?</v>
      </c>
      <c r="FM2" s="6">
        <f>'Library data'!$C$99</f>
        <v>1</v>
      </c>
      <c r="FN2" t="e">
        <f ca="1">RiskValStatic(1)+_xll.RiskTriang('Library data'!D99,'Library data'!E99,'Library data'!F99)</f>
        <v>#NAME?</v>
      </c>
      <c r="FO2" s="6">
        <f>'Library data'!$C$100</f>
        <v>1</v>
      </c>
      <c r="FP2" t="e">
        <f ca="1">RiskValStatic(1)+_xll.RiskTriang('Library data'!D100,'Library data'!E100,'Library data'!F100)</f>
        <v>#NAME?</v>
      </c>
      <c r="FQ2" s="6">
        <f>'Library data'!$C$101</f>
        <v>1</v>
      </c>
      <c r="FR2" t="e">
        <f ca="1">RiskValStatic(1)+_xll.RiskTriang('Library data'!D101,'Library data'!E101,'Library data'!F101)</f>
        <v>#NAME?</v>
      </c>
      <c r="FS2" s="6">
        <f>'Library data'!$C$102</f>
        <v>1</v>
      </c>
      <c r="FT2" t="e">
        <f ca="1">RiskValStatic(1)+_xll.RiskTriang('Library data'!D102,'Library data'!E102,'Library data'!F102)</f>
        <v>#NAME?</v>
      </c>
      <c r="FU2" s="6">
        <f>'Library data'!$C$103</f>
        <v>1</v>
      </c>
      <c r="FV2" t="e">
        <f ca="1">RiskValStatic(1)+_xll.RiskTriang('Library data'!D103,'Library data'!E103,'Library data'!F103)</f>
        <v>#NAME?</v>
      </c>
      <c r="FW2" s="6">
        <f>'Library data'!$C$104</f>
        <v>1</v>
      </c>
      <c r="FX2" t="e">
        <f ca="1">RiskValStatic(1)+_xll.RiskTriang('Library data'!D104,'Library data'!E104,'Library data'!F104)</f>
        <v>#NAME?</v>
      </c>
      <c r="FY2" s="6">
        <f>'Library data'!$C$106</f>
        <v>1.0833333329999999</v>
      </c>
      <c r="FZ2" t="e">
        <f ca="1">RiskValStatic(1.083333333)+_xll.RiskTriang('Library data'!D106,'Library data'!E106,'Library data'!F106)</f>
        <v>#NAME?</v>
      </c>
      <c r="GA2" s="6">
        <f>'Library data'!$C$107</f>
        <v>1</v>
      </c>
      <c r="GB2" t="e">
        <f ca="1">RiskValStatic(1)+_xll.RiskTriang('Library data'!D107,'Library data'!E107,'Library data'!F107)</f>
        <v>#NAME?</v>
      </c>
      <c r="GC2" s="6">
        <f>'Library data'!$C$108</f>
        <v>0.7</v>
      </c>
      <c r="GD2" t="e">
        <f ca="1">RiskValStatic(0.7)+_xll.RiskTriang('Library data'!D108,'Library data'!E108,'Library data'!F108)</f>
        <v>#NAME?</v>
      </c>
      <c r="GE2" s="6">
        <f>'Library data'!$C$109</f>
        <v>0.7</v>
      </c>
      <c r="GF2" t="e">
        <f ca="1">RiskValStatic(0.7)+_xll.RiskTriang('Library data'!D109,'Library data'!E109,'Library data'!F109)</f>
        <v>#NAME?</v>
      </c>
      <c r="GG2" s="6">
        <f>'Library data'!$C$110</f>
        <v>0.7</v>
      </c>
      <c r="GH2" t="e">
        <f ca="1">RiskValStatic(0.7)+_xll.RiskTriang('Library data'!D110,'Library data'!E110,'Library data'!F110)</f>
        <v>#NAME?</v>
      </c>
      <c r="GI2" s="6">
        <f>'Library data'!$C$111</f>
        <v>0.7</v>
      </c>
      <c r="GJ2" t="e">
        <f ca="1">RiskValStatic(0.7)+_xll.RiskTriang('Library data'!D111,'Library data'!E111,'Library data'!F111)</f>
        <v>#NAME?</v>
      </c>
      <c r="GK2" s="6">
        <f>'Library data'!$C$112</f>
        <v>0.7</v>
      </c>
      <c r="GL2" t="e">
        <f ca="1">RiskValStatic(0.7)+_xll.RiskTriang('Library data'!D112,'Library data'!E112,'Library data'!F112)</f>
        <v>#NAME?</v>
      </c>
      <c r="GM2" s="6">
        <f>'Library data'!$C$114</f>
        <v>1</v>
      </c>
      <c r="GN2" t="e">
        <f ca="1">RiskValStatic(1)+_xll.RiskTriang('Library data'!D114,'Library data'!E114,'Library data'!F114)</f>
        <v>#NAME?</v>
      </c>
      <c r="GO2" s="6">
        <f>'Library data'!$C$115</f>
        <v>1.233333333</v>
      </c>
      <c r="GP2" t="e">
        <f ca="1">RiskValStatic(1.233333333)+_xll.RiskTriang('Library data'!D115,'Library data'!E115,'Library data'!F115)</f>
        <v>#NAME?</v>
      </c>
      <c r="GQ2" s="6">
        <f>'Library data'!$C$116</f>
        <v>0.7</v>
      </c>
      <c r="GR2" t="e">
        <f ca="1">RiskValStatic(0.7)+_xll.RiskTriang('Library data'!D116,'Library data'!E116,'Library data'!F116)</f>
        <v>#NAME?</v>
      </c>
      <c r="GS2" s="6">
        <f>'Library data'!$C$117</f>
        <v>1</v>
      </c>
      <c r="GT2" t="e">
        <f ca="1">RiskValStatic(1)+_xll.RiskTriang('Library data'!D117,'Library data'!E117,'Library data'!F117)</f>
        <v>#NAME?</v>
      </c>
      <c r="GU2" s="6">
        <f>'Library data'!$C$118</f>
        <v>1.233333333</v>
      </c>
      <c r="GV2" t="e">
        <f ca="1">RiskValStatic(1.233333333)+_xll.RiskTriang('Library data'!D118,'Library data'!E118,'Library data'!F118)</f>
        <v>#NAME?</v>
      </c>
      <c r="GW2" s="6">
        <f>'Library data'!$C$119</f>
        <v>1.233333333</v>
      </c>
      <c r="GX2" t="e">
        <f ca="1">RiskValStatic(1.233333333)+_xll.RiskTriang('Library data'!D119,'Library data'!E119,'Library data'!F119)</f>
        <v>#NAME?</v>
      </c>
      <c r="GY2" s="6">
        <f>'Library data'!$C$120</f>
        <v>0.7</v>
      </c>
      <c r="GZ2" t="e">
        <f ca="1">RiskValStatic(0.7)+_xll.RiskTriang('Library data'!D120,'Library data'!E120,'Library data'!F120)</f>
        <v>#NAME?</v>
      </c>
      <c r="HA2" s="6">
        <f>'Library data'!$C$122</f>
        <v>0.73333333329999995</v>
      </c>
      <c r="HB2" t="e">
        <f ca="1">RiskValStatic(0.7333333333)+_xll.RiskTriang('Library data'!D122,'Library data'!E122,'Library data'!F122)</f>
        <v>#NAME?</v>
      </c>
      <c r="HC2" s="6">
        <f>'Library data'!$C$124</f>
        <v>1.266666667</v>
      </c>
      <c r="HD2" t="e">
        <f ca="1">RiskValStatic(1.266666667)+_xll.RiskTriang('Library data'!D124,'Library data'!E124,'Library data'!F124)</f>
        <v>#NAME?</v>
      </c>
      <c r="HE2" s="6">
        <f>'Library data'!$C$126</f>
        <v>0.83333333330000003</v>
      </c>
      <c r="HF2" t="e">
        <f ca="1">RiskValStatic(0.8333333333)+_xll.RiskTriang('Library data'!D126,'Library data'!E126,'Library data'!F126)</f>
        <v>#NAME?</v>
      </c>
      <c r="HG2" s="6">
        <f>'Library data'!$C$128</f>
        <v>0.5</v>
      </c>
      <c r="HH2" t="e">
        <f ca="1">RiskValStatic(0.5)+_xll.RiskTriang('Library data'!D128,'Library data'!E128,'Library data'!F128)</f>
        <v>#NAME?</v>
      </c>
      <c r="HI2" s="6">
        <f>'Library data'!$C$129</f>
        <v>0.4</v>
      </c>
      <c r="HJ2" t="e">
        <f ca="1">RiskValStatic(0.4)+_xll.RiskTriang('Library data'!D129,'Library data'!E129,'Library data'!F129)</f>
        <v>#NAME?</v>
      </c>
      <c r="HK2" s="6">
        <f>'Library data'!$C$130</f>
        <v>0.2</v>
      </c>
      <c r="HL2" t="e">
        <f ca="1">RiskValStatic(0.2)+_xll.RiskTriang('Library data'!D130,'Library data'!E130,'Library data'!F130)</f>
        <v>#NAME?</v>
      </c>
      <c r="HM2" s="6">
        <f>'Library data'!$C$131</f>
        <v>0.2</v>
      </c>
      <c r="HN2" t="e">
        <f ca="1">RiskValStatic(0.2)+_xll.RiskTriang('Library data'!D131,'Library data'!E131,'Library data'!F131)</f>
        <v>#NAME?</v>
      </c>
      <c r="HO2" s="6">
        <f>'Library data'!$C$133</f>
        <v>0.65</v>
      </c>
      <c r="HP2" t="e">
        <f ca="1">RiskValStatic(0.65)+_xll.RiskTriang('Library data'!D133,'Library data'!E133,'Library data'!F133)</f>
        <v>#NAME?</v>
      </c>
      <c r="HQ2" s="6">
        <f>'Library data'!$C$135</f>
        <v>1</v>
      </c>
      <c r="HR2" t="e">
        <f ca="1">RiskValStatic(1)+_xll.RiskTriang('Library data'!D135,'Library data'!E135,'Library data'!F135)</f>
        <v>#NAME?</v>
      </c>
      <c r="HS2" s="4">
        <f>'Climate A'!$O$26</f>
        <v>388.45954432240353</v>
      </c>
      <c r="HT2" t="e">
        <f ca="1">_xll.RiskOutput(,"CO2 conc (ppm)",1)+'Climate A'!D26/1000</f>
        <v>#NAME?</v>
      </c>
      <c r="HU2" s="4">
        <f>'Climate A'!$P$26</f>
        <v>410.71165123335408</v>
      </c>
      <c r="HV2" t="e">
        <f ca="1">_xll.RiskOutput(,"CO2 conc (ppm)",2)+'Climate A'!E26/1000</f>
        <v>#NAME?</v>
      </c>
      <c r="HW2" s="4">
        <f>'Climate A'!$Q$26</f>
        <v>432.17548259019418</v>
      </c>
      <c r="HX2" t="e">
        <f ca="1">_xll.RiskOutput(,"CO2 conc (ppm)",3)+'Climate A'!F26/1000</f>
        <v>#NAME?</v>
      </c>
      <c r="HY2" s="4">
        <f>'Climate A'!$R$26</f>
        <v>450.83202612762233</v>
      </c>
      <c r="HZ2" t="e">
        <f ca="1">_xll.RiskOutput(,"CO2 conc (ppm)",4)+'Climate A'!G26/1000</f>
        <v>#NAME?</v>
      </c>
      <c r="IA2" s="4">
        <f>'Climate A'!$S$26</f>
        <v>464.59311531735977</v>
      </c>
      <c r="IB2" t="e">
        <f ca="1">_xll.RiskOutput(,"CO2 conc (ppm)",5)+'Climate A'!H26/1000</f>
        <v>#NAME?</v>
      </c>
      <c r="IC2" s="4">
        <f>'Climate A'!$T$26</f>
        <v>472.68562496859596</v>
      </c>
      <c r="ID2" t="e">
        <f ca="1">_xll.RiskOutput(,"CO2 conc (ppm)",6)+'Climate A'!I26/1000</f>
        <v>#NAME?</v>
      </c>
      <c r="IE2" s="4">
        <f>'Climate A'!$U$26</f>
        <v>476.26341315344507</v>
      </c>
      <c r="IF2" t="e">
        <f ca="1">_xll.RiskOutput(,"CO2 conc (ppm)",7)+'Climate A'!J26/1000</f>
        <v>#NAME?</v>
      </c>
      <c r="IG2" s="4">
        <f>'Climate A'!$V$26</f>
        <v>479.39317678050918</v>
      </c>
      <c r="IH2" t="e">
        <f ca="1">_xll.RiskOutput(,"CO2 conc (ppm)",8)+'Climate A'!K26/1000</f>
        <v>#NAME?</v>
      </c>
      <c r="II2" s="4">
        <f>'Climate A'!$W$26</f>
        <v>486.1058312768493</v>
      </c>
      <c r="IJ2" t="e">
        <f ca="1">_xll.RiskOutput(,"CO2 conc (ppm)",9)+'Climate A'!L26/1000</f>
        <v>#NAME?</v>
      </c>
      <c r="IK2" s="4">
        <f>'Climate A'!$X$26</f>
        <v>514.2882200064937</v>
      </c>
      <c r="IL2" t="e">
        <f ca="1">_xll.RiskOutput(,"CO2 conc (ppm)",10)+'Climate A'!M26/1000</f>
        <v>#NAME?</v>
      </c>
      <c r="IM2" s="6">
        <f>'Climate A'!$O$27</f>
        <v>1.8063676560899862</v>
      </c>
      <c r="IN2" s="6" t="e">
        <f ca="1">_xll.RiskOutput(,"f_co2_a",1)+'Climate A'!D27</f>
        <v>#NAME?</v>
      </c>
      <c r="IO2" s="6">
        <f>'Climate A'!$P$27</f>
        <v>2.1127306272899489</v>
      </c>
      <c r="IP2" s="6" t="e">
        <f ca="1">_xll.RiskOutput(,"f_co2_a",2)+'Climate A'!E27</f>
        <v>#NAME?</v>
      </c>
      <c r="IQ2" s="6">
        <f>'Climate A'!$Q$27</f>
        <v>2.3929024186157455</v>
      </c>
      <c r="IR2" s="6" t="e">
        <f ca="1">_xll.RiskOutput(,"f_co2_a",3)+'Climate A'!F27</f>
        <v>#NAME?</v>
      </c>
      <c r="IS2" s="6">
        <f>'Climate A'!$R$27</f>
        <v>2.6253495074096529</v>
      </c>
      <c r="IT2" s="6" t="e">
        <f ca="1">_xll.RiskOutput(,"f_co2_a",4)+'Climate A'!G27</f>
        <v>#NAME?</v>
      </c>
      <c r="IU2" s="6">
        <f>'Climate A'!$S$27</f>
        <v>2.7907189929768563</v>
      </c>
      <c r="IV2" s="6" t="e">
        <f ca="1">_xll.RiskOutput(,"f_co2_a",5)+'Climate A'!H27</f>
        <v>#NAME?</v>
      </c>
      <c r="IW2" s="6">
        <f>'Climate A'!$T$27</f>
        <v>2.8856958813115949</v>
      </c>
      <c r="IX2" s="6" t="e">
        <f ca="1">_xll.RiskOutput(,"f_co2_a",6)+'Climate A'!I27</f>
        <v>#NAME?</v>
      </c>
      <c r="IY2" s="6">
        <f>'Climate A'!$U$27</f>
        <v>2.9271689793734685</v>
      </c>
      <c r="IZ2" s="6" t="e">
        <f ca="1">_xll.RiskOutput(,"f_co2_a",7)+'Climate A'!J27</f>
        <v>#NAME?</v>
      </c>
      <c r="JA2" s="6">
        <f>'Climate A'!$V$27</f>
        <v>2.9631939734407244</v>
      </c>
      <c r="JB2" s="6" t="e">
        <f ca="1">_xll.RiskOutput(,"f_co2_a",8)+'Climate A'!K27</f>
        <v>#NAME?</v>
      </c>
      <c r="JC2" s="6">
        <f>'Climate A'!$W$27</f>
        <v>3.0396729636977389</v>
      </c>
      <c r="JD2" s="6" t="e">
        <f ca="1">_xll.RiskOutput(,"f_co2_a",9)+'Climate A'!L27</f>
        <v>#NAME?</v>
      </c>
      <c r="JE2" s="6">
        <f>'Climate A'!$X$27</f>
        <v>3.3496391454355665</v>
      </c>
      <c r="JF2" s="6" t="e">
        <f ca="1">_xll.RiskOutput(,"f_co2_a",10)+'Climate A'!M27</f>
        <v>#NAME?</v>
      </c>
      <c r="JG2" s="6">
        <f>'Climate A'!$O$62</f>
        <v>3.3485842571270883</v>
      </c>
      <c r="JH2" s="6" t="e">
        <f ca="1">_xll.RiskOutput(,"ft_a",1)+'Climate A'!D62</f>
        <v>#NAME?</v>
      </c>
      <c r="JI2" s="6">
        <f>'Climate A'!$P$62</f>
        <v>3.6914461095949278</v>
      </c>
      <c r="JJ2" s="6" t="e">
        <f ca="1">_xll.RiskOutput(,"ft_a",2)+'Climate A'!E62</f>
        <v>#NAME?</v>
      </c>
      <c r="JK2" s="6">
        <f>'Climate A'!$Q$62</f>
        <v>4.0146338011976619</v>
      </c>
      <c r="JL2" s="6" t="e">
        <f ca="1">_xll.RiskOutput(,"ft_a",3)+'Climate A'!F62</f>
        <v>#NAME?</v>
      </c>
      <c r="JM2" s="6">
        <f>'Climate A'!$R$62</f>
        <v>4.2754809708120192</v>
      </c>
      <c r="JN2" s="6" t="e">
        <f ca="1">_xll.RiskOutput(,"ft_a",4)+'Climate A'!G62</f>
        <v>#NAME?</v>
      </c>
      <c r="JO2" s="6">
        <f>'Climate A'!$S$62</f>
        <v>4.4123276018483448</v>
      </c>
      <c r="JP2" s="6" t="e">
        <f ca="1">_xll.RiskOutput(,"ft_a",5)+'Climate A'!H62</f>
        <v>#NAME?</v>
      </c>
      <c r="JQ2" s="6">
        <f>'Climate A'!$T$62</f>
        <v>4.4749602166205911</v>
      </c>
      <c r="JR2" s="6" t="e">
        <f ca="1">_xll.RiskOutput(,"ft_a",6)+'Climate A'!I62</f>
        <v>#NAME?</v>
      </c>
      <c r="JS2" s="6">
        <f>'Climate A'!$U$62</f>
        <v>4.449022496024357</v>
      </c>
      <c r="JT2" s="6" t="e">
        <f ca="1">_xll.RiskOutput(,"ft_a",7)+'Climate A'!J62</f>
        <v>#NAME?</v>
      </c>
      <c r="JU2" s="6">
        <f>'Climate A'!$V$62</f>
        <v>4.4015050836135989</v>
      </c>
      <c r="JV2" s="6" t="e">
        <f ca="1">_xll.RiskOutput(,"ft_a",8)+'Climate A'!K62</f>
        <v>#NAME?</v>
      </c>
      <c r="JW2" s="6">
        <f>'Climate A'!$W$62</f>
        <v>4.4779840738706138</v>
      </c>
      <c r="JX2" s="6" t="e">
        <f ca="1">_xll.RiskOutput(,"ft_a",9)+'Climate A'!L62</f>
        <v>#NAME?</v>
      </c>
      <c r="JY2" s="6">
        <f>'Climate A'!$X$62</f>
        <v>4.7879502556084415</v>
      </c>
      <c r="JZ2" s="6" t="e">
        <f ca="1">_xll.RiskOutput(,"ft_a",10)+'Climate A'!M62</f>
        <v>#NAME?</v>
      </c>
      <c r="KA2" s="6">
        <f>'Climate A'!$O$134</f>
        <v>1.1687492591255535</v>
      </c>
      <c r="KB2" s="6" t="e">
        <f ca="1">_xll.RiskOutput(,"rtl_g_a",1)+'Climate A'!D134</f>
        <v>#NAME?</v>
      </c>
      <c r="KC2" s="6">
        <f>'Climate A'!$P$134</f>
        <v>1.4128475730856893</v>
      </c>
      <c r="KD2" s="6" t="e">
        <f ca="1">_xll.RiskOutput(,"rtl_g_a",2)+'Climate A'!E134</f>
        <v>#NAME?</v>
      </c>
      <c r="KE2" s="6">
        <f>'Climate A'!$Q$134</f>
        <v>1.7014564181592551</v>
      </c>
      <c r="KF2" s="6" t="e">
        <f ca="1">_xll.RiskOutput(,"rtl_g_a",3)+'Climate A'!F134</f>
        <v>#NAME?</v>
      </c>
      <c r="KG2" s="6">
        <f>'Climate A'!$R$134</f>
        <v>2.0648723185351896</v>
      </c>
      <c r="KH2" s="6" t="e">
        <f ca="1">_xll.RiskOutput(,"rtl_g_a",4)+'Climate A'!G134</f>
        <v>#NAME?</v>
      </c>
      <c r="KI2" s="6">
        <f>'Climate A'!$S$134</f>
        <v>2.3945030100385858</v>
      </c>
      <c r="KJ2" s="6" t="e">
        <f ca="1">_xll.RiskOutput(,"rtl_g_a",5)+'Climate A'!H134</f>
        <v>#NAME?</v>
      </c>
      <c r="KK2" s="6">
        <f>'Climate A'!$T$134</f>
        <v>2.6913404342915892</v>
      </c>
      <c r="KL2" s="6" t="e">
        <f ca="1">_xll.RiskOutput(,"rtl_g_a",6)+'Climate A'!I134</f>
        <v>#NAME?</v>
      </c>
      <c r="KM2" s="6">
        <f>'Climate A'!$U$134</f>
        <v>3.1895869366092588</v>
      </c>
      <c r="KN2" s="6" t="e">
        <f ca="1">_xll.RiskOutput(,"rtl_g_a",7)+'Climate A'!J134</f>
        <v>#NAME?</v>
      </c>
      <c r="KO2" s="6">
        <f>'Climate A'!$V$134</f>
        <v>3.5934876812099303</v>
      </c>
      <c r="KP2" s="6" t="e">
        <f ca="1">_xll.RiskOutput(,"rtl_g_a",8)+'Climate A'!K134</f>
        <v>#NAME?</v>
      </c>
      <c r="KQ2" s="6">
        <f>'Climate A'!$W$134</f>
        <v>4.1707266649038983</v>
      </c>
      <c r="KR2" s="6" t="e">
        <f ca="1">_xll.RiskOutput(,"rtl_g_a",9)+'Climate A'!L134</f>
        <v>#NAME?</v>
      </c>
      <c r="KS2" s="6">
        <f>'Climate A'!$X$134</f>
        <v>4.5416061877894212</v>
      </c>
      <c r="KT2" s="6" t="e">
        <f ca="1">_xll.RiskOutput(,"rtl_g_a",10)+'Climate A'!M134</f>
        <v>#NAME?</v>
      </c>
      <c r="KU2" s="6">
        <f>'Climate A'!$O$136</f>
        <v>0.92824357824965431</v>
      </c>
      <c r="KV2" s="6" t="e">
        <f ca="1">_xll.RiskOutput(,"rt_g_a",1)+'Climate A'!D136</f>
        <v>#NAME?</v>
      </c>
      <c r="KW2" s="6">
        <f>'Climate A'!$P$136</f>
        <v>1.1221112454382445</v>
      </c>
      <c r="KX2" s="6" t="e">
        <f ca="1">_xll.RiskOutput(,"rt_g_a",2)+'Climate A'!E136</f>
        <v>#NAME?</v>
      </c>
      <c r="KY2" s="6">
        <f>'Climate A'!$Q$136</f>
        <v>1.3513300491926326</v>
      </c>
      <c r="KZ2" s="6" t="e">
        <f ca="1">_xll.RiskOutput(,"rt_g_a",3)+'Climate A'!F136</f>
        <v>#NAME?</v>
      </c>
      <c r="LA2" s="6">
        <f>'Climate A'!$R$136</f>
        <v>1.639962083073168</v>
      </c>
      <c r="LB2" s="6" t="e">
        <f ca="1">_xll.RiskOutput(,"rt_g_a",4)+'Climate A'!G136</f>
        <v>#NAME?</v>
      </c>
      <c r="LC2" s="6">
        <f>'Climate A'!$S$136</f>
        <v>1.9017612416120575</v>
      </c>
      <c r="LD2" s="6" t="e">
        <f ca="1">_xll.RiskOutput(,"rt_g_a",5)+'Climate A'!H136</f>
        <v>#NAME?</v>
      </c>
      <c r="LE2" s="6">
        <f>'Climate A'!$T$136</f>
        <v>2.1375153442954447</v>
      </c>
      <c r="LF2" s="6" t="e">
        <f ca="1">_xll.RiskOutput(,"rt_g_a",6)+'Climate A'!I136</f>
        <v>#NAME?</v>
      </c>
      <c r="LG2" s="6">
        <f>'Climate A'!$U$136</f>
        <v>2.5332324859753994</v>
      </c>
      <c r="LH2" s="6" t="e">
        <f ca="1">_xll.RiskOutput(,"rt_g_a",7)+'Climate A'!J136</f>
        <v>#NAME?</v>
      </c>
      <c r="LI2" s="6">
        <f>'Climate A'!$V$136</f>
        <v>2.8540183769596954</v>
      </c>
      <c r="LJ2" s="6" t="e">
        <f ca="1">_xll.RiskOutput(,"rt_g_a",8)+'Climate A'!K136</f>
        <v>#NAME?</v>
      </c>
      <c r="LK2" s="6">
        <f>'Climate A'!$W$136</f>
        <v>3.31247289622089</v>
      </c>
      <c r="LL2" s="6" t="e">
        <f ca="1">_xll.RiskOutput(,"rt_g_a",9)+'Climate A'!L136</f>
        <v>#NAME?</v>
      </c>
      <c r="LM2" s="6">
        <f>'Climate A'!$X$136</f>
        <v>3.6070326854440795</v>
      </c>
      <c r="LN2" s="6" t="e">
        <f ca="1">_xll.RiskOutput(,"rt_g_a",10)+'Climate A'!M136</f>
        <v>#NAME?</v>
      </c>
      <c r="LO2" s="6">
        <f>'Climate A'!$O$139</f>
        <v>0.17446701637987036</v>
      </c>
      <c r="LP2" s="6" t="e">
        <f ca="1">_xll.RiskOutput(,"s_a",1)+'Climate A'!D139</f>
        <v>#NAME?</v>
      </c>
      <c r="LQ2" s="6">
        <f>'Climate A'!$P$139</f>
        <v>0.20203420877838105</v>
      </c>
      <c r="LR2" s="6" t="e">
        <f ca="1">_xll.RiskOutput(,"s_a",2)+'Climate A'!E139</f>
        <v>#NAME?</v>
      </c>
      <c r="LS2" s="6">
        <f>'Climate A'!$Q$139</f>
        <v>0.23328042938433077</v>
      </c>
      <c r="LT2" s="6" t="e">
        <f ca="1">_xll.RiskOutput(,"s_a",3)+'Climate A'!F139</f>
        <v>#NAME?</v>
      </c>
      <c r="LU2" s="6">
        <f>'Climate A'!$R$139</f>
        <v>0.26919376855179072</v>
      </c>
      <c r="LV2" s="6" t="e">
        <f ca="1">_xll.RiskOutput(,"s_a",4)+'Climate A'!G139</f>
        <v>#NAME?</v>
      </c>
      <c r="LW2" s="6">
        <f>'Climate A'!$S$139</f>
        <v>0.30926500228614606</v>
      </c>
      <c r="LX2" s="6" t="e">
        <f ca="1">_xll.RiskOutput(,"s_a",5)+'Climate A'!H139</f>
        <v>#NAME?</v>
      </c>
      <c r="LY2" s="6">
        <f>'Climate A'!$T$139</f>
        <v>0.35300356094328</v>
      </c>
      <c r="LZ2" s="6" t="e">
        <f ca="1">_xll.RiskOutput(,"s_a",6)+'Climate A'!I139</f>
        <v>#NAME?</v>
      </c>
      <c r="MA2" s="6">
        <f>'Climate A'!$U$139</f>
        <v>0.4527613131299027</v>
      </c>
      <c r="MB2" s="6" t="e">
        <f ca="1">_xll.RiskOutput(,"s_a",7)+'Climate A'!J139</f>
        <v>#NAME?</v>
      </c>
      <c r="MC2" s="6">
        <f>'Climate A'!$V$139</f>
        <v>0.561553838931514</v>
      </c>
      <c r="MD2" s="6" t="e">
        <f ca="1">_xll.RiskOutput(,"s_a",8)+'Climate A'!K139</f>
        <v>#NAME?</v>
      </c>
      <c r="ME2" s="6">
        <f>'Climate A'!$W$139</f>
        <v>1.1496648616157621</v>
      </c>
      <c r="MF2" s="6" t="e">
        <f ca="1">_xll.RiskOutput(,"s_a",9)+'Climate A'!L139</f>
        <v>#NAME?</v>
      </c>
      <c r="MG2" s="6">
        <f>'Climate A'!$X$139</f>
        <v>1.7303969090383089</v>
      </c>
      <c r="MH2" s="6" t="e">
        <f ca="1">_xll.RiskOutput(,"s_a",10)+'Climate A'!M139</f>
        <v>#NAME?</v>
      </c>
      <c r="MI2" s="4">
        <f>'Climate B'!$O$26</f>
        <v>388.45954432240353</v>
      </c>
      <c r="MJ2" t="e">
        <f ca="1">_xll.RiskOutput(,"c_co2_b",1)+'Climate B'!D26/1000</f>
        <v>#NAME?</v>
      </c>
      <c r="MK2" s="4">
        <f>'Climate B'!$P$26</f>
        <v>410.71165123335408</v>
      </c>
      <c r="ML2" t="e">
        <f ca="1">_xll.RiskOutput(,"c_co2_b",2)+'Climate B'!E26/1000</f>
        <v>#NAME?</v>
      </c>
      <c r="MM2" s="4">
        <f>'Climate B'!$Q$26</f>
        <v>432.17656996973187</v>
      </c>
      <c r="MN2" t="e">
        <f ca="1">_xll.RiskOutput(,"c_co2_b",3)+'Climate B'!F26/1000</f>
        <v>#NAME?</v>
      </c>
      <c r="MO2" s="4">
        <f>'Climate B'!$R$26</f>
        <v>450.83417721537251</v>
      </c>
      <c r="MP2" t="e">
        <f ca="1">_xll.RiskOutput(,"c_co2_b",4)+'Climate B'!G26/1000</f>
        <v>#NAME?</v>
      </c>
      <c r="MQ2" s="4">
        <f>'Climate B'!$S$26</f>
        <v>464.59606163493072</v>
      </c>
      <c r="MR2" t="e">
        <f ca="1">_xll.RiskOutput(,"c_co2_b",5)+'Climate B'!H26/1000</f>
        <v>#NAME?</v>
      </c>
      <c r="MS2" s="4">
        <f>'Climate B'!$T$26</f>
        <v>472.68907586419579</v>
      </c>
      <c r="MT2" t="e">
        <f ca="1">_xll.RiskOutput(,"c_co2_b",6)+'Climate B'!I26/1000</f>
        <v>#NAME?</v>
      </c>
      <c r="MU2" s="4">
        <f>'Climate B'!$U$26</f>
        <v>476.26707020431553</v>
      </c>
      <c r="MV2" t="e">
        <f ca="1">_xll.RiskOutput(,"c_co2_b",7)+'Climate B'!J26/1000</f>
        <v>#NAME?</v>
      </c>
      <c r="MW2" s="4">
        <f>'Climate B'!$V$26</f>
        <v>479.39678986146362</v>
      </c>
      <c r="MX2" t="e">
        <f ca="1">_xll.RiskOutput(,"c_co2_b",8)+'Climate B'!K26/1000</f>
        <v>#NAME?</v>
      </c>
      <c r="MY2" s="4">
        <f>'Climate B'!$W$26</f>
        <v>486.10895234209704</v>
      </c>
      <c r="MZ2" t="e">
        <f ca="1">_xll.RiskOutput(,"c_co2_b",9)+'Climate B'!L26/1000</f>
        <v>#NAME?</v>
      </c>
      <c r="NA2" s="4">
        <f>'Climate B'!$X$26</f>
        <v>514.28973573005919</v>
      </c>
      <c r="NB2" t="e">
        <f ca="1">_xll.RiskOutput(,"c_co2_b",10)+'Climate B'!M26/1000</f>
        <v>#NAME?</v>
      </c>
      <c r="NC2" s="6">
        <f>'Climate B'!$O$27</f>
        <v>1.8063676560899862</v>
      </c>
      <c r="ND2" s="6" t="e">
        <f ca="1">_xll.RiskOutput(,"f_co2_b",1)+'Climate B'!D27</f>
        <v>#NAME?</v>
      </c>
      <c r="NE2" s="6">
        <f>'Climate B'!$P$27</f>
        <v>2.1127306272899489</v>
      </c>
      <c r="NF2" s="6" t="e">
        <f ca="1">_xll.RiskOutput(,"f_co2_b",2)+'Climate B'!E27</f>
        <v>#NAME?</v>
      </c>
      <c r="NG2" s="6">
        <f>'Climate B'!$Q$27</f>
        <v>2.3929162569295199</v>
      </c>
      <c r="NH2" s="6" t="e">
        <f ca="1">_xll.RiskOutput(,"f_co2_b",3)+'Climate B'!F27</f>
        <v>#NAME?</v>
      </c>
      <c r="NI2" s="6">
        <f>'Climate B'!$R$27</f>
        <v>2.6253757498984642</v>
      </c>
      <c r="NJ2" s="6" t="e">
        <f ca="1">_xll.RiskOutput(,"f_co2_b",4)+'Climate B'!G27</f>
        <v>#NAME?</v>
      </c>
      <c r="NK2" s="6">
        <f>'Climate B'!$S$27</f>
        <v>2.7907538723039993</v>
      </c>
      <c r="NL2" s="6" t="e">
        <f ca="1">_xll.RiskOutput(,"f_co2_b",5)+'Climate B'!H27</f>
        <v>#NAME?</v>
      </c>
      <c r="NM2" s="6">
        <f>'Climate B'!$T$27</f>
        <v>2.8857360345456131</v>
      </c>
      <c r="NN2" s="6" t="e">
        <f ca="1">_xll.RiskOutput(,"f_co2_b",6)+'Climate B'!I27</f>
        <v>#NAME?</v>
      </c>
      <c r="NO2" s="6">
        <f>'Climate B'!$U$27</f>
        <v>2.9272112116802331</v>
      </c>
      <c r="NP2" s="6" t="e">
        <f ca="1">_xll.RiskOutput(,"f_co2_b",7)+'Climate B'!J27</f>
        <v>#NAME?</v>
      </c>
      <c r="NQ2" s="6">
        <f>'Climate B'!$V$27</f>
        <v>2.9632354255750615</v>
      </c>
      <c r="NR2" s="6" t="e">
        <f ca="1">_xll.RiskOutput(,"f_co2_b",8)+'Climate B'!K27</f>
        <v>#NAME?</v>
      </c>
      <c r="NS2" s="6">
        <f>'Climate B'!$W$27</f>
        <v>3.039708276591869</v>
      </c>
      <c r="NT2" s="6" t="e">
        <f ca="1">_xll.RiskOutput(,"f_co2_b",9)+'Climate B'!L27</f>
        <v>#NAME?</v>
      </c>
      <c r="NU2" s="6">
        <f>'Climate B'!$X$27</f>
        <v>3.3496553551541659</v>
      </c>
      <c r="NV2" s="6" t="e">
        <f ca="1">_xll.RiskOutput(,"f_co2_b",10)+'Climate B'!M27</f>
        <v>#NAME?</v>
      </c>
      <c r="NW2" s="6">
        <f>'Climate B'!$O$62</f>
        <v>3.3485842571270883</v>
      </c>
      <c r="NX2" s="6" t="e">
        <f ca="1">_xll.RiskOutput(,"ft_b",1)+'Climate B'!D62</f>
        <v>#NAME?</v>
      </c>
      <c r="NY2" s="6">
        <f>'Climate B'!$P$62</f>
        <v>3.691800569703668</v>
      </c>
      <c r="NZ2" s="6" t="e">
        <f ca="1">_xll.RiskOutput(,"ft_b",2)+'Climate B'!E62</f>
        <v>#NAME?</v>
      </c>
      <c r="OA2" s="6">
        <f>'Climate B'!$Q$62</f>
        <v>4.0150054478570079</v>
      </c>
      <c r="OB2" s="6" t="e">
        <f ca="1">_xll.RiskOutput(,"ft_b",3)+'Climate B'!F62</f>
        <v>#NAME?</v>
      </c>
      <c r="OC2" s="6">
        <f>'Climate B'!$R$62</f>
        <v>4.2758309250596387</v>
      </c>
      <c r="OD2" s="6" t="e">
        <f ca="1">_xll.RiskOutput(,"ft_b",4)+'Climate B'!G62</f>
        <v>#NAME?</v>
      </c>
      <c r="OE2" s="6">
        <f>'Climate B'!$S$62</f>
        <v>4.4126557289949666</v>
      </c>
      <c r="OF2" s="6" t="e">
        <f ca="1">_xll.RiskOutput(,"ft_b",5)+'Climate B'!H62</f>
        <v>#NAME?</v>
      </c>
      <c r="OG2" s="6">
        <f>'Climate B'!$T$62</f>
        <v>4.4752543647370828</v>
      </c>
      <c r="OH2" s="6" t="e">
        <f ca="1">_xll.RiskOutput(,"ft_b",6)+'Climate B'!I62</f>
        <v>#NAME?</v>
      </c>
      <c r="OI2" s="6">
        <f>'Climate B'!$U$62</f>
        <v>4.4492752746631901</v>
      </c>
      <c r="OJ2" s="6" t="e">
        <f ca="1">_xll.RiskOutput(,"ft_b",7)+'Climate B'!J62</f>
        <v>#NAME?</v>
      </c>
      <c r="OK2" s="6">
        <f>'Climate B'!$V$62</f>
        <v>4.401673938336665</v>
      </c>
      <c r="OL2" s="6" t="e">
        <f ca="1">_xll.RiskOutput(,"ft_b",8)+'Climate B'!K62</f>
        <v>#NAME?</v>
      </c>
      <c r="OM2" s="6">
        <f>'Climate B'!$W$62</f>
        <v>4.4780721757417528</v>
      </c>
      <c r="ON2" s="6" t="e">
        <f ca="1">_xll.RiskOutput(,"ft_b",9)+'Climate B'!L62</f>
        <v>#NAME?</v>
      </c>
      <c r="OO2" s="6">
        <f>'Climate B'!$X$62</f>
        <v>4.7879992262434445</v>
      </c>
      <c r="OP2" s="6" t="e">
        <f ca="1">_xll.RiskOutput(,"ft_b",10)+'Climate B'!M62</f>
        <v>#NAME?</v>
      </c>
      <c r="OQ2" s="6">
        <f>'Climate B'!$O$134</f>
        <v>1.1687492591255535</v>
      </c>
      <c r="OR2" s="6" t="e">
        <f ca="1">_xll.RiskOutput(,"rtl_g_b",1)+'Climate B'!D134</f>
        <v>#NAME?</v>
      </c>
      <c r="OS2" s="6">
        <f>'Climate B'!$P$134</f>
        <v>1.4129494023792142</v>
      </c>
      <c r="OT2" s="6" t="e">
        <f ca="1">_xll.RiskOutput(,"rtl_g_b",2)+'Climate B'!E134</f>
        <v>#NAME?</v>
      </c>
      <c r="OU2" s="6">
        <f>'Climate B'!$Q$134</f>
        <v>1.7016397072065756</v>
      </c>
      <c r="OV2" s="6" t="e">
        <f ca="1">_xll.RiskOutput(,"rtl_g_b",3)+'Climate B'!F134</f>
        <v>#NAME?</v>
      </c>
      <c r="OW2" s="6">
        <f>'Climate B'!$R$134</f>
        <v>2.0651105909421452</v>
      </c>
      <c r="OX2" s="6" t="e">
        <f ca="1">_xll.RiskOutput(,"rtl_g_b",4)+'Climate B'!G134</f>
        <v>#NAME?</v>
      </c>
      <c r="OY2" s="6">
        <f>'Climate B'!$S$134</f>
        <v>2.3947763307026309</v>
      </c>
      <c r="OZ2" s="6" t="e">
        <f ca="1">_xll.RiskOutput(,"rtl_g_b",5)+'Climate B'!H134</f>
        <v>#NAME?</v>
      </c>
      <c r="PA2" s="6">
        <f>'Climate B'!$T$134</f>
        <v>2.6916303314298471</v>
      </c>
      <c r="PB2" s="6" t="e">
        <f ca="1">_xll.RiskOutput(,"rtl_g_b",6)+'Climate B'!I134</f>
        <v>#NAME?</v>
      </c>
      <c r="PC2" s="6">
        <f>'Climate B'!$U$134</f>
        <v>3.189877835979936</v>
      </c>
      <c r="PD2" s="6" t="e">
        <f ca="1">_xll.RiskOutput(,"rtl_g_b",7)+'Climate B'!J134</f>
        <v>#NAME?</v>
      </c>
      <c r="PE2" s="6">
        <f>'Climate B'!$V$134</f>
        <v>3.5937369190356678</v>
      </c>
      <c r="PF2" s="6" t="e">
        <f ca="1">_xll.RiskOutput(,"rtl_g_b",8)+'Climate B'!K134</f>
        <v>#NAME?</v>
      </c>
      <c r="PG2" s="6">
        <f>'Climate B'!$W$134</f>
        <v>4.1708369716800373</v>
      </c>
      <c r="PH2" s="6" t="e">
        <f ca="1">_xll.RiskOutput(,"rtl_g_b",9)+'Climate B'!L134</f>
        <v>#NAME?</v>
      </c>
      <c r="PI2" s="6">
        <f>'Climate B'!$X$134</f>
        <v>4.5416658795084217</v>
      </c>
      <c r="PJ2" s="6" t="e">
        <f ca="1">_xll.RiskOutput(,"rtl_g_b",10)+'Climate B'!M134</f>
        <v>#NAME?</v>
      </c>
      <c r="PK2" s="6">
        <f>'Climate B'!$O$136</f>
        <v>0.92824357824965431</v>
      </c>
      <c r="PL2" s="6" t="e">
        <f ca="1">_xll.RiskOutput(,"rt_g_b",1)+'Climate B'!D136</f>
        <v>#NAME?</v>
      </c>
      <c r="PM2" s="6">
        <f>'Climate B'!$P$136</f>
        <v>1.1221921202598146</v>
      </c>
      <c r="PN2" s="6" t="e">
        <f ca="1">_xll.RiskOutput(,"rt_g_b",2)+'Climate B'!E136</f>
        <v>#NAME?</v>
      </c>
      <c r="PO2" s="6">
        <f>'Climate B'!$Q$136</f>
        <v>1.3514756209479173</v>
      </c>
      <c r="PP2" s="6" t="e">
        <f ca="1">_xll.RiskOutput(,"rt_g_b",3)+'Climate B'!F136</f>
        <v>#NAME?</v>
      </c>
      <c r="PQ2" s="6">
        <f>'Climate B'!$R$136</f>
        <v>1.6401513236907803</v>
      </c>
      <c r="PR2" s="6" t="e">
        <f ca="1">_xll.RiskOutput(,"rt_g_b",4)+'Climate B'!G136</f>
        <v>#NAME?</v>
      </c>
      <c r="PS2" s="6">
        <f>'Climate B'!$S$136</f>
        <v>1.9019783182426708</v>
      </c>
      <c r="PT2" s="6" t="e">
        <f ca="1">_xll.RiskOutput(,"rt_g_b",5)+'Climate B'!H136</f>
        <v>#NAME?</v>
      </c>
      <c r="PU2" s="6">
        <f>'Climate B'!$T$136</f>
        <v>2.1377455862869068</v>
      </c>
      <c r="PV2" s="6" t="e">
        <f ca="1">_xll.RiskOutput(,"rt_g_b",6)+'Climate B'!I136</f>
        <v>#NAME?</v>
      </c>
      <c r="PW2" s="6">
        <f>'Climate B'!$U$136</f>
        <v>2.5334635239595</v>
      </c>
      <c r="PX2" s="6" t="e">
        <f ca="1">_xll.RiskOutput(,"rt_g_b",7)+'Climate B'!J136</f>
        <v>#NAME?</v>
      </c>
      <c r="PY2" s="6">
        <f>'Climate B'!$V$136</f>
        <v>2.8542163265279124</v>
      </c>
      <c r="PZ2" s="6" t="e">
        <f ca="1">_xll.RiskOutput(,"rt_g_b",8)+'Climate B'!K136</f>
        <v>#NAME?</v>
      </c>
      <c r="QA2" s="6">
        <f>'Climate B'!$W$136</f>
        <v>3.3125605040253774</v>
      </c>
      <c r="QB2" s="6" t="e">
        <f ca="1">_xll.RiskOutput(,"rt_g_b",9)+'Climate B'!L136</f>
        <v>#NAME?</v>
      </c>
      <c r="QC2" s="6">
        <f>'Climate B'!$X$136</f>
        <v>3.6070800937777361</v>
      </c>
      <c r="QD2" s="6" t="e">
        <f ca="1">_xll.RiskOutput(,"rt_g_b",10)+'Climate B'!M136</f>
        <v>#NAME?</v>
      </c>
      <c r="QE2" s="6">
        <f>'Climate B'!$O$139</f>
        <v>0.17446701637987036</v>
      </c>
      <c r="QF2" s="6" t="e">
        <f ca="1">_xll.RiskOutput(,"s_b",1)+'Climate B'!D139</f>
        <v>#NAME?</v>
      </c>
      <c r="QG2" s="6">
        <f>'Climate B'!$P$139</f>
        <v>0.20203560362277567</v>
      </c>
      <c r="QH2" s="6" t="e">
        <f ca="1">_xll.RiskOutput(,"s_b",2)+'Climate B'!E139</f>
        <v>#NAME?</v>
      </c>
      <c r="QI2" s="6">
        <f>'Climate B'!$Q$139</f>
        <v>0.23328432101927993</v>
      </c>
      <c r="QJ2" s="6" t="e">
        <f ca="1">_xll.RiskOutput(,"s_b",3)+'Climate B'!F139</f>
        <v>#NAME?</v>
      </c>
      <c r="QK2" s="6">
        <f>'Climate B'!$R$139</f>
        <v>0.26920088528870939</v>
      </c>
      <c r="QL2" s="6" t="e">
        <f ca="1">_xll.RiskOutput(,"s_b",4)+'Climate B'!G139</f>
        <v>#NAME?</v>
      </c>
      <c r="QM2" s="6">
        <f>'Climate B'!$S$139</f>
        <v>0.30927579212119238</v>
      </c>
      <c r="QN2" s="6" t="e">
        <f ca="1">_xll.RiskOutput(,"s_b",5)+'Climate B'!H139</f>
        <v>#NAME?</v>
      </c>
      <c r="QO2" s="6">
        <f>'Climate B'!$T$139</f>
        <v>0.35301821439090086</v>
      </c>
      <c r="QP2" s="6" t="e">
        <f ca="1">_xll.RiskOutput(,"s_b",6)+'Climate B'!I139</f>
        <v>#NAME?</v>
      </c>
      <c r="QQ2" s="6">
        <f>'Climate B'!$U$139</f>
        <v>0.45278360617472813</v>
      </c>
      <c r="QR2" s="6" t="e">
        <f ca="1">_xll.RiskOutput(,"s_b",7)+'Climate B'!J139</f>
        <v>#NAME?</v>
      </c>
      <c r="QS2" s="6">
        <f>'Climate B'!$V$139</f>
        <v>0.56158248462886085</v>
      </c>
      <c r="QT2" s="6" t="e">
        <f ca="1">_xll.RiskOutput(,"s_b",8)+'Climate B'!K139</f>
        <v>#NAME?</v>
      </c>
      <c r="QU2" s="6">
        <f>'Climate B'!$W$139</f>
        <v>1.1497052320883681</v>
      </c>
      <c r="QV2" s="6" t="e">
        <f ca="1">_xll.RiskOutput(,"s_b",9)+'Climate B'!L139</f>
        <v>#NAME?</v>
      </c>
      <c r="QW2" s="6">
        <f>'Climate B'!$X$139</f>
        <v>1.7304412576848631</v>
      </c>
      <c r="QX2" s="6" t="e">
        <f ca="1">_xll.RiskOutput(,"s_b",10)+'Climate B'!M139</f>
        <v>#NAME?</v>
      </c>
      <c r="QY2" s="4">
        <f>'Climate A-B'!$O$26</f>
        <v>0</v>
      </c>
      <c r="QZ2" t="e">
        <f ca="1">_xll.RiskOutput(,"c_co2_ab",1)+'Climate A-B'!D26/1000</f>
        <v>#NAME?</v>
      </c>
      <c r="RA2" s="4">
        <f>'Climate A-B'!$P$26</f>
        <v>0</v>
      </c>
      <c r="RB2" t="e">
        <f ca="1">_xll.RiskOutput(,"c_co2_ab",2)+'Climate A-B'!E26/1000</f>
        <v>#NAME?</v>
      </c>
      <c r="RC2" s="4">
        <f>'Climate A-B'!$Q$26</f>
        <v>-1.0873795376974158E-3</v>
      </c>
      <c r="RD2" t="e">
        <f ca="1">_xll.RiskOutput(,"c_co2_ab",3)+'Climate A-B'!F26/1000</f>
        <v>#NAME?</v>
      </c>
      <c r="RE2" s="4">
        <f>'Climate A-B'!$R$26</f>
        <v>-2.1510877501568757E-3</v>
      </c>
      <c r="RF2" t="e">
        <f ca="1">_xll.RiskOutput(,"c_co2_ab",4)+'Climate A-B'!G26/1000</f>
        <v>#NAME?</v>
      </c>
      <c r="RG2" s="4">
        <f>'Climate A-B'!$S$26</f>
        <v>-2.9463175709242935E-3</v>
      </c>
      <c r="RH2" t="e">
        <f ca="1">_xll.RiskOutput(,"c_co2_ab",5)+'Climate A-B'!H26/1000</f>
        <v>#NAME?</v>
      </c>
      <c r="RI2" s="4">
        <f>'Climate A-B'!$T$26</f>
        <v>-3.450895599788055E-3</v>
      </c>
      <c r="RJ2" t="e">
        <f ca="1">_xll.RiskOutput(,"c_co2_ab",6)+'Climate A-B'!I26/1000</f>
        <v>#NAME?</v>
      </c>
      <c r="RK2" s="4">
        <f>'Climate A-B'!$U$26</f>
        <v>-3.6570508704753591E-3</v>
      </c>
      <c r="RL2" t="e">
        <f ca="1">_xll.RiskOutput(,"c_co2_ab",7)+'Climate A-B'!J26/1000</f>
        <v>#NAME?</v>
      </c>
      <c r="RM2" s="4">
        <f>'Climate A-B'!$V$26</f>
        <v>-3.6130809544119985E-3</v>
      </c>
      <c r="RN2" t="e">
        <f ca="1">_xll.RiskOutput(,"c_co2_ab",8)+'Climate A-B'!K26/1000</f>
        <v>#NAME?</v>
      </c>
      <c r="RO2" s="4">
        <f>'Climate A-B'!$W$26</f>
        <v>-3.1210652477457186E-3</v>
      </c>
      <c r="RP2" t="e">
        <f ca="1">_xll.RiskOutput(,"c_co2_ab",9)+'Climate A-B'!L26/1000</f>
        <v>#NAME?</v>
      </c>
      <c r="RQ2" s="4">
        <f>'Climate A-B'!$X$26</f>
        <v>-1.5157235654769466E-3</v>
      </c>
      <c r="RR2" t="e">
        <f ca="1">_xll.RiskOutput(,"c_co2_ab",10)+'Climate A-B'!M26/1000</f>
        <v>#NAME?</v>
      </c>
      <c r="RS2" s="6">
        <f>'Climate A-B'!$O$27</f>
        <v>0</v>
      </c>
      <c r="RT2" s="6" t="e">
        <f ca="1">_xll.RiskOutput(,"f_co2_ab",1)+'Climate A-B'!D27</f>
        <v>#NAME?</v>
      </c>
      <c r="RU2" s="6">
        <f>'Climate A-B'!$P$27</f>
        <v>0</v>
      </c>
      <c r="RV2" s="6" t="e">
        <f ca="1">_xll.RiskOutput(,"f_co2_ab",2)+'Climate A-B'!E27</f>
        <v>#NAME?</v>
      </c>
      <c r="RW2" s="6">
        <f>'Climate A-B'!$Q$27</f>
        <v>-1.3838313774439115E-5</v>
      </c>
      <c r="RX2" s="6" t="e">
        <f ca="1">_xll.RiskOutput(,"f_co2_ab",3)+'Climate A-B'!F27</f>
        <v>#NAME?</v>
      </c>
      <c r="RY2" s="6">
        <f>'Climate A-B'!$R$27</f>
        <v>-2.6242488811334397E-5</v>
      </c>
      <c r="RZ2" s="6" t="e">
        <f ca="1">_xll.RiskOutput(,"f_co2_ab",4)+'Climate A-B'!G27</f>
        <v>#NAME?</v>
      </c>
      <c r="SA2" s="6">
        <f>'Climate A-B'!$S$27</f>
        <v>-3.4879327142967043E-5</v>
      </c>
      <c r="SB2" s="6" t="e">
        <f ca="1">_xll.RiskOutput(,"f_co2_ab",5)+'Climate A-B'!H27</f>
        <v>#NAME?</v>
      </c>
      <c r="SC2" s="6">
        <f>'Climate A-B'!$T$27</f>
        <v>-4.0153234018180939E-5</v>
      </c>
      <c r="SD2" s="6" t="e">
        <f ca="1">_xll.RiskOutput(,"f_co2_ab",6)+'Climate A-B'!I27</f>
        <v>#NAME?</v>
      </c>
      <c r="SE2" s="6">
        <f>'Climate A-B'!$U$27</f>
        <v>-4.2232306764589111E-5</v>
      </c>
      <c r="SF2" s="6" t="e">
        <f ca="1">_xll.RiskOutput(,"f_co2_ab",7)+'Climate A-B'!J27</f>
        <v>#NAME?</v>
      </c>
      <c r="SG2" s="6">
        <f>'Climate A-B'!$V$27</f>
        <v>-4.1452134337038871E-5</v>
      </c>
      <c r="SH2" s="6" t="e">
        <f ca="1">_xll.RiskOutput(,"f_co2_ab",8)+'Climate A-B'!K27</f>
        <v>#NAME?</v>
      </c>
      <c r="SI2" s="6">
        <f>'Climate A-B'!$W$27</f>
        <v>-3.531289413016836E-5</v>
      </c>
      <c r="SJ2" s="6" t="e">
        <f ca="1">_xll.RiskOutput(,"f_co2_ab",9)+'Climate A-B'!L27</f>
        <v>#NAME?</v>
      </c>
      <c r="SK2" s="6">
        <f>'Climate A-B'!$X$27</f>
        <v>-1.6209718599391465E-5</v>
      </c>
      <c r="SL2" s="6" t="e">
        <f ca="1">_xll.RiskOutput(,"f_co2_ab",10)+'Climate A-B'!M27</f>
        <v>#NAME?</v>
      </c>
      <c r="SM2" s="6">
        <f>'Climate A-B'!$O$62</f>
        <v>0</v>
      </c>
      <c r="SN2" s="6" t="e">
        <f ca="1">_xll.RiskOutput(,"ft_ab",1)+'Climate A-B'!D62</f>
        <v>#NAME?</v>
      </c>
      <c r="SO2" s="6">
        <f>'Climate A-B'!$P$62</f>
        <v>-3.5446010874018441E-4</v>
      </c>
      <c r="SP2" s="6" t="e">
        <f ca="1">_xll.RiskOutput(,"ft_ab",2)+'Climate A-B'!E62</f>
        <v>#NAME?</v>
      </c>
      <c r="SQ2" s="6">
        <f>'Climate A-B'!$Q$62</f>
        <v>-3.7164665934596997E-4</v>
      </c>
      <c r="SR2" s="6" t="e">
        <f ca="1">_xll.RiskOutput(,"ft_ab",3)+'Climate A-B'!F62</f>
        <v>#NAME?</v>
      </c>
      <c r="SS2" s="6">
        <f>'Climate A-B'!$R$62</f>
        <v>-3.4995424761952165E-4</v>
      </c>
      <c r="ST2" s="6" t="e">
        <f ca="1">_xll.RiskOutput(,"ft_ab",4)+'Climate A-B'!G62</f>
        <v>#NAME?</v>
      </c>
      <c r="SU2" s="6">
        <f>'Climate A-B'!$S$62</f>
        <v>-3.2812714662178166E-4</v>
      </c>
      <c r="SV2" s="6" t="e">
        <f ca="1">_xll.RiskOutput(,"ft_ab",5)+'Climate A-B'!H62</f>
        <v>#NAME?</v>
      </c>
      <c r="SW2" s="6">
        <f>'Climate A-B'!$T$62</f>
        <v>-2.9414811649175476E-4</v>
      </c>
      <c r="SX2" s="6" t="e">
        <f ca="1">_xll.RiskOutput(,"ft_ab",6)+'Climate A-B'!I62</f>
        <v>#NAME?</v>
      </c>
      <c r="SY2" s="6">
        <f>'Climate A-B'!$U$62</f>
        <v>-2.5277863883310658E-4</v>
      </c>
      <c r="SZ2" s="6" t="e">
        <f ca="1">_xll.RiskOutput(,"ft_ab",7)+'Climate A-B'!J62</f>
        <v>#NAME?</v>
      </c>
      <c r="TA2" s="6">
        <f>'Climate A-B'!$V$62</f>
        <v>-1.6885472306604754E-4</v>
      </c>
      <c r="TB2" s="6" t="e">
        <f ca="1">_xll.RiskOutput(,"ft_ab",8)+'Climate A-B'!K62</f>
        <v>#NAME?</v>
      </c>
      <c r="TC2" s="6">
        <f>'Climate A-B'!$W$62</f>
        <v>-8.8101871138945853E-5</v>
      </c>
      <c r="TD2" s="6" t="e">
        <f ca="1">_xll.RiskOutput(,"ft_ab",9)+'Climate A-B'!L62</f>
        <v>#NAME?</v>
      </c>
      <c r="TE2" s="6">
        <f>'Climate A-B'!$X$62</f>
        <v>-4.8970635003087182E-5</v>
      </c>
      <c r="TF2" s="6" t="e">
        <f ca="1">_xll.RiskOutput(,"ft_ab",10)+'Climate A-B'!M62</f>
        <v>#NAME?</v>
      </c>
      <c r="TG2" s="6">
        <f>'Climate A-B'!$O$134</f>
        <v>0</v>
      </c>
      <c r="TH2" s="6" t="e">
        <f ca="1">_xll.RiskOutput(,"rtl_g_ab",1)+'Climate A-B'!D134</f>
        <v>#NAME?</v>
      </c>
      <c r="TI2" s="6">
        <f>'Climate A-B'!$P$134</f>
        <v>-1.018292935248688E-4</v>
      </c>
      <c r="TJ2" s="6" t="e">
        <f ca="1">_xll.RiskOutput(,"rtl_g_ab",2)+'Climate A-B'!E134</f>
        <v>#NAME?</v>
      </c>
      <c r="TK2" s="6">
        <f>'Climate A-B'!$Q$134</f>
        <v>-1.8328904732056728E-4</v>
      </c>
      <c r="TL2" s="6" t="e">
        <f ca="1">_xll.RiskOutput(,"rtl_g_ab",3)+'Climate A-B'!F134</f>
        <v>#NAME?</v>
      </c>
      <c r="TM2" s="6">
        <f>'Climate A-B'!$R$134</f>
        <v>-2.3827240695561969E-4</v>
      </c>
      <c r="TN2" s="6" t="e">
        <f ca="1">_xll.RiskOutput(,"rtl_g_ab",4)+'Climate A-B'!G134</f>
        <v>#NAME?</v>
      </c>
      <c r="TO2" s="6">
        <f>'Climate A-B'!$S$134</f>
        <v>-2.733206640450625E-4</v>
      </c>
      <c r="TP2" s="6" t="e">
        <f ca="1">_xll.RiskOutput(,"rtl_g_ab",5)+'Climate A-B'!H134</f>
        <v>#NAME?</v>
      </c>
      <c r="TQ2" s="6">
        <f>'Climate A-B'!$T$134</f>
        <v>-2.8989713825788854E-4</v>
      </c>
      <c r="TR2" s="6" t="e">
        <f ca="1">_xll.RiskOutput(,"rtl_g_ab",6)+'Climate A-B'!I134</f>
        <v>#NAME?</v>
      </c>
      <c r="TS2" s="6">
        <f>'Climate A-B'!$U$134</f>
        <v>-2.9089937067716676E-4</v>
      </c>
      <c r="TT2" s="6" t="e">
        <f ca="1">_xll.RiskOutput(,"rtl_g_ab",7)+'Climate A-B'!J134</f>
        <v>#NAME?</v>
      </c>
      <c r="TU2" s="6">
        <f>'Climate A-B'!$V$134</f>
        <v>-2.4923782573749165E-4</v>
      </c>
      <c r="TV2" s="6" t="e">
        <f ca="1">_xll.RiskOutput(,"rtl_g_ab",8)+'Climate A-B'!K134</f>
        <v>#NAME?</v>
      </c>
      <c r="TW2" s="6">
        <f>'Climate A-B'!$W$134</f>
        <v>-1.1030677613899087E-4</v>
      </c>
      <c r="TX2" s="6" t="e">
        <f ca="1">_xll.RiskOutput(,"rtl_g_ab",9)+'Climate A-B'!L134</f>
        <v>#NAME?</v>
      </c>
      <c r="TY2" s="6">
        <f>'Climate A-B'!$X$134</f>
        <v>-5.9691719000554144E-5</v>
      </c>
      <c r="TZ2" s="6" t="e">
        <f ca="1">_xll.RiskOutput(,"rtl_g_ab",10)+'Climate A-B'!M134</f>
        <v>#NAME?</v>
      </c>
      <c r="UA2" s="6">
        <f>'Climate A-B'!$O$136</f>
        <v>0</v>
      </c>
      <c r="UB2" s="6" t="e">
        <f ca="1">_xll.RiskOutput(,"rt_g_ab",1)+'Climate A-B'!D136</f>
        <v>#NAME?</v>
      </c>
      <c r="UC2" s="6">
        <f>'Climate A-B'!$P$136</f>
        <v>-8.0874821570153799E-5</v>
      </c>
      <c r="UD2" s="6" t="e">
        <f ca="1">_xll.RiskOutput(,"rt_g_ab",2)+'Climate A-B'!E136</f>
        <v>#NAME?</v>
      </c>
      <c r="UE2" s="6">
        <f>'Climate A-B'!$Q$136</f>
        <v>-1.4557175528473465E-4</v>
      </c>
      <c r="UF2" s="6" t="e">
        <f ca="1">_xll.RiskOutput(,"rt_g_ab",3)+'Climate A-B'!F136</f>
        <v>#NAME?</v>
      </c>
      <c r="UG2" s="6">
        <f>'Climate A-B'!$R$136</f>
        <v>-1.8924061761227406E-4</v>
      </c>
      <c r="UH2" s="6" t="e">
        <f ca="1">_xll.RiskOutput(,"rt_g_ab",4)+'Climate A-B'!G136</f>
        <v>#NAME?</v>
      </c>
      <c r="UI2" s="6">
        <f>'Climate A-B'!$S$136</f>
        <v>-2.1707663061332205E-4</v>
      </c>
      <c r="UJ2" s="6" t="e">
        <f ca="1">_xll.RiskOutput(,"rt_g_ab",5)+'Climate A-B'!H136</f>
        <v>#NAME?</v>
      </c>
      <c r="UK2" s="6">
        <f>'Climate A-B'!$T$136</f>
        <v>-2.3024199146215452E-4</v>
      </c>
      <c r="UL2" s="6" t="e">
        <f ca="1">_xll.RiskOutput(,"rt_g_ab",6)+'Climate A-B'!I136</f>
        <v>#NAME?</v>
      </c>
      <c r="UM2" s="6">
        <f>'Climate A-B'!$U$136</f>
        <v>-2.3103798410062382E-4</v>
      </c>
      <c r="UN2" s="6" t="e">
        <f ca="1">_xll.RiskOutput(,"rt_g_ab",7)+'Climate A-B'!J136</f>
        <v>#NAME?</v>
      </c>
      <c r="UO2" s="6">
        <f>'Climate A-B'!$V$136</f>
        <v>-1.9794956821694853E-4</v>
      </c>
      <c r="UP2" s="6" t="e">
        <f ca="1">_xll.RiskOutput(,"rt_g_ab",8)+'Climate A-B'!K136</f>
        <v>#NAME?</v>
      </c>
      <c r="UQ2" s="6">
        <f>'Climate A-B'!$W$136</f>
        <v>-8.7607804487355168E-5</v>
      </c>
      <c r="UR2" s="6" t="e">
        <f ca="1">_xll.RiskOutput(,"rt_g_ab",9)+'Climate A-B'!L136</f>
        <v>#NAME?</v>
      </c>
      <c r="US2" s="6">
        <f>'Climate A-B'!$X$136</f>
        <v>-4.7408333656573376E-5</v>
      </c>
      <c r="UT2" s="6" t="e">
        <f ca="1">_xll.RiskOutput(,"rt_g_ab",10)+'Climate A-B'!M136</f>
        <v>#NAME?</v>
      </c>
      <c r="UU2" s="6">
        <f>'Climate A-B'!$O$139</f>
        <v>0</v>
      </c>
      <c r="UV2" s="6" t="e">
        <f ca="1">_xll.RiskOutput(,"s_ab",1)+'Climate A-B'!D139</f>
        <v>#NAME?</v>
      </c>
      <c r="UW2" s="6">
        <f>'Climate A-B'!$P$139</f>
        <v>-1.3948443946254496E-6</v>
      </c>
      <c r="UX2" s="6" t="e">
        <f ca="1">_xll.RiskOutput(,"s_ab",2)+'Climate A-B'!E139</f>
        <v>#NAME?</v>
      </c>
      <c r="UY2" s="6">
        <f>'Climate A-B'!$Q$139</f>
        <v>-3.8916349491546764E-6</v>
      </c>
      <c r="UZ2" s="6" t="e">
        <f ca="1">_xll.RiskOutput(,"s_ab",3)+'Climate A-B'!F139</f>
        <v>#NAME?</v>
      </c>
      <c r="VA2" s="6">
        <f>'Climate A-B'!$R$139</f>
        <v>-7.1167369186664331E-6</v>
      </c>
      <c r="VB2" s="6" t="e">
        <f ca="1">_xll.RiskOutput(,"s_ab",4)+'Climate A-B'!G139</f>
        <v>#NAME?</v>
      </c>
      <c r="VC2" s="6">
        <f>'Climate A-B'!$S$139</f>
        <v>-1.0789835046320917E-5</v>
      </c>
      <c r="VD2" s="6" t="e">
        <f ca="1">_xll.RiskOutput(,"s_ab",5)+'Climate A-B'!H139</f>
        <v>#NAME?</v>
      </c>
      <c r="VE2" s="6">
        <f>'Climate A-B'!$T$139</f>
        <v>-1.4653447620860405E-5</v>
      </c>
      <c r="VF2" s="6" t="e">
        <f ca="1">_xll.RiskOutput(,"s_ab",6)+'Climate A-B'!I139</f>
        <v>#NAME?</v>
      </c>
      <c r="VG2" s="6">
        <f>'Climate A-B'!$U$139</f>
        <v>-2.229304482542771E-5</v>
      </c>
      <c r="VH2" s="6" t="e">
        <f ca="1">_xll.RiskOutput(,"s_ab",7)+'Climate A-B'!J139</f>
        <v>#NAME?</v>
      </c>
      <c r="VI2" s="6">
        <f>'Climate A-B'!$V$139</f>
        <v>-2.8645697346840748E-5</v>
      </c>
      <c r="VJ2" s="6" t="e">
        <f ca="1">_xll.RiskOutput(,"s_ab",8)+'Climate A-B'!K139</f>
        <v>#NAME?</v>
      </c>
      <c r="VK2" s="6">
        <f>'Climate A-B'!$W$139</f>
        <v>-4.0370472605966157E-5</v>
      </c>
      <c r="VL2" s="6" t="e">
        <f ca="1">_xll.RiskOutput(,"s_ab",9)+'Climate A-B'!L139</f>
        <v>#NAME?</v>
      </c>
      <c r="VM2" s="6">
        <f>'Climate A-B'!$X$139</f>
        <v>-4.4348646554226434E-5</v>
      </c>
      <c r="VN2" s="6" t="e">
        <f ca="1">_xll.RiskOutput(,"s_ab",10)+'Climate A-B'!M139</f>
        <v>#NAME?</v>
      </c>
      <c r="VO2" s="1">
        <f>'Preventative costs A'!$B$685</f>
        <v>-115830.80260556904</v>
      </c>
      <c r="VP2" s="1" t="e">
        <f ca="1">_xll.RiskOutput(,"pct_g_a",1)+SUM('Preventative costs A'!B677:B684)</f>
        <v>#NAME?</v>
      </c>
      <c r="VQ2" s="1">
        <f>'Preventative costs A'!$C$685</f>
        <v>-205990.07220206101</v>
      </c>
      <c r="VR2" s="1" t="e">
        <f ca="1">_xll.RiskOutput(,"pct_g_a",2)+SUM('Preventative costs A'!C677:C684)</f>
        <v>#NAME?</v>
      </c>
      <c r="VS2" s="1">
        <f>'Preventative costs A'!$D$685</f>
        <v>-190911.80849548138</v>
      </c>
      <c r="VT2" s="1" t="e">
        <f ca="1">_xll.RiskOutput(,"pct_g_a",3)+SUM('Preventative costs A'!D677:D684)</f>
        <v>#NAME?</v>
      </c>
      <c r="VU2" s="1">
        <f>'Preventative costs A'!$E$685</f>
        <v>-243454.25947798608</v>
      </c>
      <c r="VV2" s="1" t="e">
        <f ca="1">_xll.RiskOutput(,"pct_g_a",4)+SUM('Preventative costs A'!E677:E684)</f>
        <v>#NAME?</v>
      </c>
      <c r="VW2" s="1">
        <f>'Preventative costs A'!$F$685</f>
        <v>225117.00887730755</v>
      </c>
      <c r="VX2" s="1" t="e">
        <f ca="1">_xll.RiskOutput(,"pct_g_a",5)+SUM('Preventative costs A'!F677:F684)</f>
        <v>#NAME?</v>
      </c>
      <c r="VY2" s="1">
        <f>'Preventative costs A'!$G$685</f>
        <v>537720.31802973012</v>
      </c>
      <c r="VZ2" s="1" t="e">
        <f ca="1">_xll.RiskOutput(,"pct_g_a",6)+SUM('Preventative costs A'!G677:G684)</f>
        <v>#NAME?</v>
      </c>
      <c r="WA2" s="1">
        <f>'Preventative costs A'!$H$685</f>
        <v>1035579.5976868261</v>
      </c>
      <c r="WB2" s="1" t="e">
        <f ca="1">_xll.RiskOutput(,"pct_g_a",7)+SUM('Preventative costs A'!H677:H684)</f>
        <v>#NAME?</v>
      </c>
      <c r="WC2" s="1">
        <f>'Preventative costs A'!$I$685</f>
        <v>592020.17558726878</v>
      </c>
      <c r="WD2" s="1" t="e">
        <f ca="1">_xll.RiskOutput(,"pct_g_a",8)+SUM('Preventative costs A'!I677:I684)</f>
        <v>#NAME?</v>
      </c>
      <c r="WE2" s="1">
        <f>'Preventative costs A'!$J$685</f>
        <v>199288.91914059495</v>
      </c>
      <c r="WF2" s="1" t="e">
        <f ca="1">_xll.RiskOutput(,"pct_g_a",9)+SUM('Preventative costs A'!J677:J684)</f>
        <v>#NAME?</v>
      </c>
      <c r="WG2" s="1">
        <f>'Preventative costs A'!$K$685</f>
        <v>426803.60671883129</v>
      </c>
      <c r="WH2" s="1" t="e">
        <f ca="1">_xll.RiskOutput(,"pct_g_a",10)+SUM('Preventative costs A'!K677:K684)</f>
        <v>#NAME?</v>
      </c>
      <c r="WI2" s="1">
        <f>'Preventative costs B'!$B$685</f>
        <v>-115830.80260556904</v>
      </c>
      <c r="WJ2" s="1" t="e">
        <f ca="1">_xll.RiskOutput(,"pct_g_a",1)+SUM('Preventative costs B'!B677:B684)</f>
        <v>#NAME?</v>
      </c>
      <c r="WK2" s="1">
        <f>'Preventative costs B'!$C$685</f>
        <v>-205990.07220206101</v>
      </c>
      <c r="WL2" s="1" t="e">
        <f ca="1">_xll.RiskOutput(,"pct_g_a",2)+SUM('Preventative costs B'!C677:C684)</f>
        <v>#NAME?</v>
      </c>
      <c r="WM2" s="1">
        <f>'Preventative costs B'!$D$685</f>
        <v>-190911.80849548138</v>
      </c>
      <c r="WN2" s="1" t="e">
        <f ca="1">_xll.RiskOutput(,"pct_g_a",3)+SUM('Preventative costs B'!D677:D684)</f>
        <v>#NAME?</v>
      </c>
      <c r="WO2" s="1">
        <f>'Preventative costs B'!$E$685</f>
        <v>-243454.25947798608</v>
      </c>
      <c r="WP2" s="1" t="e">
        <f ca="1">_xll.RiskOutput(,"pct_g_a",4)+SUM('Preventative costs B'!E677:E684)</f>
        <v>#NAME?</v>
      </c>
      <c r="WQ2" s="1">
        <f>'Preventative costs B'!$F$685</f>
        <v>225117.00887730755</v>
      </c>
      <c r="WR2" s="1" t="e">
        <f ca="1">_xll.RiskOutput(,"pct_g_a",5)+SUM('Preventative costs B'!F677:F684)</f>
        <v>#NAME?</v>
      </c>
      <c r="WS2" s="1">
        <f>'Preventative costs B'!$G$685</f>
        <v>537720.31802973012</v>
      </c>
      <c r="WT2" s="1" t="e">
        <f ca="1">_xll.RiskOutput(,"pct_g_a",6)+SUM('Preventative costs B'!G677:G684)</f>
        <v>#NAME?</v>
      </c>
      <c r="WU2" s="1">
        <f>'Preventative costs B'!$H$685</f>
        <v>1035579.5976868261</v>
      </c>
      <c r="WV2" s="1" t="e">
        <f ca="1">_xll.RiskOutput(,"pct_g_a",7)+SUM('Preventative costs B'!H677:H684)</f>
        <v>#NAME?</v>
      </c>
      <c r="WW2" s="1">
        <f>'Preventative costs B'!$I$685</f>
        <v>592020.17558726878</v>
      </c>
      <c r="WX2" s="1" t="e">
        <f ca="1">_xll.RiskOutput(,"pct_g_a",8)+SUM('Preventative costs B'!I677:I684)</f>
        <v>#NAME?</v>
      </c>
      <c r="WY2" s="1">
        <f>'Preventative costs B'!$J$685</f>
        <v>199288.91914059495</v>
      </c>
      <c r="WZ2" s="1" t="e">
        <f ca="1">_xll.RiskOutput(,"pct_g_a",9)+SUM('Preventative costs B'!J677:J684)</f>
        <v>#NAME?</v>
      </c>
      <c r="XA2" s="1">
        <f>'Preventative costs B'!$K$685</f>
        <v>426803.60671883129</v>
      </c>
      <c r="XB2" s="1" t="e">
        <f ca="1">_xll.RiskOutput(,"pct_g_a",10)+SUM('Preventative costs B'!K677:K684)</f>
        <v>#NAME?</v>
      </c>
      <c r="XC2" s="6">
        <f>'Impacts A'!$B$107</f>
        <v>0.5</v>
      </c>
      <c r="XD2" t="e">
        <f ca="1">RiskValStatic(0.5)+_xll.RiskUniform(0,1)</f>
        <v>#NAME?</v>
      </c>
      <c r="XE2" s="4">
        <f>'Impacts A-B'!$D$108</f>
        <v>0</v>
      </c>
      <c r="XF2" s="4" t="e">
        <f ca="1">_xll.RiskOutput("Discontinuity Difference 2020","Discontinuity Difference",1)+'Impacts A'!D108-'Impacts B'!D108</f>
        <v>#NAME?</v>
      </c>
      <c r="XG2" s="4">
        <f>'Impacts A-B'!$E$108</f>
        <v>0</v>
      </c>
      <c r="XH2" s="4" t="e">
        <f ca="1">_xll.RiskOutput("Discontinuity Difference 2030","Discontinuity Difference",2)+'Impacts A'!E108-'Impacts B'!E108</f>
        <v>#NAME?</v>
      </c>
      <c r="XI2" s="4">
        <f>'Impacts A-B'!$F$108</f>
        <v>0</v>
      </c>
      <c r="XJ2" s="4" t="e">
        <f ca="1">_xll.RiskOutput("Discontinuity Difference 2040","Discontinuity Difference",3)+'Impacts A'!F108-'Impacts B'!F108</f>
        <v>#NAME?</v>
      </c>
      <c r="XK2" s="4">
        <f>'Impacts A-B'!$G$108</f>
        <v>0</v>
      </c>
      <c r="XL2" s="4" t="e">
        <f ca="1">_xll.RiskOutput("Discontinuity Difference 2050","Discontinuity Difference",4)+'Impacts A'!G108-'Impacts B'!G108</f>
        <v>#NAME?</v>
      </c>
      <c r="XM2" s="4">
        <f>'Impacts A-B'!$H$108</f>
        <v>0</v>
      </c>
      <c r="XN2" s="4" t="e">
        <f ca="1">_xll.RiskOutput("Discontinuity Difference 2060","Discontinuity Difference",5)+'Impacts A'!H108-'Impacts B'!H108</f>
        <v>#NAME?</v>
      </c>
      <c r="XO2" s="4">
        <f>'Impacts A-B'!$I$108</f>
        <v>0</v>
      </c>
      <c r="XP2" s="4" t="e">
        <f ca="1">_xll.RiskOutput("Discontinuity Difference 2080","Discontinuity Difference",6)+'Impacts A'!I108-'Impacts B'!I108</f>
        <v>#NAME?</v>
      </c>
      <c r="XQ2" s="4">
        <f>'Impacts A-B'!$J$108</f>
        <v>0</v>
      </c>
      <c r="XR2" s="4" t="e">
        <f ca="1">_xll.RiskOutput("Discontinuity Difference 2100","Discontinuity Difference",7)+'Impacts A'!J108-'Impacts B'!J108</f>
        <v>#NAME?</v>
      </c>
      <c r="XS2" s="4">
        <f>'Impacts A-B'!$K$108</f>
        <v>0</v>
      </c>
      <c r="XT2" s="4" t="e">
        <f ca="1">_xll.RiskOutput("Discontinuity Difference 2200","Discontinuity Difference",8)+'Impacts A'!K108-'Impacts B'!K108</f>
        <v>#NAME?</v>
      </c>
      <c r="XU2" s="4">
        <f>'Impacts A-B'!$L$108</f>
        <v>0</v>
      </c>
      <c r="XV2" s="4" t="e">
        <f ca="1">_xll.RiskOutput("Discontinuity Difference 2300","Discontinuity Difference",9)+'Impacts A'!L108-'Impacts B'!L108</f>
        <v>#NAME?</v>
      </c>
      <c r="XW2" s="1">
        <f>'Impacts A-B'!$Q$424</f>
        <v>0</v>
      </c>
      <c r="XX2" s="1" t="e">
        <f ca="1">_xll.RiskOutput(,'Impacts A-B'!P424,1)+'Impacts A-B'!C424</f>
        <v>#NAME?</v>
      </c>
      <c r="XY2" s="1">
        <f>'Impacts A-B'!$R$424</f>
        <v>-8.0034451174797141</v>
      </c>
      <c r="XZ2" s="1" t="e">
        <f ca="1">_xll.RiskOutput(,'Impacts A-B'!P424,2)+'Impacts A-B'!D424</f>
        <v>#NAME?</v>
      </c>
      <c r="YA2" s="1">
        <f>'Impacts A-B'!$S$424</f>
        <v>-29.775578054905054</v>
      </c>
      <c r="YB2" s="1" t="e">
        <f ca="1">_xll.RiskOutput(,'Impacts A-B'!P424,3)+'Impacts A-B'!E424</f>
        <v>#NAME?</v>
      </c>
      <c r="YC2" s="1">
        <f>'Impacts A-B'!$T$424</f>
        <v>-74.757047931081615</v>
      </c>
      <c r="YD2" s="1" t="e">
        <f ca="1">_xll.RiskOutput(,'Impacts A-B'!P424,4)+'Impacts A-B'!F424</f>
        <v>#NAME?</v>
      </c>
      <c r="YE2" s="1">
        <f>'Impacts A-B'!$U$424</f>
        <v>-127.14571243245155</v>
      </c>
      <c r="YF2" s="1" t="e">
        <f ca="1">_xll.RiskOutput(,'Impacts A-B'!P424,5)+'Impacts A-B'!G424</f>
        <v>#NAME?</v>
      </c>
      <c r="YG2" s="1">
        <f>'Impacts A-B'!$V$424</f>
        <v>-196.20575484051369</v>
      </c>
      <c r="YH2" s="1" t="e">
        <f ca="1">_xll.RiskOutput(,'Impacts A-B'!P424,6)+'Impacts A-B'!H424</f>
        <v>#NAME?</v>
      </c>
      <c r="YI2" s="1">
        <f>'Impacts A-B'!$W$424</f>
        <v>-363.63870341377333</v>
      </c>
      <c r="YJ2" s="1" t="e">
        <f ca="1">_xll.RiskOutput(,'Impacts A-B'!P424,7)+'Impacts A-B'!I424</f>
        <v>#NAME?</v>
      </c>
      <c r="YK2" s="1">
        <f>'Impacts A-B'!$X$424</f>
        <v>-513.88277836097404</v>
      </c>
      <c r="YL2" s="1" t="e">
        <f ca="1">_xll.RiskOutput(,'Impacts A-B'!P424,8)+'Impacts A-B'!J424</f>
        <v>#NAME?</v>
      </c>
      <c r="YM2" s="1">
        <f>'Impacts A-B'!$Y$424</f>
        <v>-856.78347659111023</v>
      </c>
      <c r="YN2" s="1" t="e">
        <f ca="1">_xll.RiskOutput("Weighted Damages / 2200",'Impacts A-B'!P424,9)+'Impacts A-B'!K424</f>
        <v>#NAME?</v>
      </c>
      <c r="YO2" s="1">
        <f>'Impacts A-B'!$Z$424</f>
        <v>-878.35216104611754</v>
      </c>
      <c r="YP2" s="1" t="e">
        <f ca="1">_xll.RiskOutput("Weighted Damages / 2300",'Impacts A-B'!P424,10)+'Impacts A-B'!L424</f>
        <v>#NAME?</v>
      </c>
      <c r="YQ2" s="1">
        <f>'Impacts A-B'!$M$436</f>
        <v>-594.4825316243805</v>
      </c>
      <c r="YR2" s="1" t="e">
        <f ca="1">_xll.RiskOutput(,"regional and global extra impact",1)+'Impacts A'!M436-'Impacts B'!M436</f>
        <v>#NAME?</v>
      </c>
      <c r="YS2" s="1">
        <f>'Impacts A-B'!$M$437</f>
        <v>-709.32824157644063</v>
      </c>
      <c r="YT2" s="1" t="e">
        <f ca="1">_xll.RiskOutput(,"regional and global extra impact",2)+'Impacts A'!M437-'Impacts B'!M437</f>
        <v>#NAME?</v>
      </c>
      <c r="YU2" s="1">
        <f>'Impacts A-B'!$M$438</f>
        <v>-999.56088696699589</v>
      </c>
      <c r="YV2" s="1" t="e">
        <f ca="1">_xll.RiskOutput(,"regional and global extra impact",3)+'Impacts A'!M438-'Impacts B'!M438</f>
        <v>#NAME?</v>
      </c>
      <c r="YW2" s="1">
        <f>'Impacts A-B'!$M$439</f>
        <v>-211.46308640693314</v>
      </c>
      <c r="YX2" s="1" t="e">
        <f ca="1">_xll.RiskOutput(,"regional and global extra impact",4)+'Impacts A'!M439-'Impacts B'!M439</f>
        <v>#NAME?</v>
      </c>
      <c r="YY2" s="1">
        <f>'Impacts A-B'!$M$440</f>
        <v>-230.76831856137142</v>
      </c>
      <c r="YZ2" s="1" t="e">
        <f ca="1">_xll.RiskOutput(,"regional and global extra impact",5)+'Impacts A'!M440-'Impacts B'!M440</f>
        <v>#NAME?</v>
      </c>
      <c r="ZA2" s="1">
        <f>'Impacts A-B'!$M$441</f>
        <v>-462.29993745544925</v>
      </c>
      <c r="ZB2" s="1" t="e">
        <f ca="1">_xll.RiskOutput(,"regional and global extra impact",6)+'Impacts A'!M441-'Impacts B'!M441</f>
        <v>#NAME?</v>
      </c>
      <c r="ZC2" s="1">
        <f>'Impacts A-B'!$M$442</f>
        <v>-215.8598702091258</v>
      </c>
      <c r="ZD2" s="1" t="e">
        <f ca="1">_xll.RiskOutput(,"regional and global extra impact",7)+'Impacts A'!M442-'Impacts B'!M442</f>
        <v>#NAME?</v>
      </c>
      <c r="ZE2" s="1">
        <f>'Impacts A-B'!$M$443</f>
        <v>-287.91690260800533</v>
      </c>
      <c r="ZF2" s="1" t="e">
        <f ca="1">_xll.RiskOutput(,"regional and global extra impact",8)+'Impacts A'!M443-'Impacts B'!M443</f>
        <v>#NAME?</v>
      </c>
      <c r="ZG2" s="1">
        <f>'Impacts A-B'!$M$444</f>
        <v>-3711.6797754094005</v>
      </c>
      <c r="ZH2" s="1" t="e">
        <f ca="1">_xll.RiskOutput(,"regional and global extra impact",9)+'Impacts A'!M444-'Impacts B'!M444</f>
        <v>#NAME?</v>
      </c>
      <c r="ZI2" s="1">
        <f>'Impacts A-B'!$M$450</f>
        <v>6703.7065418660641</v>
      </c>
      <c r="ZJ2" s="1" t="e">
        <f ca="1">_xll.RiskOutput("SCCO2")+'Impacts A'!M450-'Impacts B'!M450</f>
        <v>#NAME?</v>
      </c>
      <c r="ZK2" s="1">
        <f>Totals!$L$9</f>
        <v>22107211.096440114</v>
      </c>
      <c r="ZL2" t="e">
        <f ca="1">_xll.RiskOutput(,Totals!$L$3,1)+[0]!td</f>
        <v>#NAME?</v>
      </c>
      <c r="ZM2" s="1">
        <f>Totals!$L$10</f>
        <v>1767979.5610650117</v>
      </c>
      <c r="ZN2" t="e">
        <f ca="1">_xll.RiskOutput(,Totals!$L$3,3)+[0]!tpc</f>
        <v>#NAME?</v>
      </c>
      <c r="ZO2" s="1">
        <f>Totals!$L$11</f>
        <v>7992859.1527807368</v>
      </c>
      <c r="ZP2" t="e">
        <f ca="1">_xll.RiskOutput(,Totals!$L$3,2)+[0]!tac</f>
        <v>#NAME?</v>
      </c>
      <c r="ZQ2" s="1">
        <f>Totals!$L$12</f>
        <v>31868049.810285863</v>
      </c>
      <c r="ZR2" s="1" t="e">
        <f ca="1">_xll.RiskOutput(,Totals!$L$3,4)+MIN(SUM(Totals!L9:L11), [0]!CIV_VALUE)</f>
        <v>#NAME?</v>
      </c>
      <c r="ZS2" s="1">
        <f>Totals!$L$20</f>
        <v>22110922.776215523</v>
      </c>
      <c r="ZT2" t="e">
        <f ca="1">_xll.RiskOutput(,Totals!$L$14,1)+[0]!td_b</f>
        <v>#NAME?</v>
      </c>
      <c r="ZU2" s="1">
        <f>Totals!$L$21</f>
        <v>1767979.5610650117</v>
      </c>
      <c r="ZV2" t="e">
        <f ca="1">_xll.RiskOutput(,Totals!$L$14,3)+[0]!tpc_b</f>
        <v>#NAME?</v>
      </c>
      <c r="ZW2" s="1">
        <f>Totals!$L$22</f>
        <v>7992859.1527807368</v>
      </c>
      <c r="ZX2" t="e">
        <f ca="1">_xll.RiskOutput(,Totals!$L$14,2)+[0]!tac_b</f>
        <v>#NAME?</v>
      </c>
      <c r="ZY2" s="1">
        <f>Totals!$L$23</f>
        <v>31871761.490061272</v>
      </c>
      <c r="ZZ2" s="1" t="e">
        <f ca="1">_xll.RiskOutput(,Totals!$L$14,4)+MIN(SUM(Totals!L20:L22), [0]!CIV_VALUE)</f>
        <v>#NAME?</v>
      </c>
      <c r="AAA2" s="1">
        <f>Totals!$L$31</f>
        <v>-3711.6797754094005</v>
      </c>
      <c r="AAB2" t="e">
        <f ca="1">_xll.RiskOutput(,Totals!$L$25,1)+[0]!td_ab</f>
        <v>#NAME?</v>
      </c>
      <c r="AAC2" s="1">
        <f>Totals!$L$32</f>
        <v>0</v>
      </c>
      <c r="AAD2" t="e">
        <f ca="1">_xll.RiskOutput(,Totals!$L$25,3)+[0]!tpc_ab</f>
        <v>#NAME?</v>
      </c>
      <c r="AAE2" s="1">
        <f>Totals!$L$33</f>
        <v>0</v>
      </c>
      <c r="AAF2" t="e">
        <f ca="1">_xll.RiskOutput(,Totals!$L$25,2)+[0]!tac_ab</f>
        <v>#NAME?</v>
      </c>
      <c r="AAG2" s="1">
        <f>Totals!$L$34</f>
        <v>-3711.6797754094005</v>
      </c>
      <c r="AAH2" t="e">
        <f ca="1">_xll.RiskOutput(,Totals!$L$25,4)+[0]!te_a-[0]!te_b</f>
        <v>#NAME?</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0EA7A-9ED7-487F-A0AF-1B0ACF8982AB}">
  <sheetPr>
    <outlinePr summaryBelow="0" summaryRight="0"/>
  </sheetPr>
  <dimension ref="A1:L390"/>
  <sheetViews>
    <sheetView showGridLines="0" workbookViewId="0"/>
  </sheetViews>
  <sheetFormatPr defaultColWidth="9.08984375" defaultRowHeight="14.5" x14ac:dyDescent="0.35"/>
  <cols>
    <col min="1" max="1" width="0.26953125" style="166" customWidth="1"/>
    <col min="2" max="2" width="31" style="166" bestFit="1" customWidth="1"/>
    <col min="3" max="3" width="9.453125" style="166" bestFit="1" customWidth="1"/>
    <col min="4" max="4" width="4.7265625" style="166" bestFit="1" customWidth="1"/>
    <col min="5" max="5" width="40.6328125" style="166" customWidth="1"/>
    <col min="6" max="10" width="14.36328125" style="166" customWidth="1"/>
    <col min="11" max="11" width="8.6328125" style="166" customWidth="1"/>
    <col min="12" max="16384" width="9.08984375" style="166"/>
  </cols>
  <sheetData>
    <row r="1" spans="1:12" s="218" customFormat="1" ht="14" customHeight="1" x14ac:dyDescent="0.35">
      <c r="A1" s="221"/>
      <c r="B1" s="220" t="s">
        <v>2557</v>
      </c>
      <c r="C1" s="215"/>
      <c r="D1" s="215"/>
      <c r="E1" s="215"/>
      <c r="F1" s="215"/>
      <c r="G1" s="215"/>
      <c r="H1" s="215"/>
      <c r="I1" s="215"/>
      <c r="J1" s="215"/>
      <c r="K1" s="215"/>
      <c r="L1" s="219"/>
    </row>
    <row r="2" spans="1:12" s="213" customFormat="1" ht="14" customHeight="1" x14ac:dyDescent="0.2">
      <c r="A2" s="217"/>
      <c r="B2" s="216" t="s">
        <v>2556</v>
      </c>
      <c r="C2" s="215"/>
      <c r="D2" s="215"/>
      <c r="E2" s="215"/>
      <c r="F2" s="215"/>
      <c r="G2" s="215"/>
      <c r="H2" s="215"/>
      <c r="I2" s="215"/>
      <c r="J2" s="215"/>
      <c r="K2" s="215"/>
      <c r="L2" s="214"/>
    </row>
    <row r="3" spans="1:12" s="213" customFormat="1" ht="14" customHeight="1" x14ac:dyDescent="0.2">
      <c r="A3" s="217"/>
      <c r="B3" s="216" t="s">
        <v>2555</v>
      </c>
      <c r="C3" s="215"/>
      <c r="D3" s="215"/>
      <c r="E3" s="215"/>
      <c r="F3" s="215"/>
      <c r="G3" s="215"/>
      <c r="H3" s="215"/>
      <c r="I3" s="215"/>
      <c r="J3" s="215"/>
      <c r="K3" s="215"/>
      <c r="L3" s="214"/>
    </row>
    <row r="4" spans="1:12" ht="14" customHeight="1" x14ac:dyDescent="0.35">
      <c r="A4" s="167"/>
      <c r="B4" s="167"/>
      <c r="C4" s="167"/>
      <c r="D4" s="167"/>
      <c r="E4" s="167"/>
      <c r="F4" s="167"/>
      <c r="G4" s="167"/>
      <c r="H4" s="167"/>
      <c r="I4" s="167"/>
      <c r="J4" s="167"/>
      <c r="K4" s="167"/>
    </row>
    <row r="5" spans="1:12" ht="14" customHeight="1" x14ac:dyDescent="0.35">
      <c r="A5" s="212"/>
      <c r="B5" s="211" t="s">
        <v>2156</v>
      </c>
      <c r="C5" s="211" t="s">
        <v>2409</v>
      </c>
      <c r="D5" s="211" t="s">
        <v>2408</v>
      </c>
      <c r="E5" s="210" t="s">
        <v>2407</v>
      </c>
      <c r="F5" s="209" t="s">
        <v>2405</v>
      </c>
      <c r="G5" s="209" t="s">
        <v>177</v>
      </c>
      <c r="H5" s="209" t="s">
        <v>2404</v>
      </c>
      <c r="I5" s="208">
        <v>0.05</v>
      </c>
      <c r="J5" s="208">
        <v>0.95</v>
      </c>
      <c r="K5" s="207" t="s">
        <v>2554</v>
      </c>
    </row>
    <row r="6" spans="1:12" ht="14" customHeight="1" x14ac:dyDescent="0.35">
      <c r="A6" s="195" t="s">
        <v>2553</v>
      </c>
      <c r="B6" s="194"/>
      <c r="C6" s="194"/>
      <c r="D6" s="194"/>
      <c r="E6" s="194"/>
      <c r="F6" s="194"/>
      <c r="G6" s="194"/>
      <c r="H6" s="194"/>
      <c r="I6" s="194"/>
      <c r="J6" s="194"/>
      <c r="K6" s="194"/>
    </row>
    <row r="7" spans="1:12" ht="112" customHeight="1" x14ac:dyDescent="0.35">
      <c r="A7" s="193"/>
      <c r="B7" s="192" t="str">
        <f>HYPERLINK("[.\]'Impacts A-B'!$Q$424","Weighted Damages / 2010")</f>
        <v>Weighted Damages / 2010</v>
      </c>
      <c r="C7" s="180" t="s">
        <v>2412</v>
      </c>
      <c r="D7" s="180" t="s">
        <v>2552</v>
      </c>
      <c r="E7" s="181"/>
      <c r="F7" s="191">
        <v>0</v>
      </c>
      <c r="G7" s="191">
        <v>0</v>
      </c>
      <c r="H7" s="191">
        <v>0</v>
      </c>
      <c r="I7" s="191">
        <v>0</v>
      </c>
      <c r="J7" s="191">
        <v>0</v>
      </c>
      <c r="K7" s="179" t="s">
        <v>2410</v>
      </c>
    </row>
    <row r="8" spans="1:12" ht="112" customHeight="1" x14ac:dyDescent="0.35">
      <c r="A8" s="190"/>
      <c r="B8" s="189" t="str">
        <f>HYPERLINK("[.\]'Impacts A-B'!$R$424","Weighted Damages / 2020")</f>
        <v>Weighted Damages / 2020</v>
      </c>
      <c r="C8" s="170" t="s">
        <v>2412</v>
      </c>
      <c r="D8" s="170" t="s">
        <v>2551</v>
      </c>
      <c r="E8" s="171"/>
      <c r="F8" s="188">
        <v>-933.39949999999999</v>
      </c>
      <c r="G8" s="188">
        <v>-16.65991</v>
      </c>
      <c r="H8" s="188">
        <v>6.6048669999999996</v>
      </c>
      <c r="I8" s="188">
        <v>-68.294560000000004</v>
      </c>
      <c r="J8" s="188">
        <v>0.57730599999999999</v>
      </c>
      <c r="K8" s="187" t="s">
        <v>2410</v>
      </c>
    </row>
    <row r="9" spans="1:12" ht="112" customHeight="1" x14ac:dyDescent="0.35">
      <c r="A9" s="190"/>
      <c r="B9" s="189" t="str">
        <f>HYPERLINK("[.\]'Impacts A-B'!$S$424","Weighted Damages / 2030")</f>
        <v>Weighted Damages / 2030</v>
      </c>
      <c r="C9" s="170" t="s">
        <v>2412</v>
      </c>
      <c r="D9" s="170" t="s">
        <v>2550</v>
      </c>
      <c r="E9" s="171"/>
      <c r="F9" s="188">
        <v>-2514.1979999999999</v>
      </c>
      <c r="G9" s="188">
        <v>-59.8889</v>
      </c>
      <c r="H9" s="188">
        <v>6.8247580000000001</v>
      </c>
      <c r="I9" s="188">
        <v>-242.2157</v>
      </c>
      <c r="J9" s="188">
        <v>-1.215598</v>
      </c>
      <c r="K9" s="187" t="s">
        <v>2410</v>
      </c>
    </row>
    <row r="10" spans="1:12" ht="112" customHeight="1" x14ac:dyDescent="0.35">
      <c r="A10" s="190"/>
      <c r="B10" s="189" t="str">
        <f>HYPERLINK("[.\]'Impacts A-B'!$T$424","Weighted Damages / 2040")</f>
        <v>Weighted Damages / 2040</v>
      </c>
      <c r="C10" s="170" t="s">
        <v>2412</v>
      </c>
      <c r="D10" s="170" t="s">
        <v>2549</v>
      </c>
      <c r="E10" s="171"/>
      <c r="F10" s="188">
        <v>-5586.576</v>
      </c>
      <c r="G10" s="188">
        <v>-133.6807</v>
      </c>
      <c r="H10" s="188">
        <v>5.03125</v>
      </c>
      <c r="I10" s="188">
        <v>-543.91719999999998</v>
      </c>
      <c r="J10" s="188">
        <v>-6.7320380000000002</v>
      </c>
      <c r="K10" s="187" t="s">
        <v>2410</v>
      </c>
    </row>
    <row r="11" spans="1:12" ht="112" customHeight="1" x14ac:dyDescent="0.35">
      <c r="A11" s="190"/>
      <c r="B11" s="189" t="str">
        <f>HYPERLINK("[.\]'Impacts A-B'!$U$424","Weighted Damages / 2050")</f>
        <v>Weighted Damages / 2050</v>
      </c>
      <c r="C11" s="170" t="s">
        <v>2412</v>
      </c>
      <c r="D11" s="170" t="s">
        <v>2548</v>
      </c>
      <c r="E11" s="171"/>
      <c r="F11" s="188">
        <v>-7308.665</v>
      </c>
      <c r="G11" s="188">
        <v>-230.06559999999999</v>
      </c>
      <c r="H11" s="188">
        <v>6.0010770000000004</v>
      </c>
      <c r="I11" s="188">
        <v>-962.84249999999997</v>
      </c>
      <c r="J11" s="188">
        <v>-13.47081</v>
      </c>
      <c r="K11" s="187" t="s">
        <v>2410</v>
      </c>
    </row>
    <row r="12" spans="1:12" ht="112" customHeight="1" x14ac:dyDescent="0.35">
      <c r="A12" s="190"/>
      <c r="B12" s="189" t="str">
        <f>HYPERLINK("[.\]'Impacts A-B'!$V$424","Weighted Damages / 2060")</f>
        <v>Weighted Damages / 2060</v>
      </c>
      <c r="C12" s="170" t="s">
        <v>2412</v>
      </c>
      <c r="D12" s="170" t="s">
        <v>2547</v>
      </c>
      <c r="E12" s="171"/>
      <c r="F12" s="188">
        <v>-8382.5830000000005</v>
      </c>
      <c r="G12" s="188">
        <v>-342.1542</v>
      </c>
      <c r="H12" s="188">
        <v>4.3781080000000001</v>
      </c>
      <c r="I12" s="188">
        <v>-1441.1479999999999</v>
      </c>
      <c r="J12" s="188">
        <v>-20.68674</v>
      </c>
      <c r="K12" s="187" t="s">
        <v>2410</v>
      </c>
    </row>
    <row r="13" spans="1:12" ht="112" customHeight="1" x14ac:dyDescent="0.35">
      <c r="A13" s="190"/>
      <c r="B13" s="189" t="str">
        <f>HYPERLINK("[.\]'Impacts A-B'!$W$424","Weighted Damages / 2080")</f>
        <v>Weighted Damages / 2080</v>
      </c>
      <c r="C13" s="170" t="s">
        <v>2412</v>
      </c>
      <c r="D13" s="170" t="s">
        <v>2546</v>
      </c>
      <c r="E13" s="171"/>
      <c r="F13" s="188">
        <v>-11379.41</v>
      </c>
      <c r="G13" s="188">
        <v>-590.4778</v>
      </c>
      <c r="H13" s="188">
        <v>4.7192109999999996</v>
      </c>
      <c r="I13" s="188">
        <v>-2460.8139999999999</v>
      </c>
      <c r="J13" s="188">
        <v>-40.204230000000003</v>
      </c>
      <c r="K13" s="187" t="s">
        <v>2410</v>
      </c>
    </row>
    <row r="14" spans="1:12" ht="112" customHeight="1" x14ac:dyDescent="0.35">
      <c r="A14" s="190"/>
      <c r="B14" s="189" t="str">
        <f>HYPERLINK("[.\]'Impacts A-B'!$X$424","Weighted Damages / 2100")</f>
        <v>Weighted Damages / 2100</v>
      </c>
      <c r="C14" s="170" t="s">
        <v>2412</v>
      </c>
      <c r="D14" s="170" t="s">
        <v>2545</v>
      </c>
      <c r="E14" s="171"/>
      <c r="F14" s="188">
        <v>-14802.57</v>
      </c>
      <c r="G14" s="188">
        <v>-764.6454</v>
      </c>
      <c r="H14" s="188">
        <v>-6.1560550000000003</v>
      </c>
      <c r="I14" s="188">
        <v>-3171.3969999999999</v>
      </c>
      <c r="J14" s="188">
        <v>-59.25806</v>
      </c>
      <c r="K14" s="187" t="s">
        <v>2410</v>
      </c>
    </row>
    <row r="15" spans="1:12" ht="112" customHeight="1" x14ac:dyDescent="0.35">
      <c r="A15" s="190"/>
      <c r="B15" s="189" t="str">
        <f>HYPERLINK("[.\]'Impacts A-B'!$Y$424","Weighted Damages / 2200")</f>
        <v>Weighted Damages / 2200</v>
      </c>
      <c r="C15" s="170" t="s">
        <v>2412</v>
      </c>
      <c r="D15" s="170" t="s">
        <v>2544</v>
      </c>
      <c r="E15" s="171"/>
      <c r="F15" s="188">
        <v>-21410.01</v>
      </c>
      <c r="G15" s="188">
        <v>-1144.0640000000001</v>
      </c>
      <c r="H15" s="188">
        <v>-17.42071</v>
      </c>
      <c r="I15" s="188">
        <v>-4177.6040000000003</v>
      </c>
      <c r="J15" s="188">
        <v>-109.0705</v>
      </c>
      <c r="K15" s="187" t="s">
        <v>2410</v>
      </c>
    </row>
    <row r="16" spans="1:12" ht="112" customHeight="1" x14ac:dyDescent="0.35">
      <c r="A16" s="201"/>
      <c r="B16" s="200" t="str">
        <f>HYPERLINK("[.\]'Impacts A-B'!$Z$424","Weighted Damages / 2300")</f>
        <v>Weighted Damages / 2300</v>
      </c>
      <c r="C16" s="199" t="s">
        <v>2412</v>
      </c>
      <c r="D16" s="199" t="s">
        <v>2543</v>
      </c>
      <c r="E16" s="198"/>
      <c r="F16" s="206">
        <v>-14812.57</v>
      </c>
      <c r="G16" s="206">
        <v>-1012.902</v>
      </c>
      <c r="H16" s="206">
        <v>-31.909649999999999</v>
      </c>
      <c r="I16" s="206">
        <v>-3394.6379999999999</v>
      </c>
      <c r="J16" s="206">
        <v>-121.72490000000001</v>
      </c>
      <c r="K16" s="196" t="s">
        <v>2410</v>
      </c>
    </row>
    <row r="17" spans="1:11" ht="14" customHeight="1" x14ac:dyDescent="0.35">
      <c r="A17" s="195" t="s">
        <v>2542</v>
      </c>
      <c r="B17" s="194"/>
      <c r="C17" s="194"/>
      <c r="D17" s="194"/>
      <c r="E17" s="194"/>
      <c r="F17" s="194"/>
      <c r="G17" s="194"/>
      <c r="H17" s="194"/>
      <c r="I17" s="194"/>
      <c r="J17" s="194"/>
      <c r="K17" s="194"/>
    </row>
    <row r="18" spans="1:11" ht="112" customHeight="1" x14ac:dyDescent="0.35">
      <c r="A18" s="193"/>
      <c r="B18" s="192" t="str">
        <f>HYPERLINK("[.\]'Totals'!$L$9","Total impacts / Total")</f>
        <v>Total impacts / Total</v>
      </c>
      <c r="C18" s="180" t="s">
        <v>2530</v>
      </c>
      <c r="D18" s="180" t="s">
        <v>2541</v>
      </c>
      <c r="E18" s="181"/>
      <c r="F18" s="191">
        <v>-1226272</v>
      </c>
      <c r="G18" s="191">
        <v>46948730</v>
      </c>
      <c r="H18" s="191">
        <v>1107986000</v>
      </c>
      <c r="I18" s="191">
        <v>3933986</v>
      </c>
      <c r="J18" s="191">
        <v>214784500</v>
      </c>
      <c r="K18" s="179" t="s">
        <v>2410</v>
      </c>
    </row>
    <row r="19" spans="1:11" ht="112" customHeight="1" x14ac:dyDescent="0.35">
      <c r="A19" s="190"/>
      <c r="B19" s="189" t="str">
        <f>HYPERLINK("[.\]'Totals'!$L$10","Total preventative costs / Total")</f>
        <v>Total preventative costs / Total</v>
      </c>
      <c r="C19" s="170" t="s">
        <v>2530</v>
      </c>
      <c r="D19" s="170" t="s">
        <v>2540</v>
      </c>
      <c r="E19" s="171"/>
      <c r="F19" s="188">
        <v>-26212820</v>
      </c>
      <c r="G19" s="188">
        <v>2792757</v>
      </c>
      <c r="H19" s="188">
        <v>50875160</v>
      </c>
      <c r="I19" s="188">
        <v>-10530350</v>
      </c>
      <c r="J19" s="188">
        <v>18784470</v>
      </c>
      <c r="K19" s="187" t="s">
        <v>2410</v>
      </c>
    </row>
    <row r="20" spans="1:11" ht="112" customHeight="1" x14ac:dyDescent="0.35">
      <c r="A20" s="190"/>
      <c r="B20" s="189" t="str">
        <f>HYPERLINK("[.\]'Totals'!$L$11","Total adaptive costs / Total")</f>
        <v>Total adaptive costs / Total</v>
      </c>
      <c r="C20" s="170" t="s">
        <v>2530</v>
      </c>
      <c r="D20" s="170" t="s">
        <v>2539</v>
      </c>
      <c r="E20" s="171"/>
      <c r="F20" s="188">
        <v>3339462</v>
      </c>
      <c r="G20" s="188">
        <v>7986495</v>
      </c>
      <c r="H20" s="188">
        <v>14731280</v>
      </c>
      <c r="I20" s="188">
        <v>5326876</v>
      </c>
      <c r="J20" s="188">
        <v>11105240</v>
      </c>
      <c r="K20" s="187" t="s">
        <v>2410</v>
      </c>
    </row>
    <row r="21" spans="1:11" ht="112" customHeight="1" x14ac:dyDescent="0.35">
      <c r="A21" s="190"/>
      <c r="B21" s="189" t="str">
        <f>HYPERLINK("[.\]'Totals'!$L$12","te_a")</f>
        <v>te_a</v>
      </c>
      <c r="C21" s="170" t="s">
        <v>2530</v>
      </c>
      <c r="D21" s="170" t="s">
        <v>2538</v>
      </c>
      <c r="E21" s="171"/>
      <c r="F21" s="188">
        <v>-11418420</v>
      </c>
      <c r="G21" s="188">
        <v>57727980</v>
      </c>
      <c r="H21" s="188">
        <v>1119924000</v>
      </c>
      <c r="I21" s="188">
        <v>7355971</v>
      </c>
      <c r="J21" s="188">
        <v>226483500</v>
      </c>
      <c r="K21" s="187" t="s">
        <v>2410</v>
      </c>
    </row>
    <row r="22" spans="1:11" ht="112" customHeight="1" x14ac:dyDescent="0.35">
      <c r="A22" s="190"/>
      <c r="B22" s="189" t="str">
        <f>HYPERLINK("[.\]'Totals'!$L$20","Total impacts / Total")</f>
        <v>Total impacts / Total</v>
      </c>
      <c r="C22" s="170" t="s">
        <v>2530</v>
      </c>
      <c r="D22" s="170" t="s">
        <v>2537</v>
      </c>
      <c r="E22" s="171"/>
      <c r="F22" s="188">
        <v>-1226098</v>
      </c>
      <c r="G22" s="188">
        <v>46954690</v>
      </c>
      <c r="H22" s="188">
        <v>1108102000</v>
      </c>
      <c r="I22" s="188">
        <v>3934356</v>
      </c>
      <c r="J22" s="188">
        <v>214830000</v>
      </c>
      <c r="K22" s="187" t="s">
        <v>2410</v>
      </c>
    </row>
    <row r="23" spans="1:11" ht="112" customHeight="1" x14ac:dyDescent="0.35">
      <c r="A23" s="190"/>
      <c r="B23" s="189" t="str">
        <f>HYPERLINK("[.\]'Totals'!$L$21","Total preventative costs / Total")</f>
        <v>Total preventative costs / Total</v>
      </c>
      <c r="C23" s="170" t="s">
        <v>2530</v>
      </c>
      <c r="D23" s="170" t="s">
        <v>2536</v>
      </c>
      <c r="E23" s="171"/>
      <c r="F23" s="188">
        <v>-26212820</v>
      </c>
      <c r="G23" s="188">
        <v>2792757</v>
      </c>
      <c r="H23" s="188">
        <v>50875160</v>
      </c>
      <c r="I23" s="188">
        <v>-10530350</v>
      </c>
      <c r="J23" s="188">
        <v>18784470</v>
      </c>
      <c r="K23" s="187" t="s">
        <v>2410</v>
      </c>
    </row>
    <row r="24" spans="1:11" ht="112" customHeight="1" x14ac:dyDescent="0.35">
      <c r="A24" s="190"/>
      <c r="B24" s="189" t="str">
        <f>HYPERLINK("[.\]'Totals'!$L$22","Total adaptive costs / Total")</f>
        <v>Total adaptive costs / Total</v>
      </c>
      <c r="C24" s="170" t="s">
        <v>2530</v>
      </c>
      <c r="D24" s="170" t="s">
        <v>2535</v>
      </c>
      <c r="E24" s="171"/>
      <c r="F24" s="188">
        <v>3339462</v>
      </c>
      <c r="G24" s="188">
        <v>7986495</v>
      </c>
      <c r="H24" s="188">
        <v>14731280</v>
      </c>
      <c r="I24" s="188">
        <v>5326876</v>
      </c>
      <c r="J24" s="188">
        <v>11105240</v>
      </c>
      <c r="K24" s="187" t="s">
        <v>2410</v>
      </c>
    </row>
    <row r="25" spans="1:11" ht="112" customHeight="1" x14ac:dyDescent="0.35">
      <c r="A25" s="190"/>
      <c r="B25" s="189" t="str">
        <f>HYPERLINK("[.\]'Totals'!$L$23","te_b")</f>
        <v>te_b</v>
      </c>
      <c r="C25" s="170" t="s">
        <v>2530</v>
      </c>
      <c r="D25" s="170" t="s">
        <v>2534</v>
      </c>
      <c r="E25" s="171"/>
      <c r="F25" s="188">
        <v>-11418230</v>
      </c>
      <c r="G25" s="188">
        <v>57733940</v>
      </c>
      <c r="H25" s="188">
        <v>1120040000</v>
      </c>
      <c r="I25" s="188">
        <v>7357152</v>
      </c>
      <c r="J25" s="188">
        <v>226491100</v>
      </c>
      <c r="K25" s="187" t="s">
        <v>2410</v>
      </c>
    </row>
    <row r="26" spans="1:11" ht="112" customHeight="1" x14ac:dyDescent="0.35">
      <c r="A26" s="190"/>
      <c r="B26" s="189" t="str">
        <f>HYPERLINK("[.\]'Totals'!$L$31","Total impacts / Total")</f>
        <v>Total impacts / Total</v>
      </c>
      <c r="C26" s="170" t="s">
        <v>2530</v>
      </c>
      <c r="D26" s="170" t="s">
        <v>2533</v>
      </c>
      <c r="E26" s="171"/>
      <c r="F26" s="188">
        <v>-115923.1</v>
      </c>
      <c r="G26" s="188">
        <v>-5958.6109999999999</v>
      </c>
      <c r="H26" s="188">
        <v>19.602139999999999</v>
      </c>
      <c r="I26" s="188">
        <v>-24446.55</v>
      </c>
      <c r="J26" s="188">
        <v>-412.5455</v>
      </c>
      <c r="K26" s="187" t="s">
        <v>2410</v>
      </c>
    </row>
    <row r="27" spans="1:11" ht="112" customHeight="1" x14ac:dyDescent="0.35">
      <c r="A27" s="190"/>
      <c r="B27" s="189" t="str">
        <f>HYPERLINK("[.\]'Totals'!$L$32","Total preventative costs / Total")</f>
        <v>Total preventative costs / Total</v>
      </c>
      <c r="C27" s="170" t="s">
        <v>2530</v>
      </c>
      <c r="D27" s="170" t="s">
        <v>2532</v>
      </c>
      <c r="E27" s="171"/>
      <c r="F27" s="188">
        <v>0</v>
      </c>
      <c r="G27" s="188">
        <v>0</v>
      </c>
      <c r="H27" s="188">
        <v>0</v>
      </c>
      <c r="I27" s="188">
        <v>0</v>
      </c>
      <c r="J27" s="188">
        <v>0</v>
      </c>
      <c r="K27" s="187" t="s">
        <v>2410</v>
      </c>
    </row>
    <row r="28" spans="1:11" ht="112" customHeight="1" x14ac:dyDescent="0.35">
      <c r="A28" s="190"/>
      <c r="B28" s="189" t="str">
        <f>HYPERLINK("[.\]'Totals'!$L$33","Total adaptive costs / Total")</f>
        <v>Total adaptive costs / Total</v>
      </c>
      <c r="C28" s="170" t="s">
        <v>2530</v>
      </c>
      <c r="D28" s="170" t="s">
        <v>2531</v>
      </c>
      <c r="E28" s="171"/>
      <c r="F28" s="188">
        <v>0</v>
      </c>
      <c r="G28" s="188">
        <v>0</v>
      </c>
      <c r="H28" s="188">
        <v>0</v>
      </c>
      <c r="I28" s="188">
        <v>0</v>
      </c>
      <c r="J28" s="188">
        <v>0</v>
      </c>
      <c r="K28" s="187" t="s">
        <v>2410</v>
      </c>
    </row>
    <row r="29" spans="1:11" ht="112" customHeight="1" x14ac:dyDescent="0.35">
      <c r="A29" s="201"/>
      <c r="B29" s="200" t="str">
        <f>HYPERLINK("[.\]'Totals'!$L$34","te_ab")</f>
        <v>te_ab</v>
      </c>
      <c r="C29" s="199" t="s">
        <v>2530</v>
      </c>
      <c r="D29" s="199" t="s">
        <v>2529</v>
      </c>
      <c r="E29" s="198"/>
      <c r="F29" s="206">
        <v>-115923.1</v>
      </c>
      <c r="G29" s="206">
        <v>-5958.6109999999999</v>
      </c>
      <c r="H29" s="206">
        <v>19.602139999999999</v>
      </c>
      <c r="I29" s="206">
        <v>-24446.55</v>
      </c>
      <c r="J29" s="206">
        <v>-412.5455</v>
      </c>
      <c r="K29" s="196" t="s">
        <v>2410</v>
      </c>
    </row>
    <row r="30" spans="1:11" ht="14" customHeight="1" x14ac:dyDescent="0.35">
      <c r="A30" s="195" t="s">
        <v>2528</v>
      </c>
      <c r="B30" s="194"/>
      <c r="C30" s="194"/>
      <c r="D30" s="194"/>
      <c r="E30" s="194"/>
      <c r="F30" s="194"/>
      <c r="G30" s="194"/>
      <c r="H30" s="194"/>
      <c r="I30" s="194"/>
      <c r="J30" s="194"/>
      <c r="K30" s="194"/>
    </row>
    <row r="31" spans="1:11" ht="112" customHeight="1" x14ac:dyDescent="0.35">
      <c r="A31" s="193"/>
      <c r="B31" s="192" t="str">
        <f>HYPERLINK("[.\]'Climate B'!$O$139","m")</f>
        <v>m</v>
      </c>
      <c r="C31" s="180" t="s">
        <v>2427</v>
      </c>
      <c r="D31" s="180" t="s">
        <v>2525</v>
      </c>
      <c r="E31" s="181"/>
      <c r="F31" s="205">
        <v>0.1154444</v>
      </c>
      <c r="G31" s="205">
        <v>0.17588129999999999</v>
      </c>
      <c r="H31" s="205">
        <v>0.28445340000000002</v>
      </c>
      <c r="I31" s="205">
        <v>0.13871800000000001</v>
      </c>
      <c r="J31" s="205">
        <v>0.21236189999999999</v>
      </c>
      <c r="K31" s="179" t="s">
        <v>2410</v>
      </c>
    </row>
    <row r="32" spans="1:11" ht="112" customHeight="1" x14ac:dyDescent="0.35">
      <c r="A32" s="190"/>
      <c r="B32" s="189" t="str">
        <f>HYPERLINK("[.\]'Climate B'!$P$139","m")</f>
        <v>m</v>
      </c>
      <c r="C32" s="170" t="s">
        <v>2427</v>
      </c>
      <c r="D32" s="170" t="s">
        <v>2524</v>
      </c>
      <c r="E32" s="171"/>
      <c r="F32" s="169">
        <v>0.1300839</v>
      </c>
      <c r="G32" s="169">
        <v>0.20515839999999999</v>
      </c>
      <c r="H32" s="169">
        <v>0.44034240000000002</v>
      </c>
      <c r="I32" s="169">
        <v>0.16073270000000001</v>
      </c>
      <c r="J32" s="169">
        <v>0.25565139999999997</v>
      </c>
      <c r="K32" s="187" t="s">
        <v>2410</v>
      </c>
    </row>
    <row r="33" spans="1:11" ht="112" customHeight="1" x14ac:dyDescent="0.35">
      <c r="A33" s="190"/>
      <c r="B33" s="189" t="str">
        <f>HYPERLINK("[.\]'Climate B'!$Q$139","m")</f>
        <v>m</v>
      </c>
      <c r="C33" s="170" t="s">
        <v>2427</v>
      </c>
      <c r="D33" s="170" t="s">
        <v>2523</v>
      </c>
      <c r="E33" s="171"/>
      <c r="F33" s="169">
        <v>0.14601320000000001</v>
      </c>
      <c r="G33" s="169">
        <v>0.2384513</v>
      </c>
      <c r="H33" s="169">
        <v>0.63566829999999996</v>
      </c>
      <c r="I33" s="169">
        <v>0.1816343</v>
      </c>
      <c r="J33" s="169">
        <v>0.31471919999999998</v>
      </c>
      <c r="K33" s="187" t="s">
        <v>2410</v>
      </c>
    </row>
    <row r="34" spans="1:11" ht="112" customHeight="1" x14ac:dyDescent="0.35">
      <c r="A34" s="190"/>
      <c r="B34" s="189" t="str">
        <f>HYPERLINK("[.\]'Climate B'!$R$139","m")</f>
        <v>m</v>
      </c>
      <c r="C34" s="170" t="s">
        <v>2427</v>
      </c>
      <c r="D34" s="170" t="s">
        <v>2522</v>
      </c>
      <c r="E34" s="171"/>
      <c r="F34" s="169">
        <v>0.15730930000000001</v>
      </c>
      <c r="G34" s="169">
        <v>0.27683720000000001</v>
      </c>
      <c r="H34" s="169">
        <v>0.86935030000000002</v>
      </c>
      <c r="I34" s="169">
        <v>0.2024466</v>
      </c>
      <c r="J34" s="169">
        <v>0.39102809999999999</v>
      </c>
      <c r="K34" s="187" t="s">
        <v>2410</v>
      </c>
    </row>
    <row r="35" spans="1:11" ht="112" customHeight="1" x14ac:dyDescent="0.35">
      <c r="A35" s="190"/>
      <c r="B35" s="189" t="str">
        <f>HYPERLINK("[.\]'Climate B'!$S$139","m")</f>
        <v>m</v>
      </c>
      <c r="C35" s="170" t="s">
        <v>2427</v>
      </c>
      <c r="D35" s="170" t="s">
        <v>2521</v>
      </c>
      <c r="E35" s="171"/>
      <c r="F35" s="169">
        <v>0.16727600000000001</v>
      </c>
      <c r="G35" s="169">
        <v>0.31965640000000001</v>
      </c>
      <c r="H35" s="169">
        <v>1.1277470000000001</v>
      </c>
      <c r="I35" s="169">
        <v>0.22374250000000001</v>
      </c>
      <c r="J35" s="169">
        <v>0.47790830000000001</v>
      </c>
      <c r="K35" s="187" t="s">
        <v>2410</v>
      </c>
    </row>
    <row r="36" spans="1:11" ht="112" customHeight="1" x14ac:dyDescent="0.35">
      <c r="A36" s="190"/>
      <c r="B36" s="189" t="str">
        <f>HYPERLINK("[.\]'Climate B'!$T$139","m")</f>
        <v>m</v>
      </c>
      <c r="C36" s="170" t="s">
        <v>2427</v>
      </c>
      <c r="D36" s="170" t="s">
        <v>2520</v>
      </c>
      <c r="E36" s="171"/>
      <c r="F36" s="169">
        <v>0.1778518</v>
      </c>
      <c r="G36" s="169">
        <v>0.36629929999999999</v>
      </c>
      <c r="H36" s="169">
        <v>1.3979919999999999</v>
      </c>
      <c r="I36" s="169">
        <v>0.2461296</v>
      </c>
      <c r="J36" s="169">
        <v>0.57598079999999996</v>
      </c>
      <c r="K36" s="187" t="s">
        <v>2410</v>
      </c>
    </row>
    <row r="37" spans="1:11" ht="112" customHeight="1" x14ac:dyDescent="0.35">
      <c r="A37" s="190"/>
      <c r="B37" s="189" t="str">
        <f>HYPERLINK("[.\]'Climate B'!$U$139","m")</f>
        <v>m</v>
      </c>
      <c r="C37" s="170" t="s">
        <v>2427</v>
      </c>
      <c r="D37" s="170" t="s">
        <v>2519</v>
      </c>
      <c r="E37" s="171"/>
      <c r="F37" s="169">
        <v>0.2011223</v>
      </c>
      <c r="G37" s="169">
        <v>0.47205049999999998</v>
      </c>
      <c r="H37" s="169">
        <v>2.0350700000000002</v>
      </c>
      <c r="I37" s="169">
        <v>0.29102119999999998</v>
      </c>
      <c r="J37" s="169">
        <v>0.8008902</v>
      </c>
      <c r="K37" s="187" t="s">
        <v>2410</v>
      </c>
    </row>
    <row r="38" spans="1:11" ht="112" customHeight="1" x14ac:dyDescent="0.35">
      <c r="A38" s="190"/>
      <c r="B38" s="189" t="str">
        <f>HYPERLINK("[.\]'Climate B'!$V$139","m")</f>
        <v>m</v>
      </c>
      <c r="C38" s="170" t="s">
        <v>2427</v>
      </c>
      <c r="D38" s="170" t="s">
        <v>2518</v>
      </c>
      <c r="E38" s="171"/>
      <c r="F38" s="169">
        <v>0.22607189999999999</v>
      </c>
      <c r="G38" s="169">
        <v>0.58665800000000001</v>
      </c>
      <c r="H38" s="169">
        <v>2.8115329999999998</v>
      </c>
      <c r="I38" s="169">
        <v>0.33960489999999999</v>
      </c>
      <c r="J38" s="169">
        <v>1.0521860000000001</v>
      </c>
      <c r="K38" s="187" t="s">
        <v>2410</v>
      </c>
    </row>
    <row r="39" spans="1:11" ht="112" customHeight="1" x14ac:dyDescent="0.35">
      <c r="A39" s="190"/>
      <c r="B39" s="189" t="str">
        <f>HYPERLINK("[.\]'Climate B'!$W$139","m")</f>
        <v>m</v>
      </c>
      <c r="C39" s="170" t="s">
        <v>2427</v>
      </c>
      <c r="D39" s="170" t="s">
        <v>2517</v>
      </c>
      <c r="E39" s="171"/>
      <c r="F39" s="169">
        <v>0.35044999999999998</v>
      </c>
      <c r="G39" s="169">
        <v>1.1988080000000001</v>
      </c>
      <c r="H39" s="169">
        <v>6.7173499999999997</v>
      </c>
      <c r="I39" s="169">
        <v>0.58709389999999995</v>
      </c>
      <c r="J39" s="169">
        <v>2.384576</v>
      </c>
      <c r="K39" s="187" t="s">
        <v>2410</v>
      </c>
    </row>
    <row r="40" spans="1:11" ht="112" customHeight="1" x14ac:dyDescent="0.35">
      <c r="A40" s="201"/>
      <c r="B40" s="200" t="str">
        <f>HYPERLINK("[.\]'Climate B'!$X$139","m")</f>
        <v>m</v>
      </c>
      <c r="C40" s="199" t="s">
        <v>2427</v>
      </c>
      <c r="D40" s="199" t="s">
        <v>2516</v>
      </c>
      <c r="E40" s="198"/>
      <c r="F40" s="204">
        <v>0.47019709999999998</v>
      </c>
      <c r="G40" s="204">
        <v>1.796856</v>
      </c>
      <c r="H40" s="204">
        <v>10.216839999999999</v>
      </c>
      <c r="I40" s="204">
        <v>0.82507600000000003</v>
      </c>
      <c r="J40" s="204">
        <v>3.6843170000000001</v>
      </c>
      <c r="K40" s="196" t="s">
        <v>2410</v>
      </c>
    </row>
    <row r="41" spans="1:11" ht="14" customHeight="1" x14ac:dyDescent="0.35">
      <c r="A41" s="195" t="s">
        <v>2527</v>
      </c>
      <c r="B41" s="194"/>
      <c r="C41" s="194"/>
      <c r="D41" s="194"/>
      <c r="E41" s="194"/>
      <c r="F41" s="194"/>
      <c r="G41" s="194"/>
      <c r="H41" s="194"/>
      <c r="I41" s="194"/>
      <c r="J41" s="194"/>
      <c r="K41" s="194"/>
    </row>
    <row r="42" spans="1:11" ht="112" customHeight="1" x14ac:dyDescent="0.35">
      <c r="A42" s="193"/>
      <c r="B42" s="192" t="str">
        <f>HYPERLINK("[.\]'Climate A-B'!$O$139","m")</f>
        <v>m</v>
      </c>
      <c r="C42" s="180" t="s">
        <v>2416</v>
      </c>
      <c r="D42" s="180" t="s">
        <v>2525</v>
      </c>
      <c r="E42" s="181"/>
      <c r="F42" s="205">
        <v>0</v>
      </c>
      <c r="G42" s="205">
        <v>0</v>
      </c>
      <c r="H42" s="205">
        <v>0</v>
      </c>
      <c r="I42" s="205">
        <v>0</v>
      </c>
      <c r="J42" s="205">
        <v>0</v>
      </c>
      <c r="K42" s="179" t="s">
        <v>2410</v>
      </c>
    </row>
    <row r="43" spans="1:11" ht="112" customHeight="1" x14ac:dyDescent="0.35">
      <c r="A43" s="190"/>
      <c r="B43" s="189" t="str">
        <f>HYPERLINK("[.\]'Climate A-B'!$P$139","m")</f>
        <v>m</v>
      </c>
      <c r="C43" s="170" t="s">
        <v>2416</v>
      </c>
      <c r="D43" s="170" t="s">
        <v>2524</v>
      </c>
      <c r="E43" s="171"/>
      <c r="F43" s="169">
        <v>-1.6666560000000001E-5</v>
      </c>
      <c r="G43" s="169">
        <v>-1.582528E-6</v>
      </c>
      <c r="H43" s="169">
        <v>-1.71412E-7</v>
      </c>
      <c r="I43" s="169">
        <v>-3.7496250000000001E-6</v>
      </c>
      <c r="J43" s="169">
        <v>-4.8884240000000005E-7</v>
      </c>
      <c r="K43" s="187" t="s">
        <v>2410</v>
      </c>
    </row>
    <row r="44" spans="1:11" ht="112" customHeight="1" x14ac:dyDescent="0.35">
      <c r="A44" s="190"/>
      <c r="B44" s="189" t="str">
        <f>HYPERLINK("[.\]'Climate A-B'!$Q$139","m")</f>
        <v>m</v>
      </c>
      <c r="C44" s="170" t="s">
        <v>2416</v>
      </c>
      <c r="D44" s="170" t="s">
        <v>2523</v>
      </c>
      <c r="E44" s="171"/>
      <c r="F44" s="169">
        <v>-4.3315500000000002E-5</v>
      </c>
      <c r="G44" s="169">
        <v>-4.3635020000000003E-6</v>
      </c>
      <c r="H44" s="169">
        <v>-4.917878E-7</v>
      </c>
      <c r="I44" s="169">
        <v>-1.0248070000000001E-5</v>
      </c>
      <c r="J44" s="169">
        <v>-1.3744309999999999E-6</v>
      </c>
      <c r="K44" s="187" t="s">
        <v>2410</v>
      </c>
    </row>
    <row r="45" spans="1:11" ht="112" customHeight="1" x14ac:dyDescent="0.35">
      <c r="A45" s="190"/>
      <c r="B45" s="189" t="str">
        <f>HYPERLINK("[.\]'Climate A-B'!$R$139","m")</f>
        <v>m</v>
      </c>
      <c r="C45" s="170" t="s">
        <v>2416</v>
      </c>
      <c r="D45" s="170" t="s">
        <v>2522</v>
      </c>
      <c r="E45" s="171"/>
      <c r="F45" s="169">
        <v>-6.9543140000000004E-5</v>
      </c>
      <c r="G45" s="169">
        <v>-7.8959569999999993E-6</v>
      </c>
      <c r="H45" s="169">
        <v>-9.239191E-7</v>
      </c>
      <c r="I45" s="169">
        <v>-1.8448709999999999E-5</v>
      </c>
      <c r="J45" s="169">
        <v>-2.5214110000000002E-6</v>
      </c>
      <c r="K45" s="187" t="s">
        <v>2410</v>
      </c>
    </row>
    <row r="46" spans="1:11" ht="112" customHeight="1" x14ac:dyDescent="0.35">
      <c r="A46" s="190"/>
      <c r="B46" s="189" t="str">
        <f>HYPERLINK("[.\]'Climate A-B'!$S$139","m")</f>
        <v>m</v>
      </c>
      <c r="C46" s="170" t="s">
        <v>2416</v>
      </c>
      <c r="D46" s="170" t="s">
        <v>2521</v>
      </c>
      <c r="E46" s="171"/>
      <c r="F46" s="169">
        <v>-9.3929079999999993E-5</v>
      </c>
      <c r="G46" s="169">
        <v>-1.185267E-5</v>
      </c>
      <c r="H46" s="169">
        <v>-1.43744E-6</v>
      </c>
      <c r="I46" s="169">
        <v>-2.749151E-5</v>
      </c>
      <c r="J46" s="169">
        <v>-3.84342E-6</v>
      </c>
      <c r="K46" s="187" t="s">
        <v>2410</v>
      </c>
    </row>
    <row r="47" spans="1:11" ht="112" customHeight="1" x14ac:dyDescent="0.35">
      <c r="A47" s="190"/>
      <c r="B47" s="189" t="str">
        <f>HYPERLINK("[.\]'Climate A-B'!$T$139","m")</f>
        <v>m</v>
      </c>
      <c r="C47" s="170" t="s">
        <v>2416</v>
      </c>
      <c r="D47" s="170" t="s">
        <v>2520</v>
      </c>
      <c r="E47" s="171"/>
      <c r="F47" s="169">
        <v>-1.1862920000000001E-4</v>
      </c>
      <c r="G47" s="169">
        <v>-1.5941099999999999E-5</v>
      </c>
      <c r="H47" s="169">
        <v>-2.0017339999999999E-6</v>
      </c>
      <c r="I47" s="169">
        <v>-3.683748E-5</v>
      </c>
      <c r="J47" s="169">
        <v>-5.2246279999999998E-6</v>
      </c>
      <c r="K47" s="187" t="s">
        <v>2410</v>
      </c>
    </row>
    <row r="48" spans="1:11" ht="112" customHeight="1" x14ac:dyDescent="0.35">
      <c r="A48" s="190"/>
      <c r="B48" s="189" t="str">
        <f>HYPERLINK("[.\]'Climate A-B'!$U$139","m")</f>
        <v>m</v>
      </c>
      <c r="C48" s="170" t="s">
        <v>2416</v>
      </c>
      <c r="D48" s="170" t="s">
        <v>2519</v>
      </c>
      <c r="E48" s="171"/>
      <c r="F48" s="169">
        <v>-1.77419E-4</v>
      </c>
      <c r="G48" s="169">
        <v>-2.3806320000000001E-5</v>
      </c>
      <c r="H48" s="169">
        <v>-3.2144920000000001E-6</v>
      </c>
      <c r="I48" s="169">
        <v>-5.4684539999999997E-5</v>
      </c>
      <c r="J48" s="169">
        <v>-7.9463069999999996E-6</v>
      </c>
      <c r="K48" s="187" t="s">
        <v>2410</v>
      </c>
    </row>
    <row r="49" spans="1:11" ht="112" customHeight="1" x14ac:dyDescent="0.35">
      <c r="A49" s="190"/>
      <c r="B49" s="189" t="str">
        <f>HYPERLINK("[.\]'Climate A-B'!$V$139","m")</f>
        <v>m</v>
      </c>
      <c r="C49" s="170" t="s">
        <v>2416</v>
      </c>
      <c r="D49" s="170" t="s">
        <v>2518</v>
      </c>
      <c r="E49" s="171"/>
      <c r="F49" s="169">
        <v>-2.1815619999999999E-4</v>
      </c>
      <c r="G49" s="169">
        <v>-3.0112990000000001E-5</v>
      </c>
      <c r="H49" s="169">
        <v>-4.3339299999999997E-6</v>
      </c>
      <c r="I49" s="169">
        <v>-6.889911E-5</v>
      </c>
      <c r="J49" s="169">
        <v>-1.019611E-5</v>
      </c>
      <c r="K49" s="187" t="s">
        <v>2410</v>
      </c>
    </row>
    <row r="50" spans="1:11" ht="112" customHeight="1" x14ac:dyDescent="0.35">
      <c r="A50" s="190"/>
      <c r="B50" s="189" t="str">
        <f>HYPERLINK("[.\]'Climate A-B'!$W$139","m")</f>
        <v>m</v>
      </c>
      <c r="C50" s="170" t="s">
        <v>2416</v>
      </c>
      <c r="D50" s="170" t="s">
        <v>2517</v>
      </c>
      <c r="E50" s="171"/>
      <c r="F50" s="169">
        <v>-2.4311800000000001E-4</v>
      </c>
      <c r="G50" s="169">
        <v>-4.0755749999999997E-5</v>
      </c>
      <c r="H50" s="169">
        <v>-5.6272759999999997E-6</v>
      </c>
      <c r="I50" s="169">
        <v>-9.0438459999999995E-5</v>
      </c>
      <c r="J50" s="169">
        <v>-1.394489E-5</v>
      </c>
      <c r="K50" s="187" t="s">
        <v>2410</v>
      </c>
    </row>
    <row r="51" spans="1:11" ht="112" customHeight="1" x14ac:dyDescent="0.35">
      <c r="A51" s="201"/>
      <c r="B51" s="200" t="str">
        <f>HYPERLINK("[.\]'Climate A-B'!$X$139","m")</f>
        <v>m</v>
      </c>
      <c r="C51" s="199" t="s">
        <v>2416</v>
      </c>
      <c r="D51" s="199" t="s">
        <v>2516</v>
      </c>
      <c r="E51" s="198"/>
      <c r="F51" s="204">
        <v>-2.3933569999999999E-4</v>
      </c>
      <c r="G51" s="204">
        <v>-4.3879699999999999E-5</v>
      </c>
      <c r="H51" s="204">
        <v>-6.0963950000000003E-6</v>
      </c>
      <c r="I51" s="204">
        <v>-9.6086939999999999E-5</v>
      </c>
      <c r="J51" s="204">
        <v>-1.518435E-5</v>
      </c>
      <c r="K51" s="196" t="s">
        <v>2410</v>
      </c>
    </row>
    <row r="52" spans="1:11" ht="14" customHeight="1" x14ac:dyDescent="0.35">
      <c r="A52" s="195" t="s">
        <v>2526</v>
      </c>
      <c r="B52" s="194"/>
      <c r="C52" s="194"/>
      <c r="D52" s="194"/>
      <c r="E52" s="194"/>
      <c r="F52" s="194"/>
      <c r="G52" s="194"/>
      <c r="H52" s="194"/>
      <c r="I52" s="194"/>
      <c r="J52" s="194"/>
      <c r="K52" s="194"/>
    </row>
    <row r="53" spans="1:11" ht="112" customHeight="1" x14ac:dyDescent="0.35">
      <c r="A53" s="193"/>
      <c r="B53" s="192" t="str">
        <f>HYPERLINK("[.\]'Climate A'!$O$139","m")</f>
        <v>m</v>
      </c>
      <c r="C53" s="180" t="s">
        <v>2429</v>
      </c>
      <c r="D53" s="180" t="s">
        <v>2525</v>
      </c>
      <c r="E53" s="181"/>
      <c r="F53" s="205">
        <v>0.1154444</v>
      </c>
      <c r="G53" s="205">
        <v>0.17588129999999999</v>
      </c>
      <c r="H53" s="205">
        <v>0.28445340000000002</v>
      </c>
      <c r="I53" s="205">
        <v>0.13871800000000001</v>
      </c>
      <c r="J53" s="205">
        <v>0.21236189999999999</v>
      </c>
      <c r="K53" s="179" t="s">
        <v>2410</v>
      </c>
    </row>
    <row r="54" spans="1:11" ht="112" customHeight="1" x14ac:dyDescent="0.35">
      <c r="A54" s="190"/>
      <c r="B54" s="189" t="str">
        <f>HYPERLINK("[.\]'Climate A'!$P$139","m")</f>
        <v>m</v>
      </c>
      <c r="C54" s="170" t="s">
        <v>2429</v>
      </c>
      <c r="D54" s="170" t="s">
        <v>2524</v>
      </c>
      <c r="E54" s="171"/>
      <c r="F54" s="169">
        <v>0.13008330000000001</v>
      </c>
      <c r="G54" s="169">
        <v>0.2051568</v>
      </c>
      <c r="H54" s="169">
        <v>0.44032830000000001</v>
      </c>
      <c r="I54" s="169">
        <v>0.16073200000000001</v>
      </c>
      <c r="J54" s="169">
        <v>0.25564979999999998</v>
      </c>
      <c r="K54" s="187" t="s">
        <v>2410</v>
      </c>
    </row>
    <row r="55" spans="1:11" ht="112" customHeight="1" x14ac:dyDescent="0.35">
      <c r="A55" s="190"/>
      <c r="B55" s="189" t="str">
        <f>HYPERLINK("[.\]'Climate A'!$Q$139","m")</f>
        <v>m</v>
      </c>
      <c r="C55" s="170" t="s">
        <v>2429</v>
      </c>
      <c r="D55" s="170" t="s">
        <v>2523</v>
      </c>
      <c r="E55" s="171"/>
      <c r="F55" s="169">
        <v>0.14601159999999999</v>
      </c>
      <c r="G55" s="169">
        <v>0.23844699999999999</v>
      </c>
      <c r="H55" s="169">
        <v>0.63563219999999998</v>
      </c>
      <c r="I55" s="169">
        <v>0.18163309999999999</v>
      </c>
      <c r="J55" s="169">
        <v>0.31471399999999999</v>
      </c>
      <c r="K55" s="187" t="s">
        <v>2410</v>
      </c>
    </row>
    <row r="56" spans="1:11" ht="112" customHeight="1" x14ac:dyDescent="0.35">
      <c r="A56" s="190"/>
      <c r="B56" s="189" t="str">
        <f>HYPERLINK("[.\]'Climate A'!$R$139","m")</f>
        <v>m</v>
      </c>
      <c r="C56" s="170" t="s">
        <v>2429</v>
      </c>
      <c r="D56" s="170" t="s">
        <v>2522</v>
      </c>
      <c r="E56" s="171"/>
      <c r="F56" s="169">
        <v>0.15730739999999999</v>
      </c>
      <c r="G56" s="169">
        <v>0.2768293</v>
      </c>
      <c r="H56" s="169">
        <v>0.86928899999999998</v>
      </c>
      <c r="I56" s="169">
        <v>0.2024425</v>
      </c>
      <c r="J56" s="169">
        <v>0.39099790000000001</v>
      </c>
      <c r="K56" s="187" t="s">
        <v>2410</v>
      </c>
    </row>
    <row r="57" spans="1:11" ht="112" customHeight="1" x14ac:dyDescent="0.35">
      <c r="A57" s="190"/>
      <c r="B57" s="189" t="str">
        <f>HYPERLINK("[.\]'Climate A'!$S$139","m")</f>
        <v>m</v>
      </c>
      <c r="C57" s="170" t="s">
        <v>2429</v>
      </c>
      <c r="D57" s="170" t="s">
        <v>2521</v>
      </c>
      <c r="E57" s="171"/>
      <c r="F57" s="169">
        <v>0.16727330000000001</v>
      </c>
      <c r="G57" s="169">
        <v>0.3196445</v>
      </c>
      <c r="H57" s="169">
        <v>1.127664</v>
      </c>
      <c r="I57" s="169">
        <v>0.2237394</v>
      </c>
      <c r="J57" s="169">
        <v>0.47788180000000002</v>
      </c>
      <c r="K57" s="187" t="s">
        <v>2410</v>
      </c>
    </row>
    <row r="58" spans="1:11" ht="112" customHeight="1" x14ac:dyDescent="0.35">
      <c r="A58" s="190"/>
      <c r="B58" s="189" t="str">
        <f>HYPERLINK("[.\]'Climate A'!$T$139","m")</f>
        <v>m</v>
      </c>
      <c r="C58" s="170" t="s">
        <v>2429</v>
      </c>
      <c r="D58" s="170" t="s">
        <v>2520</v>
      </c>
      <c r="E58" s="171"/>
      <c r="F58" s="169">
        <v>0.17784820000000001</v>
      </c>
      <c r="G58" s="169">
        <v>0.36628329999999998</v>
      </c>
      <c r="H58" s="169">
        <v>1.3978900000000001</v>
      </c>
      <c r="I58" s="169">
        <v>0.24612400000000001</v>
      </c>
      <c r="J58" s="169">
        <v>0.57594270000000003</v>
      </c>
      <c r="K58" s="187" t="s">
        <v>2410</v>
      </c>
    </row>
    <row r="59" spans="1:11" ht="112" customHeight="1" x14ac:dyDescent="0.35">
      <c r="A59" s="190"/>
      <c r="B59" s="189" t="str">
        <f>HYPERLINK("[.\]'Climate A'!$U$139","m")</f>
        <v>m</v>
      </c>
      <c r="C59" s="170" t="s">
        <v>2429</v>
      </c>
      <c r="D59" s="170" t="s">
        <v>2519</v>
      </c>
      <c r="E59" s="171"/>
      <c r="F59" s="169">
        <v>0.20111709999999999</v>
      </c>
      <c r="G59" s="169">
        <v>0.47202660000000002</v>
      </c>
      <c r="H59" s="169">
        <v>2.0348929999999998</v>
      </c>
      <c r="I59" s="169">
        <v>0.29101369999999999</v>
      </c>
      <c r="J59" s="169">
        <v>0.80083979999999999</v>
      </c>
      <c r="K59" s="187" t="s">
        <v>2410</v>
      </c>
    </row>
    <row r="60" spans="1:11" ht="112" customHeight="1" x14ac:dyDescent="0.35">
      <c r="A60" s="190"/>
      <c r="B60" s="189" t="str">
        <f>HYPERLINK("[.\]'Climate A'!$V$139","m")</f>
        <v>m</v>
      </c>
      <c r="C60" s="170" t="s">
        <v>2429</v>
      </c>
      <c r="D60" s="170" t="s">
        <v>2518</v>
      </c>
      <c r="E60" s="171"/>
      <c r="F60" s="169">
        <v>0.22606560000000001</v>
      </c>
      <c r="G60" s="169">
        <v>0.58662789999999998</v>
      </c>
      <c r="H60" s="169">
        <v>2.811315</v>
      </c>
      <c r="I60" s="169">
        <v>0.33959220000000001</v>
      </c>
      <c r="J60" s="169">
        <v>1.052119</v>
      </c>
      <c r="K60" s="187" t="s">
        <v>2410</v>
      </c>
    </row>
    <row r="61" spans="1:11" ht="112" customHeight="1" x14ac:dyDescent="0.35">
      <c r="A61" s="190"/>
      <c r="B61" s="189" t="str">
        <f>HYPERLINK("[.\]'Climate A'!$W$139","m")</f>
        <v>m</v>
      </c>
      <c r="C61" s="170" t="s">
        <v>2429</v>
      </c>
      <c r="D61" s="170" t="s">
        <v>2517</v>
      </c>
      <c r="E61" s="171"/>
      <c r="F61" s="169">
        <v>0.35044170000000002</v>
      </c>
      <c r="G61" s="169">
        <v>1.1987680000000001</v>
      </c>
      <c r="H61" s="169">
        <v>6.7171070000000004</v>
      </c>
      <c r="I61" s="169">
        <v>0.58708130000000003</v>
      </c>
      <c r="J61" s="169">
        <v>2.3845040000000002</v>
      </c>
      <c r="K61" s="187" t="s">
        <v>2410</v>
      </c>
    </row>
    <row r="62" spans="1:11" ht="112" customHeight="1" x14ac:dyDescent="0.35">
      <c r="A62" s="201"/>
      <c r="B62" s="200" t="str">
        <f>HYPERLINK("[.\]'Climate A'!$X$139","m")</f>
        <v>m</v>
      </c>
      <c r="C62" s="199" t="s">
        <v>2429</v>
      </c>
      <c r="D62" s="199" t="s">
        <v>2516</v>
      </c>
      <c r="E62" s="198"/>
      <c r="F62" s="204">
        <v>0.47018799999999999</v>
      </c>
      <c r="G62" s="204">
        <v>1.7968120000000001</v>
      </c>
      <c r="H62" s="204">
        <v>10.2166</v>
      </c>
      <c r="I62" s="204">
        <v>0.82505830000000002</v>
      </c>
      <c r="J62" s="204">
        <v>3.6841930000000001</v>
      </c>
      <c r="K62" s="196" t="s">
        <v>2410</v>
      </c>
    </row>
    <row r="63" spans="1:11" ht="14" customHeight="1" x14ac:dyDescent="0.35">
      <c r="A63" s="195" t="s">
        <v>2515</v>
      </c>
      <c r="B63" s="194"/>
      <c r="C63" s="194"/>
      <c r="D63" s="194"/>
      <c r="E63" s="194"/>
      <c r="F63" s="194"/>
      <c r="G63" s="194"/>
      <c r="H63" s="194"/>
      <c r="I63" s="194"/>
      <c r="J63" s="194"/>
      <c r="K63" s="194"/>
    </row>
    <row r="64" spans="1:11" ht="112" customHeight="1" x14ac:dyDescent="0.35">
      <c r="A64" s="193"/>
      <c r="B64" s="192" t="str">
        <f>HYPERLINK("[.\]'Climate B'!$O$134","degC")</f>
        <v>degC</v>
      </c>
      <c r="C64" s="180" t="s">
        <v>2427</v>
      </c>
      <c r="D64" s="180" t="s">
        <v>2512</v>
      </c>
      <c r="E64" s="181"/>
      <c r="F64" s="205">
        <v>0.63423119999999999</v>
      </c>
      <c r="G64" s="205">
        <v>1.187929</v>
      </c>
      <c r="H64" s="205">
        <v>4.4036109999999997</v>
      </c>
      <c r="I64" s="205">
        <v>0.8639443</v>
      </c>
      <c r="J64" s="205">
        <v>1.813866</v>
      </c>
      <c r="K64" s="179" t="s">
        <v>2410</v>
      </c>
    </row>
    <row r="65" spans="1:11" ht="112" customHeight="1" x14ac:dyDescent="0.35">
      <c r="A65" s="190"/>
      <c r="B65" s="189" t="str">
        <f>HYPERLINK("[.\]'Climate B'!$P$134","degC")</f>
        <v>degC</v>
      </c>
      <c r="C65" s="170" t="s">
        <v>2427</v>
      </c>
      <c r="D65" s="170" t="s">
        <v>2511</v>
      </c>
      <c r="E65" s="171"/>
      <c r="F65" s="169">
        <v>0.49710799999999999</v>
      </c>
      <c r="G65" s="169">
        <v>1.445605</v>
      </c>
      <c r="H65" s="169">
        <v>6.7510430000000001</v>
      </c>
      <c r="I65" s="169">
        <v>0.84227620000000003</v>
      </c>
      <c r="J65" s="169">
        <v>2.6152000000000002</v>
      </c>
      <c r="K65" s="187" t="s">
        <v>2410</v>
      </c>
    </row>
    <row r="66" spans="1:11" ht="112" customHeight="1" x14ac:dyDescent="0.35">
      <c r="A66" s="190"/>
      <c r="B66" s="189" t="str">
        <f>HYPERLINK("[.\]'Climate B'!$Q$134","degC")</f>
        <v>degC</v>
      </c>
      <c r="C66" s="170" t="s">
        <v>2427</v>
      </c>
      <c r="D66" s="170" t="s">
        <v>2510</v>
      </c>
      <c r="E66" s="171"/>
      <c r="F66" s="169">
        <v>0.4499127</v>
      </c>
      <c r="G66" s="169">
        <v>1.749063</v>
      </c>
      <c r="H66" s="169">
        <v>8.7562890000000007</v>
      </c>
      <c r="I66" s="169">
        <v>0.88507530000000001</v>
      </c>
      <c r="J66" s="169">
        <v>3.466599</v>
      </c>
      <c r="K66" s="187" t="s">
        <v>2410</v>
      </c>
    </row>
    <row r="67" spans="1:11" ht="112" customHeight="1" x14ac:dyDescent="0.35">
      <c r="A67" s="190"/>
      <c r="B67" s="189" t="str">
        <f>HYPERLINK("[.\]'Climate B'!$R$134","degC")</f>
        <v>degC</v>
      </c>
      <c r="C67" s="170" t="s">
        <v>2427</v>
      </c>
      <c r="D67" s="170" t="s">
        <v>2509</v>
      </c>
      <c r="E67" s="171"/>
      <c r="F67" s="169">
        <v>0.52708469999999996</v>
      </c>
      <c r="G67" s="169">
        <v>2.1307309999999999</v>
      </c>
      <c r="H67" s="169">
        <v>10.73981</v>
      </c>
      <c r="I67" s="169">
        <v>1.005512</v>
      </c>
      <c r="J67" s="169">
        <v>4.4506129999999997</v>
      </c>
      <c r="K67" s="187" t="s">
        <v>2410</v>
      </c>
    </row>
    <row r="68" spans="1:11" ht="112" customHeight="1" x14ac:dyDescent="0.35">
      <c r="A68" s="190"/>
      <c r="B68" s="189" t="str">
        <f>HYPERLINK("[.\]'Climate B'!$S$134","degC")</f>
        <v>degC</v>
      </c>
      <c r="C68" s="170" t="s">
        <v>2427</v>
      </c>
      <c r="D68" s="170" t="s">
        <v>2508</v>
      </c>
      <c r="E68" s="171"/>
      <c r="F68" s="169">
        <v>0.60755749999999997</v>
      </c>
      <c r="G68" s="169">
        <v>2.4702570000000001</v>
      </c>
      <c r="H68" s="169">
        <v>12.099909999999999</v>
      </c>
      <c r="I68" s="169">
        <v>1.1147629999999999</v>
      </c>
      <c r="J68" s="169">
        <v>5.291588</v>
      </c>
      <c r="K68" s="187" t="s">
        <v>2410</v>
      </c>
    </row>
    <row r="69" spans="1:11" ht="112" customHeight="1" x14ac:dyDescent="0.35">
      <c r="A69" s="190"/>
      <c r="B69" s="189" t="str">
        <f>HYPERLINK("[.\]'Climate B'!$T$134","degC")</f>
        <v>degC</v>
      </c>
      <c r="C69" s="170" t="s">
        <v>2427</v>
      </c>
      <c r="D69" s="170" t="s">
        <v>2507</v>
      </c>
      <c r="E69" s="171"/>
      <c r="F69" s="169">
        <v>0.69402059999999999</v>
      </c>
      <c r="G69" s="169">
        <v>2.7705730000000002</v>
      </c>
      <c r="H69" s="169">
        <v>12.86322</v>
      </c>
      <c r="I69" s="169">
        <v>1.220118</v>
      </c>
      <c r="J69" s="169">
        <v>6.0222930000000003</v>
      </c>
      <c r="K69" s="187" t="s">
        <v>2410</v>
      </c>
    </row>
    <row r="70" spans="1:11" ht="112" customHeight="1" x14ac:dyDescent="0.35">
      <c r="A70" s="190"/>
      <c r="B70" s="189" t="str">
        <f>HYPERLINK("[.\]'Climate B'!$U$134","degC")</f>
        <v>degC</v>
      </c>
      <c r="C70" s="170" t="s">
        <v>2427</v>
      </c>
      <c r="D70" s="170" t="s">
        <v>2506</v>
      </c>
      <c r="E70" s="171"/>
      <c r="F70" s="169">
        <v>0.80906350000000005</v>
      </c>
      <c r="G70" s="169">
        <v>3.262769</v>
      </c>
      <c r="H70" s="169">
        <v>13.596299999999999</v>
      </c>
      <c r="I70" s="169">
        <v>1.4239360000000001</v>
      </c>
      <c r="J70" s="169">
        <v>7.169988</v>
      </c>
      <c r="K70" s="187" t="s">
        <v>2410</v>
      </c>
    </row>
    <row r="71" spans="1:11" ht="112" customHeight="1" x14ac:dyDescent="0.35">
      <c r="A71" s="190"/>
      <c r="B71" s="189" t="str">
        <f>HYPERLINK("[.\]'Climate B'!$V$134","degC")</f>
        <v>degC</v>
      </c>
      <c r="C71" s="170" t="s">
        <v>2427</v>
      </c>
      <c r="D71" s="170" t="s">
        <v>2505</v>
      </c>
      <c r="E71" s="171"/>
      <c r="F71" s="169">
        <v>0.89230359999999997</v>
      </c>
      <c r="G71" s="169">
        <v>3.6552440000000002</v>
      </c>
      <c r="H71" s="169">
        <v>14.24863</v>
      </c>
      <c r="I71" s="169">
        <v>1.6031740000000001</v>
      </c>
      <c r="J71" s="169">
        <v>8.048432</v>
      </c>
      <c r="K71" s="187" t="s">
        <v>2410</v>
      </c>
    </row>
    <row r="72" spans="1:11" ht="112" customHeight="1" x14ac:dyDescent="0.35">
      <c r="A72" s="190"/>
      <c r="B72" s="189" t="str">
        <f>HYPERLINK("[.\]'Climate B'!$W$134","degC")</f>
        <v>degC</v>
      </c>
      <c r="C72" s="170" t="s">
        <v>2427</v>
      </c>
      <c r="D72" s="170" t="s">
        <v>2504</v>
      </c>
      <c r="E72" s="171"/>
      <c r="F72" s="169">
        <v>1.0201530000000001</v>
      </c>
      <c r="G72" s="169">
        <v>4.2090439999999996</v>
      </c>
      <c r="H72" s="169">
        <v>15.87917</v>
      </c>
      <c r="I72" s="169">
        <v>1.8322080000000001</v>
      </c>
      <c r="J72" s="169">
        <v>9.3271680000000003</v>
      </c>
      <c r="K72" s="187" t="s">
        <v>2410</v>
      </c>
    </row>
    <row r="73" spans="1:11" ht="112" customHeight="1" x14ac:dyDescent="0.35">
      <c r="A73" s="201"/>
      <c r="B73" s="200" t="str">
        <f>HYPERLINK("[.\]'Climate B'!$X$134","degC")</f>
        <v>degC</v>
      </c>
      <c r="C73" s="199" t="s">
        <v>2427</v>
      </c>
      <c r="D73" s="199" t="s">
        <v>2503</v>
      </c>
      <c r="E73" s="198"/>
      <c r="F73" s="204">
        <v>1.110914</v>
      </c>
      <c r="G73" s="204">
        <v>4.5697760000000001</v>
      </c>
      <c r="H73" s="204">
        <v>16.663489999999999</v>
      </c>
      <c r="I73" s="204">
        <v>1.9811529999999999</v>
      </c>
      <c r="J73" s="204">
        <v>10.08074</v>
      </c>
      <c r="K73" s="196" t="s">
        <v>2410</v>
      </c>
    </row>
    <row r="74" spans="1:11" ht="14" customHeight="1" x14ac:dyDescent="0.35">
      <c r="A74" s="195" t="s">
        <v>2514</v>
      </c>
      <c r="B74" s="194"/>
      <c r="C74" s="194"/>
      <c r="D74" s="194"/>
      <c r="E74" s="194"/>
      <c r="F74" s="194"/>
      <c r="G74" s="194"/>
      <c r="H74" s="194"/>
      <c r="I74" s="194"/>
      <c r="J74" s="194"/>
      <c r="K74" s="194"/>
    </row>
    <row r="75" spans="1:11" ht="112" customHeight="1" x14ac:dyDescent="0.35">
      <c r="A75" s="193"/>
      <c r="B75" s="192" t="str">
        <f>HYPERLINK("[.\]'Climate A-B'!$O$134","degC")</f>
        <v>degC</v>
      </c>
      <c r="C75" s="180" t="s">
        <v>2416</v>
      </c>
      <c r="D75" s="180" t="s">
        <v>2512</v>
      </c>
      <c r="E75" s="181"/>
      <c r="F75" s="205">
        <v>0</v>
      </c>
      <c r="G75" s="205">
        <v>0</v>
      </c>
      <c r="H75" s="205">
        <v>0</v>
      </c>
      <c r="I75" s="205">
        <v>0</v>
      </c>
      <c r="J75" s="205">
        <v>0</v>
      </c>
      <c r="K75" s="179" t="s">
        <v>2410</v>
      </c>
    </row>
    <row r="76" spans="1:11" ht="112" customHeight="1" x14ac:dyDescent="0.35">
      <c r="A76" s="190"/>
      <c r="B76" s="189" t="str">
        <f>HYPERLINK("[.\]'Climate A-B'!$P$134","degC")</f>
        <v>degC</v>
      </c>
      <c r="C76" s="170" t="s">
        <v>2416</v>
      </c>
      <c r="D76" s="170" t="s">
        <v>2511</v>
      </c>
      <c r="E76" s="171"/>
      <c r="F76" s="169">
        <v>-6.7375919999999997E-4</v>
      </c>
      <c r="G76" s="169">
        <v>-1.105194E-4</v>
      </c>
      <c r="H76" s="169">
        <v>-2.379488E-5</v>
      </c>
      <c r="I76" s="169">
        <v>-2.366007E-4</v>
      </c>
      <c r="J76" s="169">
        <v>-4.444424E-5</v>
      </c>
      <c r="K76" s="187" t="s">
        <v>2410</v>
      </c>
    </row>
    <row r="77" spans="1:11" ht="112" customHeight="1" x14ac:dyDescent="0.35">
      <c r="A77" s="190"/>
      <c r="B77" s="189" t="str">
        <f>HYPERLINK("[.\]'Climate A-B'!$Q$134","degC")</f>
        <v>degC</v>
      </c>
      <c r="C77" s="170" t="s">
        <v>2416</v>
      </c>
      <c r="D77" s="170" t="s">
        <v>2510</v>
      </c>
      <c r="E77" s="171"/>
      <c r="F77" s="169">
        <v>-1.066485E-3</v>
      </c>
      <c r="G77" s="169">
        <v>-1.9547219999999999E-4</v>
      </c>
      <c r="H77" s="169">
        <v>-4.4052850000000003E-5</v>
      </c>
      <c r="I77" s="169">
        <v>-4.202155E-4</v>
      </c>
      <c r="J77" s="169">
        <v>-8.1351990000000002E-5</v>
      </c>
      <c r="K77" s="187" t="s">
        <v>2410</v>
      </c>
    </row>
    <row r="78" spans="1:11" ht="112" customHeight="1" x14ac:dyDescent="0.35">
      <c r="A78" s="190"/>
      <c r="B78" s="189" t="str">
        <f>HYPERLINK("[.\]'Climate A-B'!$R$134","degC")</f>
        <v>degC</v>
      </c>
      <c r="C78" s="170" t="s">
        <v>2416</v>
      </c>
      <c r="D78" s="170" t="s">
        <v>2509</v>
      </c>
      <c r="E78" s="171"/>
      <c r="F78" s="169">
        <v>-1.230751E-3</v>
      </c>
      <c r="G78" s="169">
        <v>-2.5017799999999999E-4</v>
      </c>
      <c r="H78" s="169">
        <v>-5.8473000000000001E-5</v>
      </c>
      <c r="I78" s="169">
        <v>-5.398728E-4</v>
      </c>
      <c r="J78" s="169">
        <v>-1.065953E-4</v>
      </c>
      <c r="K78" s="187" t="s">
        <v>2410</v>
      </c>
    </row>
    <row r="79" spans="1:11" ht="112" customHeight="1" x14ac:dyDescent="0.35">
      <c r="A79" s="190"/>
      <c r="B79" s="189" t="str">
        <f>HYPERLINK("[.\]'Climate A-B'!$S$134","degC")</f>
        <v>degC</v>
      </c>
      <c r="C79" s="170" t="s">
        <v>2416</v>
      </c>
      <c r="D79" s="170" t="s">
        <v>2508</v>
      </c>
      <c r="E79" s="171"/>
      <c r="F79" s="169">
        <v>-1.234635E-3</v>
      </c>
      <c r="G79" s="169">
        <v>-2.8257480000000001E-4</v>
      </c>
      <c r="H79" s="169">
        <v>-6.8411140000000002E-5</v>
      </c>
      <c r="I79" s="169">
        <v>-6.1435180000000002E-4</v>
      </c>
      <c r="J79" s="169">
        <v>-1.2361340000000001E-4</v>
      </c>
      <c r="K79" s="187" t="s">
        <v>2410</v>
      </c>
    </row>
    <row r="80" spans="1:11" ht="112" customHeight="1" x14ac:dyDescent="0.35">
      <c r="A80" s="190"/>
      <c r="B80" s="189" t="str">
        <f>HYPERLINK("[.\]'Climate A-B'!$T$134","degC")</f>
        <v>degC</v>
      </c>
      <c r="C80" s="170" t="s">
        <v>2416</v>
      </c>
      <c r="D80" s="170" t="s">
        <v>2507</v>
      </c>
      <c r="E80" s="171"/>
      <c r="F80" s="169">
        <v>-1.144169E-3</v>
      </c>
      <c r="G80" s="169">
        <v>-2.9488190000000002E-4</v>
      </c>
      <c r="H80" s="169">
        <v>-7.4025979999999998E-5</v>
      </c>
      <c r="I80" s="169">
        <v>-6.3709089999999997E-4</v>
      </c>
      <c r="J80" s="169">
        <v>-1.309289E-4</v>
      </c>
      <c r="K80" s="187" t="s">
        <v>2410</v>
      </c>
    </row>
    <row r="81" spans="1:11" ht="112" customHeight="1" x14ac:dyDescent="0.35">
      <c r="A81" s="190"/>
      <c r="B81" s="189" t="str">
        <f>HYPERLINK("[.\]'Climate A-B'!$U$134","degC")</f>
        <v>degC</v>
      </c>
      <c r="C81" s="170" t="s">
        <v>2416</v>
      </c>
      <c r="D81" s="170" t="s">
        <v>2506</v>
      </c>
      <c r="E81" s="171"/>
      <c r="F81" s="169">
        <v>-1.1250570000000001E-3</v>
      </c>
      <c r="G81" s="169">
        <v>-2.887279E-4</v>
      </c>
      <c r="H81" s="169">
        <v>-7.7183939999999994E-5</v>
      </c>
      <c r="I81" s="169">
        <v>-6.1126620000000003E-4</v>
      </c>
      <c r="J81" s="169">
        <v>-1.3157960000000001E-4</v>
      </c>
      <c r="K81" s="187" t="s">
        <v>2410</v>
      </c>
    </row>
    <row r="82" spans="1:11" ht="112" customHeight="1" x14ac:dyDescent="0.35">
      <c r="A82" s="190"/>
      <c r="B82" s="189" t="str">
        <f>HYPERLINK("[.\]'Climate A-B'!$V$134","degC")</f>
        <v>degC</v>
      </c>
      <c r="C82" s="170" t="s">
        <v>2416</v>
      </c>
      <c r="D82" s="170" t="s">
        <v>2505</v>
      </c>
      <c r="E82" s="171"/>
      <c r="F82" s="169">
        <v>-8.9936349999999998E-4</v>
      </c>
      <c r="G82" s="169">
        <v>-2.400333E-4</v>
      </c>
      <c r="H82" s="169">
        <v>-6.028098E-5</v>
      </c>
      <c r="I82" s="169">
        <v>-4.9844570000000005E-4</v>
      </c>
      <c r="J82" s="169">
        <v>-1.097741E-4</v>
      </c>
      <c r="K82" s="187" t="s">
        <v>2410</v>
      </c>
    </row>
    <row r="83" spans="1:11" ht="112" customHeight="1" x14ac:dyDescent="0.35">
      <c r="A83" s="190"/>
      <c r="B83" s="189" t="str">
        <f>HYPERLINK("[.\]'Climate A-B'!$W$134","degC")</f>
        <v>degC</v>
      </c>
      <c r="C83" s="170" t="s">
        <v>2416</v>
      </c>
      <c r="D83" s="170" t="s">
        <v>2504</v>
      </c>
      <c r="E83" s="171"/>
      <c r="F83" s="169">
        <v>-5.127132E-4</v>
      </c>
      <c r="G83" s="169">
        <v>-1.012855E-4</v>
      </c>
      <c r="H83" s="169">
        <v>-2.211373E-5</v>
      </c>
      <c r="I83" s="169">
        <v>-2.0459030000000001E-4</v>
      </c>
      <c r="J83" s="169">
        <v>-4.3279160000000001E-5</v>
      </c>
      <c r="K83" s="187" t="s">
        <v>2410</v>
      </c>
    </row>
    <row r="84" spans="1:11" ht="112" customHeight="1" x14ac:dyDescent="0.35">
      <c r="A84" s="201"/>
      <c r="B84" s="200" t="str">
        <f>HYPERLINK("[.\]'Climate A-B'!$X$134","degC")</f>
        <v>degC</v>
      </c>
      <c r="C84" s="199" t="s">
        <v>2416</v>
      </c>
      <c r="D84" s="199" t="s">
        <v>2503</v>
      </c>
      <c r="E84" s="198"/>
      <c r="F84" s="204">
        <v>-2.1407229999999999E-4</v>
      </c>
      <c r="G84" s="204">
        <v>-5.3834839999999998E-5</v>
      </c>
      <c r="H84" s="204">
        <v>-1.294204E-5</v>
      </c>
      <c r="I84" s="204">
        <v>-1.036564E-4</v>
      </c>
      <c r="J84" s="204">
        <v>-2.3881599999999998E-5</v>
      </c>
      <c r="K84" s="196" t="s">
        <v>2410</v>
      </c>
    </row>
    <row r="85" spans="1:11" ht="14" customHeight="1" x14ac:dyDescent="0.35">
      <c r="A85" s="195" t="s">
        <v>2513</v>
      </c>
      <c r="B85" s="194"/>
      <c r="C85" s="194"/>
      <c r="D85" s="194"/>
      <c r="E85" s="194"/>
      <c r="F85" s="194"/>
      <c r="G85" s="194"/>
      <c r="H85" s="194"/>
      <c r="I85" s="194"/>
      <c r="J85" s="194"/>
      <c r="K85" s="194"/>
    </row>
    <row r="86" spans="1:11" ht="112" customHeight="1" x14ac:dyDescent="0.35">
      <c r="A86" s="193"/>
      <c r="B86" s="192" t="str">
        <f>HYPERLINK("[.\]'Climate A'!$O$134","degC")</f>
        <v>degC</v>
      </c>
      <c r="C86" s="180" t="s">
        <v>2429</v>
      </c>
      <c r="D86" s="180" t="s">
        <v>2512</v>
      </c>
      <c r="E86" s="181"/>
      <c r="F86" s="205">
        <v>0.63423119999999999</v>
      </c>
      <c r="G86" s="205">
        <v>1.187929</v>
      </c>
      <c r="H86" s="205">
        <v>4.4036109999999997</v>
      </c>
      <c r="I86" s="205">
        <v>0.8639443</v>
      </c>
      <c r="J86" s="205">
        <v>1.813866</v>
      </c>
      <c r="K86" s="179" t="s">
        <v>2410</v>
      </c>
    </row>
    <row r="87" spans="1:11" ht="112" customHeight="1" x14ac:dyDescent="0.35">
      <c r="A87" s="190"/>
      <c r="B87" s="189" t="str">
        <f>HYPERLINK("[.\]'Climate A'!$P$134","degC")</f>
        <v>degC</v>
      </c>
      <c r="C87" s="170" t="s">
        <v>2429</v>
      </c>
      <c r="D87" s="170" t="s">
        <v>2511</v>
      </c>
      <c r="E87" s="171"/>
      <c r="F87" s="169">
        <v>0.49699599999999999</v>
      </c>
      <c r="G87" s="169">
        <v>1.4454940000000001</v>
      </c>
      <c r="H87" s="169">
        <v>6.7503700000000002</v>
      </c>
      <c r="I87" s="169">
        <v>0.84223720000000002</v>
      </c>
      <c r="J87" s="169">
        <v>2.6150350000000002</v>
      </c>
      <c r="K87" s="187" t="s">
        <v>2410</v>
      </c>
    </row>
    <row r="88" spans="1:11" ht="112" customHeight="1" x14ac:dyDescent="0.35">
      <c r="A88" s="190"/>
      <c r="B88" s="189" t="str">
        <f>HYPERLINK("[.\]'Climate A'!$Q$134","degC")</f>
        <v>degC</v>
      </c>
      <c r="C88" s="170" t="s">
        <v>2429</v>
      </c>
      <c r="D88" s="170" t="s">
        <v>2510</v>
      </c>
      <c r="E88" s="171"/>
      <c r="F88" s="169">
        <v>0.4498028</v>
      </c>
      <c r="G88" s="169">
        <v>1.7488680000000001</v>
      </c>
      <c r="H88" s="169">
        <v>8.7552219999999998</v>
      </c>
      <c r="I88" s="169">
        <v>0.88498779999999999</v>
      </c>
      <c r="J88" s="169">
        <v>3.4662829999999998</v>
      </c>
      <c r="K88" s="187" t="s">
        <v>2410</v>
      </c>
    </row>
    <row r="89" spans="1:11" ht="112" customHeight="1" x14ac:dyDescent="0.35">
      <c r="A89" s="190"/>
      <c r="B89" s="189" t="str">
        <f>HYPERLINK("[.\]'Climate A'!$R$134","degC")</f>
        <v>degC</v>
      </c>
      <c r="C89" s="170" t="s">
        <v>2429</v>
      </c>
      <c r="D89" s="170" t="s">
        <v>2509</v>
      </c>
      <c r="E89" s="171"/>
      <c r="F89" s="169">
        <v>0.52695190000000003</v>
      </c>
      <c r="G89" s="169">
        <v>2.1304810000000001</v>
      </c>
      <c r="H89" s="169">
        <v>10.738580000000001</v>
      </c>
      <c r="I89" s="169">
        <v>1.0053749999999999</v>
      </c>
      <c r="J89" s="169">
        <v>4.4500599999999997</v>
      </c>
      <c r="K89" s="187" t="s">
        <v>2410</v>
      </c>
    </row>
    <row r="90" spans="1:11" ht="112" customHeight="1" x14ac:dyDescent="0.35">
      <c r="A90" s="190"/>
      <c r="B90" s="189" t="str">
        <f>HYPERLINK("[.\]'Climate A'!$S$134","degC")</f>
        <v>degC</v>
      </c>
      <c r="C90" s="170" t="s">
        <v>2429</v>
      </c>
      <c r="D90" s="170" t="s">
        <v>2508</v>
      </c>
      <c r="E90" s="171"/>
      <c r="F90" s="169">
        <v>0.60741500000000004</v>
      </c>
      <c r="G90" s="169">
        <v>2.4699749999999998</v>
      </c>
      <c r="H90" s="169">
        <v>12.09883</v>
      </c>
      <c r="I90" s="169">
        <v>1.114582</v>
      </c>
      <c r="J90" s="169">
        <v>5.291042</v>
      </c>
      <c r="K90" s="187" t="s">
        <v>2410</v>
      </c>
    </row>
    <row r="91" spans="1:11" ht="112" customHeight="1" x14ac:dyDescent="0.35">
      <c r="A91" s="190"/>
      <c r="B91" s="189" t="str">
        <f>HYPERLINK("[.\]'Climate A'!$T$134","degC")</f>
        <v>degC</v>
      </c>
      <c r="C91" s="170" t="s">
        <v>2429</v>
      </c>
      <c r="D91" s="170" t="s">
        <v>2507</v>
      </c>
      <c r="E91" s="171"/>
      <c r="F91" s="169">
        <v>0.69387889999999997</v>
      </c>
      <c r="G91" s="169">
        <v>2.7702779999999998</v>
      </c>
      <c r="H91" s="169">
        <v>12.86228</v>
      </c>
      <c r="I91" s="169">
        <v>1.219935</v>
      </c>
      <c r="J91" s="169">
        <v>6.0215540000000001</v>
      </c>
      <c r="K91" s="187" t="s">
        <v>2410</v>
      </c>
    </row>
    <row r="92" spans="1:11" ht="112" customHeight="1" x14ac:dyDescent="0.35">
      <c r="A92" s="190"/>
      <c r="B92" s="189" t="str">
        <f>HYPERLINK("[.\]'Climate A'!$U$134","degC")</f>
        <v>degC</v>
      </c>
      <c r="C92" s="170" t="s">
        <v>2429</v>
      </c>
      <c r="D92" s="170" t="s">
        <v>2506</v>
      </c>
      <c r="E92" s="171"/>
      <c r="F92" s="169">
        <v>0.80898000000000003</v>
      </c>
      <c r="G92" s="169">
        <v>3.26248</v>
      </c>
      <c r="H92" s="169">
        <v>13.595560000000001</v>
      </c>
      <c r="I92" s="169">
        <v>1.4238010000000001</v>
      </c>
      <c r="J92" s="169">
        <v>7.169232</v>
      </c>
      <c r="K92" s="187" t="s">
        <v>2410</v>
      </c>
    </row>
    <row r="93" spans="1:11" ht="112" customHeight="1" x14ac:dyDescent="0.35">
      <c r="A93" s="190"/>
      <c r="B93" s="189" t="str">
        <f>HYPERLINK("[.\]'Climate A'!$V$134","degC")</f>
        <v>degC</v>
      </c>
      <c r="C93" s="170" t="s">
        <v>2429</v>
      </c>
      <c r="D93" s="170" t="s">
        <v>2505</v>
      </c>
      <c r="E93" s="171"/>
      <c r="F93" s="169">
        <v>0.89223050000000004</v>
      </c>
      <c r="G93" s="169">
        <v>3.6550039999999999</v>
      </c>
      <c r="H93" s="169">
        <v>14.24802</v>
      </c>
      <c r="I93" s="169">
        <v>1.6030740000000001</v>
      </c>
      <c r="J93" s="169">
        <v>8.0478959999999997</v>
      </c>
      <c r="K93" s="187" t="s">
        <v>2410</v>
      </c>
    </row>
    <row r="94" spans="1:11" ht="112" customHeight="1" x14ac:dyDescent="0.35">
      <c r="A94" s="190"/>
      <c r="B94" s="189" t="str">
        <f>HYPERLINK("[.\]'Climate A'!$W$134","degC")</f>
        <v>degC</v>
      </c>
      <c r="C94" s="170" t="s">
        <v>2429</v>
      </c>
      <c r="D94" s="170" t="s">
        <v>2504</v>
      </c>
      <c r="E94" s="171"/>
      <c r="F94" s="169">
        <v>1.0201229999999999</v>
      </c>
      <c r="G94" s="169">
        <v>4.2089429999999997</v>
      </c>
      <c r="H94" s="169">
        <v>15.87898</v>
      </c>
      <c r="I94" s="169">
        <v>1.832149</v>
      </c>
      <c r="J94" s="169">
        <v>9.3270470000000003</v>
      </c>
      <c r="K94" s="187" t="s">
        <v>2410</v>
      </c>
    </row>
    <row r="95" spans="1:11" ht="112" customHeight="1" x14ac:dyDescent="0.35">
      <c r="A95" s="201"/>
      <c r="B95" s="200" t="str">
        <f>HYPERLINK("[.\]'Climate A'!$X$134","degC")</f>
        <v>degC</v>
      </c>
      <c r="C95" s="199" t="s">
        <v>2429</v>
      </c>
      <c r="D95" s="199" t="s">
        <v>2503</v>
      </c>
      <c r="E95" s="198"/>
      <c r="F95" s="204">
        <v>1.1108979999999999</v>
      </c>
      <c r="G95" s="204">
        <v>4.5697219999999996</v>
      </c>
      <c r="H95" s="204">
        <v>16.66337</v>
      </c>
      <c r="I95" s="204">
        <v>1.981123</v>
      </c>
      <c r="J95" s="204">
        <v>10.080590000000001</v>
      </c>
      <c r="K95" s="196" t="s">
        <v>2410</v>
      </c>
    </row>
    <row r="96" spans="1:11" ht="14" customHeight="1" x14ac:dyDescent="0.35">
      <c r="A96" s="195" t="s">
        <v>2502</v>
      </c>
      <c r="B96" s="194"/>
      <c r="C96" s="194"/>
      <c r="D96" s="194"/>
      <c r="E96" s="194"/>
      <c r="F96" s="194"/>
      <c r="G96" s="194"/>
      <c r="H96" s="194"/>
      <c r="I96" s="194"/>
      <c r="J96" s="194"/>
      <c r="K96" s="194"/>
    </row>
    <row r="97" spans="1:11" ht="112" customHeight="1" x14ac:dyDescent="0.35">
      <c r="A97" s="193"/>
      <c r="B97" s="192" t="str">
        <f>HYPERLINK("[.\]'Climate B'!$O$136","degC")</f>
        <v>degC</v>
      </c>
      <c r="C97" s="180" t="s">
        <v>2427</v>
      </c>
      <c r="D97" s="180" t="s">
        <v>2499</v>
      </c>
      <c r="E97" s="181"/>
      <c r="F97" s="205">
        <v>0.51265910000000003</v>
      </c>
      <c r="G97" s="205">
        <v>0.94500479999999998</v>
      </c>
      <c r="H97" s="205">
        <v>3.4560070000000001</v>
      </c>
      <c r="I97" s="205">
        <v>0.68506400000000001</v>
      </c>
      <c r="J97" s="205">
        <v>1.438982</v>
      </c>
      <c r="K97" s="179" t="s">
        <v>2410</v>
      </c>
    </row>
    <row r="98" spans="1:11" ht="112" customHeight="1" x14ac:dyDescent="0.35">
      <c r="A98" s="190"/>
      <c r="B98" s="189" t="str">
        <f>HYPERLINK("[.\]'Climate B'!$P$136","degC")</f>
        <v>degC</v>
      </c>
      <c r="C98" s="170" t="s">
        <v>2427</v>
      </c>
      <c r="D98" s="170" t="s">
        <v>2498</v>
      </c>
      <c r="E98" s="171"/>
      <c r="F98" s="169">
        <v>0.38802350000000002</v>
      </c>
      <c r="G98" s="169">
        <v>1.149632</v>
      </c>
      <c r="H98" s="169">
        <v>5.2982990000000001</v>
      </c>
      <c r="I98" s="169">
        <v>0.67378360000000004</v>
      </c>
      <c r="J98" s="169">
        <v>2.0830709999999999</v>
      </c>
      <c r="K98" s="187" t="s">
        <v>2410</v>
      </c>
    </row>
    <row r="99" spans="1:11" ht="112" customHeight="1" x14ac:dyDescent="0.35">
      <c r="A99" s="190"/>
      <c r="B99" s="189" t="str">
        <f>HYPERLINK("[.\]'Climate B'!$Q$136","degC")</f>
        <v>degC</v>
      </c>
      <c r="C99" s="170" t="s">
        <v>2427</v>
      </c>
      <c r="D99" s="170" t="s">
        <v>2497</v>
      </c>
      <c r="E99" s="171"/>
      <c r="F99" s="169">
        <v>0.34994170000000002</v>
      </c>
      <c r="G99" s="169">
        <v>1.3907160000000001</v>
      </c>
      <c r="H99" s="169">
        <v>6.8720400000000001</v>
      </c>
      <c r="I99" s="169">
        <v>0.70589900000000005</v>
      </c>
      <c r="J99" s="169">
        <v>2.7517589999999998</v>
      </c>
      <c r="K99" s="187" t="s">
        <v>2410</v>
      </c>
    </row>
    <row r="100" spans="1:11" ht="112" customHeight="1" x14ac:dyDescent="0.35">
      <c r="A100" s="190"/>
      <c r="B100" s="189" t="str">
        <f>HYPERLINK("[.\]'Climate B'!$R$136","degC")</f>
        <v>degC</v>
      </c>
      <c r="C100" s="170" t="s">
        <v>2427</v>
      </c>
      <c r="D100" s="170" t="s">
        <v>2496</v>
      </c>
      <c r="E100" s="171"/>
      <c r="F100" s="169">
        <v>0.4099661</v>
      </c>
      <c r="G100" s="169">
        <v>1.694026</v>
      </c>
      <c r="H100" s="169">
        <v>8.4287340000000004</v>
      </c>
      <c r="I100" s="169">
        <v>0.80216189999999998</v>
      </c>
      <c r="J100" s="169">
        <v>3.5124770000000001</v>
      </c>
      <c r="K100" s="187" t="s">
        <v>2410</v>
      </c>
    </row>
    <row r="101" spans="1:11" ht="112" customHeight="1" x14ac:dyDescent="0.35">
      <c r="A101" s="190"/>
      <c r="B101" s="189" t="str">
        <f>HYPERLINK("[.\]'Climate B'!$S$136","degC")</f>
        <v>degC</v>
      </c>
      <c r="C101" s="170" t="s">
        <v>2427</v>
      </c>
      <c r="D101" s="170" t="s">
        <v>2495</v>
      </c>
      <c r="E101" s="171"/>
      <c r="F101" s="169">
        <v>0.47255770000000002</v>
      </c>
      <c r="G101" s="169">
        <v>1.9638629999999999</v>
      </c>
      <c r="H101" s="169">
        <v>9.4961520000000004</v>
      </c>
      <c r="I101" s="169">
        <v>0.89198860000000002</v>
      </c>
      <c r="J101" s="169">
        <v>4.2018890000000004</v>
      </c>
      <c r="K101" s="187" t="s">
        <v>2410</v>
      </c>
    </row>
    <row r="102" spans="1:11" ht="112" customHeight="1" x14ac:dyDescent="0.35">
      <c r="A102" s="190"/>
      <c r="B102" s="189" t="str">
        <f>HYPERLINK("[.\]'Climate B'!$T$136","degC")</f>
        <v>degC</v>
      </c>
      <c r="C102" s="170" t="s">
        <v>2427</v>
      </c>
      <c r="D102" s="170" t="s">
        <v>2494</v>
      </c>
      <c r="E102" s="171"/>
      <c r="F102" s="169">
        <v>0.53980859999999997</v>
      </c>
      <c r="G102" s="169">
        <v>2.2025489999999999</v>
      </c>
      <c r="H102" s="169">
        <v>10.09521</v>
      </c>
      <c r="I102" s="169">
        <v>0.97311539999999996</v>
      </c>
      <c r="J102" s="169">
        <v>4.7835809999999999</v>
      </c>
      <c r="K102" s="187" t="s">
        <v>2410</v>
      </c>
    </row>
    <row r="103" spans="1:11" ht="112" customHeight="1" x14ac:dyDescent="0.35">
      <c r="A103" s="190"/>
      <c r="B103" s="189" t="str">
        <f>HYPERLINK("[.\]'Climate B'!$U$136","degC")</f>
        <v>degC</v>
      </c>
      <c r="C103" s="170" t="s">
        <v>2427</v>
      </c>
      <c r="D103" s="170" t="s">
        <v>2493</v>
      </c>
      <c r="E103" s="171"/>
      <c r="F103" s="169">
        <v>0.68846719999999995</v>
      </c>
      <c r="G103" s="169">
        <v>2.593766</v>
      </c>
      <c r="H103" s="169">
        <v>10.670540000000001</v>
      </c>
      <c r="I103" s="169">
        <v>1.134795</v>
      </c>
      <c r="J103" s="169">
        <v>5.7142780000000002</v>
      </c>
      <c r="K103" s="187" t="s">
        <v>2410</v>
      </c>
    </row>
    <row r="104" spans="1:11" ht="112" customHeight="1" x14ac:dyDescent="0.35">
      <c r="A104" s="190"/>
      <c r="B104" s="189" t="str">
        <f>HYPERLINK("[.\]'Climate B'!$V$136","degC")</f>
        <v>degC</v>
      </c>
      <c r="C104" s="170" t="s">
        <v>2427</v>
      </c>
      <c r="D104" s="170" t="s">
        <v>2492</v>
      </c>
      <c r="E104" s="171"/>
      <c r="F104" s="169">
        <v>0.77014709999999997</v>
      </c>
      <c r="G104" s="169">
        <v>2.905761</v>
      </c>
      <c r="H104" s="169">
        <v>11.079140000000001</v>
      </c>
      <c r="I104" s="169">
        <v>1.279547</v>
      </c>
      <c r="J104" s="169">
        <v>6.4182519999999998</v>
      </c>
      <c r="K104" s="187" t="s">
        <v>2410</v>
      </c>
    </row>
    <row r="105" spans="1:11" ht="112" customHeight="1" x14ac:dyDescent="0.35">
      <c r="A105" s="190"/>
      <c r="B105" s="189" t="str">
        <f>HYPERLINK("[.\]'Climate B'!$W$136","degC")</f>
        <v>degC</v>
      </c>
      <c r="C105" s="170" t="s">
        <v>2427</v>
      </c>
      <c r="D105" s="170" t="s">
        <v>2491</v>
      </c>
      <c r="E105" s="171"/>
      <c r="F105" s="169">
        <v>0.86577899999999997</v>
      </c>
      <c r="G105" s="169">
        <v>3.3460190000000001</v>
      </c>
      <c r="H105" s="169">
        <v>12.497070000000001</v>
      </c>
      <c r="I105" s="169">
        <v>1.459284</v>
      </c>
      <c r="J105" s="169">
        <v>7.4037899999999999</v>
      </c>
      <c r="K105" s="187" t="s">
        <v>2410</v>
      </c>
    </row>
    <row r="106" spans="1:11" ht="112" customHeight="1" x14ac:dyDescent="0.35">
      <c r="A106" s="201"/>
      <c r="B106" s="200" t="str">
        <f>HYPERLINK("[.\]'Climate B'!$X$136","degC")</f>
        <v>degC</v>
      </c>
      <c r="C106" s="199" t="s">
        <v>2427</v>
      </c>
      <c r="D106" s="199" t="s">
        <v>2490</v>
      </c>
      <c r="E106" s="198"/>
      <c r="F106" s="204">
        <v>0.92270070000000004</v>
      </c>
      <c r="G106" s="204">
        <v>3.6328290000000001</v>
      </c>
      <c r="H106" s="204">
        <v>13.344010000000001</v>
      </c>
      <c r="I106" s="204">
        <v>1.579823</v>
      </c>
      <c r="J106" s="204">
        <v>8.0020439999999997</v>
      </c>
      <c r="K106" s="196" t="s">
        <v>2410</v>
      </c>
    </row>
    <row r="107" spans="1:11" ht="14" customHeight="1" x14ac:dyDescent="0.35">
      <c r="A107" s="195" t="s">
        <v>2501</v>
      </c>
      <c r="B107" s="194"/>
      <c r="C107" s="194"/>
      <c r="D107" s="194"/>
      <c r="E107" s="194"/>
      <c r="F107" s="194"/>
      <c r="G107" s="194"/>
      <c r="H107" s="194"/>
      <c r="I107" s="194"/>
      <c r="J107" s="194"/>
      <c r="K107" s="194"/>
    </row>
    <row r="108" spans="1:11" ht="112" customHeight="1" x14ac:dyDescent="0.35">
      <c r="A108" s="193"/>
      <c r="B108" s="192" t="str">
        <f>HYPERLINK("[.\]'Climate A-B'!$O$136","degC")</f>
        <v>degC</v>
      </c>
      <c r="C108" s="180" t="s">
        <v>2416</v>
      </c>
      <c r="D108" s="180" t="s">
        <v>2499</v>
      </c>
      <c r="E108" s="181"/>
      <c r="F108" s="205">
        <v>0</v>
      </c>
      <c r="G108" s="205">
        <v>0</v>
      </c>
      <c r="H108" s="205">
        <v>0</v>
      </c>
      <c r="I108" s="205">
        <v>0</v>
      </c>
      <c r="J108" s="205">
        <v>0</v>
      </c>
      <c r="K108" s="179" t="s">
        <v>2410</v>
      </c>
    </row>
    <row r="109" spans="1:11" ht="112" customHeight="1" x14ac:dyDescent="0.35">
      <c r="A109" s="190"/>
      <c r="B109" s="189" t="str">
        <f>HYPERLINK("[.\]'Climate A-B'!$P$136","degC")</f>
        <v>degC</v>
      </c>
      <c r="C109" s="170" t="s">
        <v>2416</v>
      </c>
      <c r="D109" s="170" t="s">
        <v>2498</v>
      </c>
      <c r="E109" s="171"/>
      <c r="F109" s="169">
        <v>-5.2877429999999997E-4</v>
      </c>
      <c r="G109" s="169">
        <v>-8.7858909999999994E-5</v>
      </c>
      <c r="H109" s="169">
        <v>-1.9343100000000001E-5</v>
      </c>
      <c r="I109" s="169">
        <v>-1.8883619999999999E-4</v>
      </c>
      <c r="J109" s="169">
        <v>-3.538111E-5</v>
      </c>
      <c r="K109" s="187" t="s">
        <v>2410</v>
      </c>
    </row>
    <row r="110" spans="1:11" ht="112" customHeight="1" x14ac:dyDescent="0.35">
      <c r="A110" s="190"/>
      <c r="B110" s="189" t="str">
        <f>HYPERLINK("[.\]'Climate A-B'!$Q$136","degC")</f>
        <v>degC</v>
      </c>
      <c r="C110" s="170" t="s">
        <v>2416</v>
      </c>
      <c r="D110" s="170" t="s">
        <v>2497</v>
      </c>
      <c r="E110" s="171"/>
      <c r="F110" s="169">
        <v>-8.3699000000000002E-4</v>
      </c>
      <c r="G110" s="169">
        <v>-1.5539509999999999E-4</v>
      </c>
      <c r="H110" s="169">
        <v>-3.6038100000000003E-5</v>
      </c>
      <c r="I110" s="169">
        <v>-3.3573910000000003E-4</v>
      </c>
      <c r="J110" s="169">
        <v>-6.4597999999999994E-5</v>
      </c>
      <c r="K110" s="187" t="s">
        <v>2410</v>
      </c>
    </row>
    <row r="111" spans="1:11" ht="112" customHeight="1" x14ac:dyDescent="0.35">
      <c r="A111" s="190"/>
      <c r="B111" s="189" t="str">
        <f>HYPERLINK("[.\]'Climate A-B'!$R$136","degC")</f>
        <v>degC</v>
      </c>
      <c r="C111" s="170" t="s">
        <v>2416</v>
      </c>
      <c r="D111" s="170" t="s">
        <v>2496</v>
      </c>
      <c r="E111" s="171"/>
      <c r="F111" s="169">
        <v>-9.7557190000000004E-4</v>
      </c>
      <c r="G111" s="169">
        <v>-1.988859E-4</v>
      </c>
      <c r="H111" s="169">
        <v>-4.8448519999999997E-5</v>
      </c>
      <c r="I111" s="169">
        <v>-4.3288069999999998E-4</v>
      </c>
      <c r="J111" s="169">
        <v>-8.5095929999999995E-5</v>
      </c>
      <c r="K111" s="187" t="s">
        <v>2410</v>
      </c>
    </row>
    <row r="112" spans="1:11" ht="112" customHeight="1" x14ac:dyDescent="0.35">
      <c r="A112" s="190"/>
      <c r="B112" s="189" t="str">
        <f>HYPERLINK("[.\]'Climate A-B'!$S$136","degC")</f>
        <v>degC</v>
      </c>
      <c r="C112" s="170" t="s">
        <v>2416</v>
      </c>
      <c r="D112" s="170" t="s">
        <v>2495</v>
      </c>
      <c r="E112" s="171"/>
      <c r="F112" s="169">
        <v>-1.007448E-3</v>
      </c>
      <c r="G112" s="169">
        <v>-2.246394E-4</v>
      </c>
      <c r="H112" s="169">
        <v>-5.7400610000000001E-5</v>
      </c>
      <c r="I112" s="169">
        <v>-4.89636E-4</v>
      </c>
      <c r="J112" s="169">
        <v>-9.8358439999999999E-5</v>
      </c>
      <c r="K112" s="187" t="s">
        <v>2410</v>
      </c>
    </row>
    <row r="113" spans="1:11" ht="112" customHeight="1" x14ac:dyDescent="0.35">
      <c r="A113" s="190"/>
      <c r="B113" s="189" t="str">
        <f>HYPERLINK("[.\]'Climate A-B'!$T$136","degC")</f>
        <v>degC</v>
      </c>
      <c r="C113" s="170" t="s">
        <v>2416</v>
      </c>
      <c r="D113" s="170" t="s">
        <v>2494</v>
      </c>
      <c r="E113" s="171"/>
      <c r="F113" s="169">
        <v>-8.9447159999999997E-4</v>
      </c>
      <c r="G113" s="169">
        <v>-2.3442459999999999E-4</v>
      </c>
      <c r="H113" s="169">
        <v>-6.2912989999999998E-5</v>
      </c>
      <c r="I113" s="169">
        <v>-5.0819259999999996E-4</v>
      </c>
      <c r="J113" s="169">
        <v>-1.044935E-4</v>
      </c>
      <c r="K113" s="187" t="s">
        <v>2410</v>
      </c>
    </row>
    <row r="114" spans="1:11" ht="112" customHeight="1" x14ac:dyDescent="0.35">
      <c r="A114" s="190"/>
      <c r="B114" s="189" t="str">
        <f>HYPERLINK("[.\]'Climate A-B'!$U$136","degC")</f>
        <v>degC</v>
      </c>
      <c r="C114" s="170" t="s">
        <v>2416</v>
      </c>
      <c r="D114" s="170" t="s">
        <v>2493</v>
      </c>
      <c r="E114" s="171"/>
      <c r="F114" s="169">
        <v>-8.9149960000000001E-4</v>
      </c>
      <c r="G114" s="169">
        <v>-2.29533E-4</v>
      </c>
      <c r="H114" s="169">
        <v>-6.6415059999999998E-5</v>
      </c>
      <c r="I114" s="169">
        <v>-4.8872439999999998E-4</v>
      </c>
      <c r="J114" s="169">
        <v>-1.050434E-4</v>
      </c>
      <c r="K114" s="187" t="s">
        <v>2410</v>
      </c>
    </row>
    <row r="115" spans="1:11" ht="112" customHeight="1" x14ac:dyDescent="0.35">
      <c r="A115" s="190"/>
      <c r="B115" s="189" t="str">
        <f>HYPERLINK("[.\]'Climate A-B'!$V$136","degC")</f>
        <v>degC</v>
      </c>
      <c r="C115" s="170" t="s">
        <v>2416</v>
      </c>
      <c r="D115" s="170" t="s">
        <v>2492</v>
      </c>
      <c r="E115" s="171"/>
      <c r="F115" s="169">
        <v>-7.2936270000000002E-4</v>
      </c>
      <c r="G115" s="169">
        <v>-1.9082640000000001E-4</v>
      </c>
      <c r="H115" s="169">
        <v>-4.8471289999999997E-5</v>
      </c>
      <c r="I115" s="169">
        <v>-3.9906529999999998E-4</v>
      </c>
      <c r="J115" s="169">
        <v>-8.7153250000000001E-5</v>
      </c>
      <c r="K115" s="187" t="s">
        <v>2410</v>
      </c>
    </row>
    <row r="116" spans="1:11" ht="112" customHeight="1" x14ac:dyDescent="0.35">
      <c r="A116" s="190"/>
      <c r="B116" s="189" t="str">
        <f>HYPERLINK("[.\]'Climate A-B'!$W$136","degC")</f>
        <v>degC</v>
      </c>
      <c r="C116" s="170" t="s">
        <v>2416</v>
      </c>
      <c r="D116" s="170" t="s">
        <v>2491</v>
      </c>
      <c r="E116" s="171"/>
      <c r="F116" s="169">
        <v>-4.1608839999999998E-4</v>
      </c>
      <c r="G116" s="169">
        <v>-8.0519710000000002E-5</v>
      </c>
      <c r="H116" s="169">
        <v>-1.717819E-5</v>
      </c>
      <c r="I116" s="169">
        <v>-1.6183530000000001E-4</v>
      </c>
      <c r="J116" s="169">
        <v>-3.4593469999999998E-5</v>
      </c>
      <c r="K116" s="187" t="s">
        <v>2410</v>
      </c>
    </row>
    <row r="117" spans="1:11" ht="112" customHeight="1" x14ac:dyDescent="0.35">
      <c r="A117" s="201"/>
      <c r="B117" s="200" t="str">
        <f>HYPERLINK("[.\]'Climate A-B'!$X$136","degC")</f>
        <v>degC</v>
      </c>
      <c r="C117" s="199" t="s">
        <v>2416</v>
      </c>
      <c r="D117" s="199" t="s">
        <v>2490</v>
      </c>
      <c r="E117" s="198"/>
      <c r="F117" s="204">
        <v>-1.7896270000000001E-4</v>
      </c>
      <c r="G117" s="204">
        <v>-4.2797779999999997E-5</v>
      </c>
      <c r="H117" s="204">
        <v>-1.0053519999999999E-5</v>
      </c>
      <c r="I117" s="204">
        <v>-8.2374510000000003E-5</v>
      </c>
      <c r="J117" s="204">
        <v>-1.903781E-5</v>
      </c>
      <c r="K117" s="196" t="s">
        <v>2410</v>
      </c>
    </row>
    <row r="118" spans="1:11" ht="14" customHeight="1" x14ac:dyDescent="0.35">
      <c r="A118" s="195" t="s">
        <v>2500</v>
      </c>
      <c r="B118" s="194"/>
      <c r="C118" s="194"/>
      <c r="D118" s="194"/>
      <c r="E118" s="194"/>
      <c r="F118" s="194"/>
      <c r="G118" s="194"/>
      <c r="H118" s="194"/>
      <c r="I118" s="194"/>
      <c r="J118" s="194"/>
      <c r="K118" s="194"/>
    </row>
    <row r="119" spans="1:11" ht="112" customHeight="1" x14ac:dyDescent="0.35">
      <c r="A119" s="193"/>
      <c r="B119" s="192" t="str">
        <f>HYPERLINK("[.\]'Climate A'!$O$136","degC")</f>
        <v>degC</v>
      </c>
      <c r="C119" s="180" t="s">
        <v>2429</v>
      </c>
      <c r="D119" s="180" t="s">
        <v>2499</v>
      </c>
      <c r="E119" s="181"/>
      <c r="F119" s="205">
        <v>0.51265910000000003</v>
      </c>
      <c r="G119" s="205">
        <v>0.94500479999999998</v>
      </c>
      <c r="H119" s="205">
        <v>3.4560070000000001</v>
      </c>
      <c r="I119" s="205">
        <v>0.68506400000000001</v>
      </c>
      <c r="J119" s="205">
        <v>1.438982</v>
      </c>
      <c r="K119" s="179" t="s">
        <v>2410</v>
      </c>
    </row>
    <row r="120" spans="1:11" ht="112" customHeight="1" x14ac:dyDescent="0.35">
      <c r="A120" s="190"/>
      <c r="B120" s="189" t="str">
        <f>HYPERLINK("[.\]'Climate A'!$P$136","degC")</f>
        <v>degC</v>
      </c>
      <c r="C120" s="170" t="s">
        <v>2429</v>
      </c>
      <c r="D120" s="170" t="s">
        <v>2498</v>
      </c>
      <c r="E120" s="171"/>
      <c r="F120" s="169">
        <v>0.3879724</v>
      </c>
      <c r="G120" s="169">
        <v>1.149545</v>
      </c>
      <c r="H120" s="169">
        <v>5.297771</v>
      </c>
      <c r="I120" s="169">
        <v>0.67373450000000001</v>
      </c>
      <c r="J120" s="169">
        <v>2.0828679999999999</v>
      </c>
      <c r="K120" s="187" t="s">
        <v>2410</v>
      </c>
    </row>
    <row r="121" spans="1:11" ht="112" customHeight="1" x14ac:dyDescent="0.35">
      <c r="A121" s="190"/>
      <c r="B121" s="189" t="str">
        <f>HYPERLINK("[.\]'Climate A'!$Q$136","degC")</f>
        <v>degC</v>
      </c>
      <c r="C121" s="170" t="s">
        <v>2429</v>
      </c>
      <c r="D121" s="170" t="s">
        <v>2497</v>
      </c>
      <c r="E121" s="171"/>
      <c r="F121" s="169">
        <v>0.34985630000000001</v>
      </c>
      <c r="G121" s="169">
        <v>1.39056</v>
      </c>
      <c r="H121" s="169">
        <v>6.8712030000000004</v>
      </c>
      <c r="I121" s="169">
        <v>0.70583300000000004</v>
      </c>
      <c r="J121" s="169">
        <v>2.7515130000000001</v>
      </c>
      <c r="K121" s="187" t="s">
        <v>2410</v>
      </c>
    </row>
    <row r="122" spans="1:11" ht="112" customHeight="1" x14ac:dyDescent="0.35">
      <c r="A122" s="190"/>
      <c r="B122" s="189" t="str">
        <f>HYPERLINK("[.\]'Climate A'!$R$136","degC")</f>
        <v>degC</v>
      </c>
      <c r="C122" s="170" t="s">
        <v>2429</v>
      </c>
      <c r="D122" s="170" t="s">
        <v>2496</v>
      </c>
      <c r="E122" s="171"/>
      <c r="F122" s="169">
        <v>0.40986280000000003</v>
      </c>
      <c r="G122" s="169">
        <v>1.693827</v>
      </c>
      <c r="H122" s="169">
        <v>8.4277680000000004</v>
      </c>
      <c r="I122" s="169">
        <v>0.80207779999999995</v>
      </c>
      <c r="J122" s="169">
        <v>3.5121359999999999</v>
      </c>
      <c r="K122" s="187" t="s">
        <v>2410</v>
      </c>
    </row>
    <row r="123" spans="1:11" ht="112" customHeight="1" x14ac:dyDescent="0.35">
      <c r="A123" s="190"/>
      <c r="B123" s="189" t="str">
        <f>HYPERLINK("[.\]'Climate A'!$S$136","degC")</f>
        <v>degC</v>
      </c>
      <c r="C123" s="170" t="s">
        <v>2429</v>
      </c>
      <c r="D123" s="170" t="s">
        <v>2495</v>
      </c>
      <c r="E123" s="171"/>
      <c r="F123" s="169">
        <v>0.4724469</v>
      </c>
      <c r="G123" s="169">
        <v>1.963638</v>
      </c>
      <c r="H123" s="169">
        <v>9.4953050000000001</v>
      </c>
      <c r="I123" s="169">
        <v>0.89188049999999996</v>
      </c>
      <c r="J123" s="169">
        <v>4.201365</v>
      </c>
      <c r="K123" s="187" t="s">
        <v>2410</v>
      </c>
    </row>
    <row r="124" spans="1:11" ht="112" customHeight="1" x14ac:dyDescent="0.35">
      <c r="A124" s="190"/>
      <c r="B124" s="189" t="str">
        <f>HYPERLINK("[.\]'Climate A'!$T$136","degC")</f>
        <v>degC</v>
      </c>
      <c r="C124" s="170" t="s">
        <v>2429</v>
      </c>
      <c r="D124" s="170" t="s">
        <v>2494</v>
      </c>
      <c r="E124" s="171"/>
      <c r="F124" s="169">
        <v>0.53969849999999997</v>
      </c>
      <c r="G124" s="169">
        <v>2.202315</v>
      </c>
      <c r="H124" s="169">
        <v>10.094469999999999</v>
      </c>
      <c r="I124" s="169">
        <v>0.9730008</v>
      </c>
      <c r="J124" s="169">
        <v>4.7831539999999997</v>
      </c>
      <c r="K124" s="187" t="s">
        <v>2410</v>
      </c>
    </row>
    <row r="125" spans="1:11" ht="112" customHeight="1" x14ac:dyDescent="0.35">
      <c r="A125" s="190"/>
      <c r="B125" s="189" t="str">
        <f>HYPERLINK("[.\]'Climate A'!$U$136","degC")</f>
        <v>degC</v>
      </c>
      <c r="C125" s="170" t="s">
        <v>2429</v>
      </c>
      <c r="D125" s="170" t="s">
        <v>2493</v>
      </c>
      <c r="E125" s="171"/>
      <c r="F125" s="169">
        <v>0.68836810000000004</v>
      </c>
      <c r="G125" s="169">
        <v>2.593537</v>
      </c>
      <c r="H125" s="169">
        <v>10.66996</v>
      </c>
      <c r="I125" s="169">
        <v>1.134682</v>
      </c>
      <c r="J125" s="169">
        <v>5.7138960000000001</v>
      </c>
      <c r="K125" s="187" t="s">
        <v>2410</v>
      </c>
    </row>
    <row r="126" spans="1:11" ht="112" customHeight="1" x14ac:dyDescent="0.35">
      <c r="A126" s="190"/>
      <c r="B126" s="189" t="str">
        <f>HYPERLINK("[.\]'Climate A'!$V$136","degC")</f>
        <v>degC</v>
      </c>
      <c r="C126" s="170" t="s">
        <v>2429</v>
      </c>
      <c r="D126" s="170" t="s">
        <v>2492</v>
      </c>
      <c r="E126" s="171"/>
      <c r="F126" s="169">
        <v>0.77008399999999999</v>
      </c>
      <c r="G126" s="169">
        <v>2.90557</v>
      </c>
      <c r="H126" s="169">
        <v>11.078670000000001</v>
      </c>
      <c r="I126" s="169">
        <v>1.279468</v>
      </c>
      <c r="J126" s="169">
        <v>6.4177879999999998</v>
      </c>
      <c r="K126" s="187" t="s">
        <v>2410</v>
      </c>
    </row>
    <row r="127" spans="1:11" ht="112" customHeight="1" x14ac:dyDescent="0.35">
      <c r="A127" s="190"/>
      <c r="B127" s="189" t="str">
        <f>HYPERLINK("[.\]'Climate A'!$W$136","degC")</f>
        <v>degC</v>
      </c>
      <c r="C127" s="170" t="s">
        <v>2429</v>
      </c>
      <c r="D127" s="170" t="s">
        <v>2491</v>
      </c>
      <c r="E127" s="171"/>
      <c r="F127" s="169">
        <v>0.86576189999999997</v>
      </c>
      <c r="G127" s="169">
        <v>3.345939</v>
      </c>
      <c r="H127" s="169">
        <v>12.49691</v>
      </c>
      <c r="I127" s="169">
        <v>1.459247</v>
      </c>
      <c r="J127" s="169">
        <v>7.4036299999999997</v>
      </c>
      <c r="K127" s="187" t="s">
        <v>2410</v>
      </c>
    </row>
    <row r="128" spans="1:11" ht="112" customHeight="1" x14ac:dyDescent="0.35">
      <c r="A128" s="201"/>
      <c r="B128" s="200" t="str">
        <f>HYPERLINK("[.\]'Climate A'!$X$136","degC")</f>
        <v>degC</v>
      </c>
      <c r="C128" s="199" t="s">
        <v>2429</v>
      </c>
      <c r="D128" s="199" t="s">
        <v>2490</v>
      </c>
      <c r="E128" s="198"/>
      <c r="F128" s="204">
        <v>0.92269060000000003</v>
      </c>
      <c r="G128" s="204">
        <v>3.6327859999999998</v>
      </c>
      <c r="H128" s="204">
        <v>13.343920000000001</v>
      </c>
      <c r="I128" s="204">
        <v>1.579804</v>
      </c>
      <c r="J128" s="204">
        <v>8.0019799999999996</v>
      </c>
      <c r="K128" s="196" t="s">
        <v>2410</v>
      </c>
    </row>
    <row r="129" spans="1:11" ht="14" customHeight="1" x14ac:dyDescent="0.35">
      <c r="A129" s="195" t="s">
        <v>2489</v>
      </c>
      <c r="B129" s="194"/>
      <c r="C129" s="194"/>
      <c r="D129" s="194"/>
      <c r="E129" s="194"/>
      <c r="F129" s="194"/>
      <c r="G129" s="194"/>
      <c r="H129" s="194"/>
      <c r="I129" s="194"/>
      <c r="J129" s="194"/>
      <c r="K129" s="194"/>
    </row>
    <row r="130" spans="1:11" ht="112" customHeight="1" x14ac:dyDescent="0.35">
      <c r="A130" s="193"/>
      <c r="B130" s="192" t="str">
        <f>HYPERLINK("[.\]'Impacts A-B'!$M$436","EU total")</f>
        <v>EU total</v>
      </c>
      <c r="C130" s="180" t="s">
        <v>2412</v>
      </c>
      <c r="D130" s="180" t="s">
        <v>2488</v>
      </c>
      <c r="E130" s="181"/>
      <c r="F130" s="191">
        <v>-22916.68</v>
      </c>
      <c r="G130" s="191">
        <v>-978.09559999999999</v>
      </c>
      <c r="H130" s="191">
        <v>34.33511</v>
      </c>
      <c r="I130" s="191">
        <v>-4065.4679999999998</v>
      </c>
      <c r="J130" s="191">
        <v>-48.502009999999999</v>
      </c>
      <c r="K130" s="179" t="s">
        <v>2410</v>
      </c>
    </row>
    <row r="131" spans="1:11" ht="112" customHeight="1" x14ac:dyDescent="0.35">
      <c r="A131" s="190"/>
      <c r="B131" s="189" t="str">
        <f>HYPERLINK("[.\]'Impacts A-B'!$M$437","US total")</f>
        <v>US total</v>
      </c>
      <c r="C131" s="170" t="s">
        <v>2412</v>
      </c>
      <c r="D131" s="170" t="s">
        <v>2487</v>
      </c>
      <c r="E131" s="171"/>
      <c r="F131" s="188">
        <v>-26516.13</v>
      </c>
      <c r="G131" s="188">
        <v>-1148.0940000000001</v>
      </c>
      <c r="H131" s="188">
        <v>26.697700000000001</v>
      </c>
      <c r="I131" s="188">
        <v>-4711.4409999999998</v>
      </c>
      <c r="J131" s="188">
        <v>-65.890280000000004</v>
      </c>
      <c r="K131" s="187" t="s">
        <v>2410</v>
      </c>
    </row>
    <row r="132" spans="1:11" ht="112" customHeight="1" x14ac:dyDescent="0.35">
      <c r="A132" s="190"/>
      <c r="B132" s="189" t="str">
        <f>HYPERLINK("[.\]'Impacts A-B'!$M$438","OT total")</f>
        <v>OT total</v>
      </c>
      <c r="C132" s="170" t="s">
        <v>2412</v>
      </c>
      <c r="D132" s="170" t="s">
        <v>2486</v>
      </c>
      <c r="E132" s="171"/>
      <c r="F132" s="188">
        <v>-25590.080000000002</v>
      </c>
      <c r="G132" s="188">
        <v>-1507.5719999999999</v>
      </c>
      <c r="H132" s="188">
        <v>-15.817259999999999</v>
      </c>
      <c r="I132" s="188">
        <v>-6109.0159999999996</v>
      </c>
      <c r="J132" s="188">
        <v>-117.76609999999999</v>
      </c>
      <c r="K132" s="187" t="s">
        <v>2410</v>
      </c>
    </row>
    <row r="133" spans="1:11" ht="112" customHeight="1" x14ac:dyDescent="0.35">
      <c r="A133" s="190"/>
      <c r="B133" s="189" t="str">
        <f>HYPERLINK("[.\]'Impacts A-B'!$M$439","EE total")</f>
        <v>EE total</v>
      </c>
      <c r="C133" s="170" t="s">
        <v>2412</v>
      </c>
      <c r="D133" s="170" t="s">
        <v>2485</v>
      </c>
      <c r="E133" s="171"/>
      <c r="F133" s="188">
        <v>-7090.5309999999999</v>
      </c>
      <c r="G133" s="188">
        <v>-322.44080000000002</v>
      </c>
      <c r="H133" s="188">
        <v>-3.2154600000000002</v>
      </c>
      <c r="I133" s="188">
        <v>-1271.7829999999999</v>
      </c>
      <c r="J133" s="188">
        <v>-27.453309999999998</v>
      </c>
      <c r="K133" s="187" t="s">
        <v>2410</v>
      </c>
    </row>
    <row r="134" spans="1:11" ht="112" customHeight="1" x14ac:dyDescent="0.35">
      <c r="A134" s="190"/>
      <c r="B134" s="189" t="str">
        <f>HYPERLINK("[.\]'Impacts A-B'!$M$440","CA total")</f>
        <v>CA total</v>
      </c>
      <c r="C134" s="170" t="s">
        <v>2412</v>
      </c>
      <c r="D134" s="170" t="s">
        <v>2484</v>
      </c>
      <c r="E134" s="171"/>
      <c r="F134" s="188">
        <v>-11043.33</v>
      </c>
      <c r="G134" s="188">
        <v>-420.07650000000001</v>
      </c>
      <c r="H134" s="188">
        <v>8.3569309999999994</v>
      </c>
      <c r="I134" s="188">
        <v>-1751.963</v>
      </c>
      <c r="J134" s="188">
        <v>-31.181360000000002</v>
      </c>
      <c r="K134" s="187" t="s">
        <v>2410</v>
      </c>
    </row>
    <row r="135" spans="1:11" ht="112" customHeight="1" x14ac:dyDescent="0.35">
      <c r="A135" s="190"/>
      <c r="B135" s="189" t="str">
        <f>HYPERLINK("[.\]'Impacts A-B'!$M$441","IA total")</f>
        <v>IA total</v>
      </c>
      <c r="C135" s="170" t="s">
        <v>2412</v>
      </c>
      <c r="D135" s="170" t="s">
        <v>2483</v>
      </c>
      <c r="E135" s="171"/>
      <c r="F135" s="188">
        <v>-14919.55</v>
      </c>
      <c r="G135" s="188">
        <v>-754.00620000000004</v>
      </c>
      <c r="H135" s="188">
        <v>11.26868</v>
      </c>
      <c r="I135" s="188">
        <v>-3180.6260000000002</v>
      </c>
      <c r="J135" s="188">
        <v>-44.035780000000003</v>
      </c>
      <c r="K135" s="187" t="s">
        <v>2410</v>
      </c>
    </row>
    <row r="136" spans="1:11" ht="112" customHeight="1" x14ac:dyDescent="0.35">
      <c r="A136" s="190"/>
      <c r="B136" s="189" t="str">
        <f>HYPERLINK("[.\]'Impacts A-B'!$M$442","AF total")</f>
        <v>AF total</v>
      </c>
      <c r="C136" s="170" t="s">
        <v>2412</v>
      </c>
      <c r="D136" s="170" t="s">
        <v>2482</v>
      </c>
      <c r="E136" s="171"/>
      <c r="F136" s="188">
        <v>-9118.875</v>
      </c>
      <c r="G136" s="188">
        <v>-362.38330000000002</v>
      </c>
      <c r="H136" s="188">
        <v>17.109089999999998</v>
      </c>
      <c r="I136" s="188">
        <v>-1537.645</v>
      </c>
      <c r="J136" s="188">
        <v>-18.928570000000001</v>
      </c>
      <c r="K136" s="187" t="s">
        <v>2410</v>
      </c>
    </row>
    <row r="137" spans="1:11" ht="112" customHeight="1" x14ac:dyDescent="0.35">
      <c r="A137" s="190"/>
      <c r="B137" s="189" t="str">
        <f>HYPERLINK("[.\]'Impacts A-B'!$M$443","LA total")</f>
        <v>LA total</v>
      </c>
      <c r="C137" s="170" t="s">
        <v>2412</v>
      </c>
      <c r="D137" s="170" t="s">
        <v>2481</v>
      </c>
      <c r="E137" s="171"/>
      <c r="F137" s="188">
        <v>-11085.41</v>
      </c>
      <c r="G137" s="188">
        <v>-465.94290000000001</v>
      </c>
      <c r="H137" s="188">
        <v>11.76474</v>
      </c>
      <c r="I137" s="188">
        <v>-1951.8789999999999</v>
      </c>
      <c r="J137" s="188">
        <v>-24.457429999999999</v>
      </c>
      <c r="K137" s="187" t="s">
        <v>2410</v>
      </c>
    </row>
    <row r="138" spans="1:11" ht="112" customHeight="1" x14ac:dyDescent="0.35">
      <c r="A138" s="201"/>
      <c r="B138" s="200" t="str">
        <f>HYPERLINK("[.\]'Impacts A-B'!$M$444","Global total")</f>
        <v>Global total</v>
      </c>
      <c r="C138" s="199" t="s">
        <v>2412</v>
      </c>
      <c r="D138" s="199" t="s">
        <v>2480</v>
      </c>
      <c r="E138" s="198"/>
      <c r="F138" s="206">
        <v>-115923.1</v>
      </c>
      <c r="G138" s="206">
        <v>-5958.6109999999999</v>
      </c>
      <c r="H138" s="206">
        <v>19.602139999999999</v>
      </c>
      <c r="I138" s="206">
        <v>-24446.55</v>
      </c>
      <c r="J138" s="206">
        <v>-412.5455</v>
      </c>
      <c r="K138" s="196" t="s">
        <v>2410</v>
      </c>
    </row>
    <row r="139" spans="1:11" ht="14" customHeight="1" x14ac:dyDescent="0.35">
      <c r="A139" s="195" t="s">
        <v>2479</v>
      </c>
      <c r="B139" s="194"/>
      <c r="C139" s="194"/>
      <c r="D139" s="194"/>
      <c r="E139" s="194"/>
      <c r="F139" s="194"/>
      <c r="G139" s="194"/>
      <c r="H139" s="194"/>
      <c r="I139" s="194"/>
      <c r="J139" s="194"/>
      <c r="K139" s="194"/>
    </row>
    <row r="140" spans="1:11" ht="112" customHeight="1" x14ac:dyDescent="0.35">
      <c r="A140" s="193"/>
      <c r="B140" s="192" t="str">
        <f>HYPERLINK("[.\]'Preventative costs A'!$B$685","Global / PCT")</f>
        <v>Global / PCT</v>
      </c>
      <c r="C140" s="180" t="s">
        <v>2478</v>
      </c>
      <c r="D140" s="180" t="s">
        <v>2477</v>
      </c>
      <c r="E140" s="181"/>
      <c r="F140" s="191">
        <v>-289714.90000000002</v>
      </c>
      <c r="G140" s="191">
        <v>-107435</v>
      </c>
      <c r="H140" s="191">
        <v>5212.0439999999999</v>
      </c>
      <c r="I140" s="191">
        <v>-180933.5</v>
      </c>
      <c r="J140" s="191">
        <v>-43241.62</v>
      </c>
      <c r="K140" s="179" t="s">
        <v>2410</v>
      </c>
    </row>
    <row r="141" spans="1:11" ht="112" customHeight="1" x14ac:dyDescent="0.35">
      <c r="A141" s="190"/>
      <c r="B141" s="189" t="str">
        <f>HYPERLINK("[.\]'Preventative costs A'!$C$685","Global / $million per Mtonne")</f>
        <v>Global / $million per Mtonne</v>
      </c>
      <c r="C141" s="170" t="s">
        <v>2478</v>
      </c>
      <c r="D141" s="170" t="s">
        <v>2476</v>
      </c>
      <c r="E141" s="171"/>
      <c r="F141" s="188">
        <v>-654940.1</v>
      </c>
      <c r="G141" s="188">
        <v>-189985.5</v>
      </c>
      <c r="H141" s="188">
        <v>188945.9</v>
      </c>
      <c r="I141" s="188">
        <v>-394227.4</v>
      </c>
      <c r="J141" s="188">
        <v>-8456.1309999999994</v>
      </c>
      <c r="K141" s="187" t="s">
        <v>2410</v>
      </c>
    </row>
    <row r="142" spans="1:11" ht="112" customHeight="1" x14ac:dyDescent="0.35">
      <c r="A142" s="190"/>
      <c r="B142" s="189" t="str">
        <f>HYPERLINK("[.\]'Preventative costs A'!$D$685","Global / $million per Mtonne")</f>
        <v>Global / $million per Mtonne</v>
      </c>
      <c r="C142" s="170" t="s">
        <v>2478</v>
      </c>
      <c r="D142" s="170" t="s">
        <v>2475</v>
      </c>
      <c r="E142" s="171"/>
      <c r="F142" s="188">
        <v>-876079.3</v>
      </c>
      <c r="G142" s="188">
        <v>-170850.8</v>
      </c>
      <c r="H142" s="188">
        <v>548476.9</v>
      </c>
      <c r="I142" s="188">
        <v>-457571.9</v>
      </c>
      <c r="J142" s="188">
        <v>114666.8</v>
      </c>
      <c r="K142" s="187" t="s">
        <v>2410</v>
      </c>
    </row>
    <row r="143" spans="1:11" ht="112" customHeight="1" x14ac:dyDescent="0.35">
      <c r="A143" s="190"/>
      <c r="B143" s="189" t="str">
        <f>HYPERLINK("[.\]'Preventative costs A'!$E$685","Global / $million per Mtonne")</f>
        <v>Global / $million per Mtonne</v>
      </c>
      <c r="C143" s="170" t="s">
        <v>2478</v>
      </c>
      <c r="D143" s="170" t="s">
        <v>2474</v>
      </c>
      <c r="E143" s="171"/>
      <c r="F143" s="188">
        <v>-1338903</v>
      </c>
      <c r="G143" s="188">
        <v>-200538.2</v>
      </c>
      <c r="H143" s="188">
        <v>1184292</v>
      </c>
      <c r="I143" s="188">
        <v>-708175.4</v>
      </c>
      <c r="J143" s="188">
        <v>331827.7</v>
      </c>
      <c r="K143" s="187" t="s">
        <v>2410</v>
      </c>
    </row>
    <row r="144" spans="1:11" ht="112" customHeight="1" x14ac:dyDescent="0.35">
      <c r="A144" s="190"/>
      <c r="B144" s="189" t="str">
        <f>HYPERLINK("[.\]'Preventative costs A'!$F$685","Global")</f>
        <v>Global</v>
      </c>
      <c r="C144" s="170" t="s">
        <v>2478</v>
      </c>
      <c r="D144" s="170" t="s">
        <v>2473</v>
      </c>
      <c r="E144" s="171"/>
      <c r="F144" s="188">
        <v>-1481403</v>
      </c>
      <c r="G144" s="188">
        <v>282524.7</v>
      </c>
      <c r="H144" s="188">
        <v>3287644</v>
      </c>
      <c r="I144" s="188">
        <v>-542105.9</v>
      </c>
      <c r="J144" s="188">
        <v>1313764</v>
      </c>
      <c r="K144" s="187" t="s">
        <v>2410</v>
      </c>
    </row>
    <row r="145" spans="1:11" ht="112" customHeight="1" x14ac:dyDescent="0.35">
      <c r="A145" s="190"/>
      <c r="B145" s="189" t="str">
        <f>HYPERLINK("[.\]'Preventative costs A'!$G$685","Global")</f>
        <v>Global</v>
      </c>
      <c r="C145" s="170" t="s">
        <v>2478</v>
      </c>
      <c r="D145" s="170" t="s">
        <v>2472</v>
      </c>
      <c r="E145" s="171"/>
      <c r="F145" s="188">
        <v>-1360419</v>
      </c>
      <c r="G145" s="188">
        <v>605452.1</v>
      </c>
      <c r="H145" s="188">
        <v>4576855</v>
      </c>
      <c r="I145" s="188">
        <v>-388746.8</v>
      </c>
      <c r="J145" s="188">
        <v>1878022</v>
      </c>
      <c r="K145" s="187" t="s">
        <v>2410</v>
      </c>
    </row>
    <row r="146" spans="1:11" ht="112" customHeight="1" x14ac:dyDescent="0.35">
      <c r="A146" s="190"/>
      <c r="B146" s="189" t="str">
        <f>HYPERLINK("[.\]'Preventative costs A'!$H$685","Global")</f>
        <v>Global</v>
      </c>
      <c r="C146" s="170" t="s">
        <v>2478</v>
      </c>
      <c r="D146" s="170" t="s">
        <v>2471</v>
      </c>
      <c r="E146" s="171"/>
      <c r="F146" s="188">
        <v>-1128604</v>
      </c>
      <c r="G146" s="188">
        <v>1109153</v>
      </c>
      <c r="H146" s="188">
        <v>6354439</v>
      </c>
      <c r="I146" s="188">
        <v>-98851.18</v>
      </c>
      <c r="J146" s="188">
        <v>2689801</v>
      </c>
      <c r="K146" s="187" t="s">
        <v>2410</v>
      </c>
    </row>
    <row r="147" spans="1:11" ht="112" customHeight="1" x14ac:dyDescent="0.35">
      <c r="A147" s="190"/>
      <c r="B147" s="189" t="str">
        <f>HYPERLINK("[.\]'Preventative costs A'!$I$685","Global")</f>
        <v>Global</v>
      </c>
      <c r="C147" s="170" t="s">
        <v>2478</v>
      </c>
      <c r="D147" s="170" t="s">
        <v>2470</v>
      </c>
      <c r="E147" s="171"/>
      <c r="F147" s="188">
        <v>-1022569</v>
      </c>
      <c r="G147" s="188">
        <v>648053.1</v>
      </c>
      <c r="H147" s="188">
        <v>4728299</v>
      </c>
      <c r="I147" s="188">
        <v>-207063.3</v>
      </c>
      <c r="J147" s="188">
        <v>1766427</v>
      </c>
      <c r="K147" s="187" t="s">
        <v>2410</v>
      </c>
    </row>
    <row r="148" spans="1:11" ht="112" customHeight="1" x14ac:dyDescent="0.35">
      <c r="A148" s="190"/>
      <c r="B148" s="189" t="str">
        <f>HYPERLINK("[.\]'Preventative costs A'!$J$685","Global")</f>
        <v>Global</v>
      </c>
      <c r="C148" s="170" t="s">
        <v>2478</v>
      </c>
      <c r="D148" s="170" t="s">
        <v>2469</v>
      </c>
      <c r="E148" s="171"/>
      <c r="F148" s="188">
        <v>-1156340</v>
      </c>
      <c r="G148" s="188">
        <v>240925.8</v>
      </c>
      <c r="H148" s="188">
        <v>3425607</v>
      </c>
      <c r="I148" s="188">
        <v>-336199.1</v>
      </c>
      <c r="J148" s="188">
        <v>1014542</v>
      </c>
      <c r="K148" s="187" t="s">
        <v>2410</v>
      </c>
    </row>
    <row r="149" spans="1:11" ht="112" customHeight="1" x14ac:dyDescent="0.35">
      <c r="A149" s="190"/>
      <c r="B149" s="189" t="str">
        <f>HYPERLINK("[.\]'Preventative costs A'!$K$685","Global")</f>
        <v>Global</v>
      </c>
      <c r="C149" s="170" t="s">
        <v>2478</v>
      </c>
      <c r="D149" s="170" t="s">
        <v>2467</v>
      </c>
      <c r="E149" s="171"/>
      <c r="F149" s="188">
        <v>-1294634</v>
      </c>
      <c r="G149" s="188">
        <v>477729.2</v>
      </c>
      <c r="H149" s="188">
        <v>4672963</v>
      </c>
      <c r="I149" s="188">
        <v>-219965.5</v>
      </c>
      <c r="J149" s="188">
        <v>1493572</v>
      </c>
      <c r="K149" s="187" t="s">
        <v>2410</v>
      </c>
    </row>
    <row r="150" spans="1:11" ht="112" customHeight="1" x14ac:dyDescent="0.35">
      <c r="A150" s="190"/>
      <c r="B150" s="189" t="str">
        <f>HYPERLINK("[.\]'Preventative costs B'!$B$685","Global / PCT")</f>
        <v>Global / PCT</v>
      </c>
      <c r="C150" s="170" t="s">
        <v>2468</v>
      </c>
      <c r="D150" s="170" t="s">
        <v>2477</v>
      </c>
      <c r="E150" s="171"/>
      <c r="F150" s="188">
        <v>-289714.90000000002</v>
      </c>
      <c r="G150" s="188">
        <v>-107435</v>
      </c>
      <c r="H150" s="188">
        <v>5212.0439999999999</v>
      </c>
      <c r="I150" s="188">
        <v>-180933.5</v>
      </c>
      <c r="J150" s="188">
        <v>-43241.62</v>
      </c>
      <c r="K150" s="187" t="s">
        <v>2410</v>
      </c>
    </row>
    <row r="151" spans="1:11" ht="112" customHeight="1" x14ac:dyDescent="0.35">
      <c r="A151" s="190"/>
      <c r="B151" s="189" t="str">
        <f>HYPERLINK("[.\]'Preventative costs B'!$C$685","Global / $million per Mtonne")</f>
        <v>Global / $million per Mtonne</v>
      </c>
      <c r="C151" s="170" t="s">
        <v>2468</v>
      </c>
      <c r="D151" s="170" t="s">
        <v>2476</v>
      </c>
      <c r="E151" s="171"/>
      <c r="F151" s="188">
        <v>-654940.1</v>
      </c>
      <c r="G151" s="188">
        <v>-189985.5</v>
      </c>
      <c r="H151" s="188">
        <v>188945.9</v>
      </c>
      <c r="I151" s="188">
        <v>-394227.4</v>
      </c>
      <c r="J151" s="188">
        <v>-8456.1309999999994</v>
      </c>
      <c r="K151" s="187" t="s">
        <v>2410</v>
      </c>
    </row>
    <row r="152" spans="1:11" ht="112" customHeight="1" x14ac:dyDescent="0.35">
      <c r="A152" s="190"/>
      <c r="B152" s="189" t="str">
        <f>HYPERLINK("[.\]'Preventative costs B'!$D$685","Global / $million per Mtonne")</f>
        <v>Global / $million per Mtonne</v>
      </c>
      <c r="C152" s="170" t="s">
        <v>2468</v>
      </c>
      <c r="D152" s="170" t="s">
        <v>2475</v>
      </c>
      <c r="E152" s="171"/>
      <c r="F152" s="188">
        <v>-876079.3</v>
      </c>
      <c r="G152" s="188">
        <v>-170850.8</v>
      </c>
      <c r="H152" s="188">
        <v>548476.9</v>
      </c>
      <c r="I152" s="188">
        <v>-457571.9</v>
      </c>
      <c r="J152" s="188">
        <v>114666.8</v>
      </c>
      <c r="K152" s="187" t="s">
        <v>2410</v>
      </c>
    </row>
    <row r="153" spans="1:11" ht="112" customHeight="1" x14ac:dyDescent="0.35">
      <c r="A153" s="190"/>
      <c r="B153" s="189" t="str">
        <f>HYPERLINK("[.\]'Preventative costs B'!$E$685","Global / $million per Mtonne")</f>
        <v>Global / $million per Mtonne</v>
      </c>
      <c r="C153" s="170" t="s">
        <v>2468</v>
      </c>
      <c r="D153" s="170" t="s">
        <v>2474</v>
      </c>
      <c r="E153" s="171"/>
      <c r="F153" s="188">
        <v>-1338903</v>
      </c>
      <c r="G153" s="188">
        <v>-200538.2</v>
      </c>
      <c r="H153" s="188">
        <v>1184292</v>
      </c>
      <c r="I153" s="188">
        <v>-708175.4</v>
      </c>
      <c r="J153" s="188">
        <v>331827.7</v>
      </c>
      <c r="K153" s="187" t="s">
        <v>2410</v>
      </c>
    </row>
    <row r="154" spans="1:11" ht="112" customHeight="1" x14ac:dyDescent="0.35">
      <c r="A154" s="190"/>
      <c r="B154" s="189" t="str">
        <f>HYPERLINK("[.\]'Preventative costs B'!$F$685","Global")</f>
        <v>Global</v>
      </c>
      <c r="C154" s="170" t="s">
        <v>2468</v>
      </c>
      <c r="D154" s="170" t="s">
        <v>2473</v>
      </c>
      <c r="E154" s="171"/>
      <c r="F154" s="188">
        <v>-1481403</v>
      </c>
      <c r="G154" s="188">
        <v>282524.7</v>
      </c>
      <c r="H154" s="188">
        <v>3287644</v>
      </c>
      <c r="I154" s="188">
        <v>-542105.9</v>
      </c>
      <c r="J154" s="188">
        <v>1313764</v>
      </c>
      <c r="K154" s="187" t="s">
        <v>2410</v>
      </c>
    </row>
    <row r="155" spans="1:11" ht="112" customHeight="1" x14ac:dyDescent="0.35">
      <c r="A155" s="190"/>
      <c r="B155" s="189" t="str">
        <f>HYPERLINK("[.\]'Preventative costs B'!$G$685","Global")</f>
        <v>Global</v>
      </c>
      <c r="C155" s="170" t="s">
        <v>2468</v>
      </c>
      <c r="D155" s="170" t="s">
        <v>2472</v>
      </c>
      <c r="E155" s="171"/>
      <c r="F155" s="188">
        <v>-1360419</v>
      </c>
      <c r="G155" s="188">
        <v>605452.1</v>
      </c>
      <c r="H155" s="188">
        <v>4576855</v>
      </c>
      <c r="I155" s="188">
        <v>-388746.8</v>
      </c>
      <c r="J155" s="188">
        <v>1878022</v>
      </c>
      <c r="K155" s="187" t="s">
        <v>2410</v>
      </c>
    </row>
    <row r="156" spans="1:11" ht="112" customHeight="1" x14ac:dyDescent="0.35">
      <c r="A156" s="190"/>
      <c r="B156" s="189" t="str">
        <f>HYPERLINK("[.\]'Preventative costs B'!$H$685","Global")</f>
        <v>Global</v>
      </c>
      <c r="C156" s="170" t="s">
        <v>2468</v>
      </c>
      <c r="D156" s="170" t="s">
        <v>2471</v>
      </c>
      <c r="E156" s="171"/>
      <c r="F156" s="188">
        <v>-1128604</v>
      </c>
      <c r="G156" s="188">
        <v>1109153</v>
      </c>
      <c r="H156" s="188">
        <v>6354439</v>
      </c>
      <c r="I156" s="188">
        <v>-98851.18</v>
      </c>
      <c r="J156" s="188">
        <v>2689801</v>
      </c>
      <c r="K156" s="187" t="s">
        <v>2410</v>
      </c>
    </row>
    <row r="157" spans="1:11" ht="112" customHeight="1" x14ac:dyDescent="0.35">
      <c r="A157" s="190"/>
      <c r="B157" s="189" t="str">
        <f>HYPERLINK("[.\]'Preventative costs B'!$I$685","Global")</f>
        <v>Global</v>
      </c>
      <c r="C157" s="170" t="s">
        <v>2468</v>
      </c>
      <c r="D157" s="170" t="s">
        <v>2470</v>
      </c>
      <c r="E157" s="171"/>
      <c r="F157" s="188">
        <v>-1022569</v>
      </c>
      <c r="G157" s="188">
        <v>648053.1</v>
      </c>
      <c r="H157" s="188">
        <v>4728299</v>
      </c>
      <c r="I157" s="188">
        <v>-207063.3</v>
      </c>
      <c r="J157" s="188">
        <v>1766427</v>
      </c>
      <c r="K157" s="187" t="s">
        <v>2410</v>
      </c>
    </row>
    <row r="158" spans="1:11" ht="112" customHeight="1" x14ac:dyDescent="0.35">
      <c r="A158" s="190"/>
      <c r="B158" s="189" t="str">
        <f>HYPERLINK("[.\]'Preventative costs B'!$J$685","Global")</f>
        <v>Global</v>
      </c>
      <c r="C158" s="170" t="s">
        <v>2468</v>
      </c>
      <c r="D158" s="170" t="s">
        <v>2469</v>
      </c>
      <c r="E158" s="171"/>
      <c r="F158" s="188">
        <v>-1156340</v>
      </c>
      <c r="G158" s="188">
        <v>240925.8</v>
      </c>
      <c r="H158" s="188">
        <v>3425607</v>
      </c>
      <c r="I158" s="188">
        <v>-336199.1</v>
      </c>
      <c r="J158" s="188">
        <v>1014542</v>
      </c>
      <c r="K158" s="187" t="s">
        <v>2410</v>
      </c>
    </row>
    <row r="159" spans="1:11" ht="112" customHeight="1" x14ac:dyDescent="0.35">
      <c r="A159" s="201"/>
      <c r="B159" s="200" t="str">
        <f>HYPERLINK("[.\]'Preventative costs B'!$K$685","Global")</f>
        <v>Global</v>
      </c>
      <c r="C159" s="199" t="s">
        <v>2468</v>
      </c>
      <c r="D159" s="199" t="s">
        <v>2467</v>
      </c>
      <c r="E159" s="198"/>
      <c r="F159" s="206">
        <v>-1294634</v>
      </c>
      <c r="G159" s="206">
        <v>477729.2</v>
      </c>
      <c r="H159" s="206">
        <v>4672963</v>
      </c>
      <c r="I159" s="206">
        <v>-219965.5</v>
      </c>
      <c r="J159" s="206">
        <v>1493572</v>
      </c>
      <c r="K159" s="196" t="s">
        <v>2410</v>
      </c>
    </row>
    <row r="160" spans="1:11" ht="14" customHeight="1" x14ac:dyDescent="0.35">
      <c r="A160" s="195" t="s">
        <v>2466</v>
      </c>
      <c r="B160" s="194"/>
      <c r="C160" s="194"/>
      <c r="D160" s="194"/>
      <c r="E160" s="194"/>
      <c r="F160" s="194"/>
      <c r="G160" s="194"/>
      <c r="H160" s="194"/>
      <c r="I160" s="194"/>
      <c r="J160" s="194"/>
      <c r="K160" s="194"/>
    </row>
    <row r="161" spans="1:11" ht="112" customHeight="1" x14ac:dyDescent="0.35">
      <c r="A161" s="193"/>
      <c r="B161" s="192" t="str">
        <f>HYPERLINK("[.\]'Climate B'!$O$62","W/m2")</f>
        <v>W/m2</v>
      </c>
      <c r="C161" s="180" t="s">
        <v>2427</v>
      </c>
      <c r="D161" s="180" t="s">
        <v>2463</v>
      </c>
      <c r="E161" s="181"/>
      <c r="F161" s="205">
        <v>3.26675</v>
      </c>
      <c r="G161" s="205">
        <v>3.3467199999999999</v>
      </c>
      <c r="H161" s="205">
        <v>3.4181330000000001</v>
      </c>
      <c r="I161" s="205">
        <v>3.3091400000000002</v>
      </c>
      <c r="J161" s="205">
        <v>3.3826010000000002</v>
      </c>
      <c r="K161" s="179" t="s">
        <v>2410</v>
      </c>
    </row>
    <row r="162" spans="1:11" ht="112" customHeight="1" x14ac:dyDescent="0.35">
      <c r="A162" s="190"/>
      <c r="B162" s="189" t="str">
        <f>HYPERLINK("[.\]'Climate B'!$P$62","W/m2")</f>
        <v>W/m2</v>
      </c>
      <c r="C162" s="170" t="s">
        <v>2427</v>
      </c>
      <c r="D162" s="170" t="s">
        <v>2462</v>
      </c>
      <c r="E162" s="171"/>
      <c r="F162" s="169">
        <v>3.510424</v>
      </c>
      <c r="G162" s="169">
        <v>3.6904750000000002</v>
      </c>
      <c r="H162" s="169">
        <v>4.1793839999999998</v>
      </c>
      <c r="I162" s="169">
        <v>3.6006580000000001</v>
      </c>
      <c r="J162" s="169">
        <v>3.795992</v>
      </c>
      <c r="K162" s="187" t="s">
        <v>2410</v>
      </c>
    </row>
    <row r="163" spans="1:11" ht="112" customHeight="1" x14ac:dyDescent="0.35">
      <c r="A163" s="190"/>
      <c r="B163" s="189" t="str">
        <f>HYPERLINK("[.\]'Climate B'!$Q$62","W/m2")</f>
        <v>W/m2</v>
      </c>
      <c r="C163" s="170" t="s">
        <v>2427</v>
      </c>
      <c r="D163" s="170" t="s">
        <v>2461</v>
      </c>
      <c r="E163" s="171"/>
      <c r="F163" s="169">
        <v>3.7370779999999999</v>
      </c>
      <c r="G163" s="169">
        <v>4.0138119999999997</v>
      </c>
      <c r="H163" s="169">
        <v>4.7026180000000002</v>
      </c>
      <c r="I163" s="169">
        <v>3.8682319999999999</v>
      </c>
      <c r="J163" s="169">
        <v>4.2056319999999996</v>
      </c>
      <c r="K163" s="187" t="s">
        <v>2410</v>
      </c>
    </row>
    <row r="164" spans="1:11" ht="112" customHeight="1" x14ac:dyDescent="0.35">
      <c r="A164" s="190"/>
      <c r="B164" s="189" t="str">
        <f>HYPERLINK("[.\]'Climate B'!$R$62","W/m2")</f>
        <v>W/m2</v>
      </c>
      <c r="C164" s="170" t="s">
        <v>2427</v>
      </c>
      <c r="D164" s="170" t="s">
        <v>2460</v>
      </c>
      <c r="E164" s="171"/>
      <c r="F164" s="169">
        <v>3.900515</v>
      </c>
      <c r="G164" s="169">
        <v>4.274438</v>
      </c>
      <c r="H164" s="169">
        <v>5.1186769999999999</v>
      </c>
      <c r="I164" s="169">
        <v>4.0738260000000004</v>
      </c>
      <c r="J164" s="169">
        <v>4.5579340000000004</v>
      </c>
      <c r="K164" s="187" t="s">
        <v>2410</v>
      </c>
    </row>
    <row r="165" spans="1:11" ht="112" customHeight="1" x14ac:dyDescent="0.35">
      <c r="A165" s="190"/>
      <c r="B165" s="189" t="str">
        <f>HYPERLINK("[.\]'Climate B'!$S$62","W/m2")</f>
        <v>W/m2</v>
      </c>
      <c r="C165" s="170" t="s">
        <v>2427</v>
      </c>
      <c r="D165" s="170" t="s">
        <v>2459</v>
      </c>
      <c r="E165" s="171"/>
      <c r="F165" s="169">
        <v>3.942008</v>
      </c>
      <c r="G165" s="169">
        <v>4.4098600000000001</v>
      </c>
      <c r="H165" s="169">
        <v>5.4512600000000004</v>
      </c>
      <c r="I165" s="169">
        <v>4.1570390000000002</v>
      </c>
      <c r="J165" s="169">
        <v>4.7816270000000003</v>
      </c>
      <c r="K165" s="187" t="s">
        <v>2410</v>
      </c>
    </row>
    <row r="166" spans="1:11" ht="112" customHeight="1" x14ac:dyDescent="0.35">
      <c r="A166" s="190"/>
      <c r="B166" s="189" t="str">
        <f>HYPERLINK("[.\]'Climate B'!$T$62","W/m2")</f>
        <v>W/m2</v>
      </c>
      <c r="C166" s="170" t="s">
        <v>2427</v>
      </c>
      <c r="D166" s="170" t="s">
        <v>2458</v>
      </c>
      <c r="E166" s="171"/>
      <c r="F166" s="169">
        <v>3.9235449999999998</v>
      </c>
      <c r="G166" s="169">
        <v>4.4682430000000002</v>
      </c>
      <c r="H166" s="169">
        <v>5.5182270000000004</v>
      </c>
      <c r="I166" s="169">
        <v>4.1724490000000003</v>
      </c>
      <c r="J166" s="169">
        <v>4.9025410000000003</v>
      </c>
      <c r="K166" s="187" t="s">
        <v>2410</v>
      </c>
    </row>
    <row r="167" spans="1:11" ht="112" customHeight="1" x14ac:dyDescent="0.35">
      <c r="A167" s="190"/>
      <c r="B167" s="189" t="str">
        <f>HYPERLINK("[.\]'Climate B'!$U$62","W/m2")</f>
        <v>W/m2</v>
      </c>
      <c r="C167" s="170" t="s">
        <v>2427</v>
      </c>
      <c r="D167" s="170" t="s">
        <v>2457</v>
      </c>
      <c r="E167" s="171"/>
      <c r="F167" s="169">
        <v>3.8049819999999999</v>
      </c>
      <c r="G167" s="169">
        <v>4.4363049999999999</v>
      </c>
      <c r="H167" s="169">
        <v>5.4913910000000001</v>
      </c>
      <c r="I167" s="169">
        <v>4.093337</v>
      </c>
      <c r="J167" s="169">
        <v>4.9140730000000001</v>
      </c>
      <c r="K167" s="187" t="s">
        <v>2410</v>
      </c>
    </row>
    <row r="168" spans="1:11" ht="112" customHeight="1" x14ac:dyDescent="0.35">
      <c r="A168" s="190"/>
      <c r="B168" s="189" t="str">
        <f>HYPERLINK("[.\]'Climate B'!$V$62","W/m2")</f>
        <v>W/m2</v>
      </c>
      <c r="C168" s="170" t="s">
        <v>2427</v>
      </c>
      <c r="D168" s="170" t="s">
        <v>2456</v>
      </c>
      <c r="E168" s="171"/>
      <c r="F168" s="169">
        <v>3.6714229999999999</v>
      </c>
      <c r="G168" s="169">
        <v>4.3763180000000004</v>
      </c>
      <c r="H168" s="169">
        <v>5.6158729999999997</v>
      </c>
      <c r="I168" s="169">
        <v>3.9899330000000002</v>
      </c>
      <c r="J168" s="169">
        <v>4.8881449999999997</v>
      </c>
      <c r="K168" s="187" t="s">
        <v>2410</v>
      </c>
    </row>
    <row r="169" spans="1:11" ht="112" customHeight="1" x14ac:dyDescent="0.35">
      <c r="A169" s="190"/>
      <c r="B169" s="189" t="str">
        <f>HYPERLINK("[.\]'Climate B'!$W$62","W/m2")</f>
        <v>W/m2</v>
      </c>
      <c r="C169" s="170" t="s">
        <v>2427</v>
      </c>
      <c r="D169" s="170" t="s">
        <v>2455</v>
      </c>
      <c r="E169" s="171"/>
      <c r="F169" s="169">
        <v>3.6145779999999998</v>
      </c>
      <c r="G169" s="169">
        <v>4.4409320000000001</v>
      </c>
      <c r="H169" s="169">
        <v>5.7816939999999999</v>
      </c>
      <c r="I169" s="169">
        <v>3.9883449999999998</v>
      </c>
      <c r="J169" s="169">
        <v>4.9999459999999996</v>
      </c>
      <c r="K169" s="187" t="s">
        <v>2410</v>
      </c>
    </row>
    <row r="170" spans="1:11" ht="112" customHeight="1" x14ac:dyDescent="0.35">
      <c r="A170" s="201"/>
      <c r="B170" s="200" t="str">
        <f>HYPERLINK("[.\]'Climate B'!$X$62","W/m2")</f>
        <v>W/m2</v>
      </c>
      <c r="C170" s="199" t="s">
        <v>2427</v>
      </c>
      <c r="D170" s="199" t="s">
        <v>2454</v>
      </c>
      <c r="E170" s="198"/>
      <c r="F170" s="204">
        <v>3.8206560000000001</v>
      </c>
      <c r="G170" s="204">
        <v>4.7275739999999997</v>
      </c>
      <c r="H170" s="204">
        <v>6.0130369999999997</v>
      </c>
      <c r="I170" s="204">
        <v>4.2358650000000004</v>
      </c>
      <c r="J170" s="204">
        <v>5.3108839999999997</v>
      </c>
      <c r="K170" s="196" t="s">
        <v>2410</v>
      </c>
    </row>
    <row r="171" spans="1:11" ht="14" customHeight="1" x14ac:dyDescent="0.35">
      <c r="A171" s="195" t="s">
        <v>2465</v>
      </c>
      <c r="B171" s="194"/>
      <c r="C171" s="194"/>
      <c r="D171" s="194"/>
      <c r="E171" s="194"/>
      <c r="F171" s="194"/>
      <c r="G171" s="194"/>
      <c r="H171" s="194"/>
      <c r="I171" s="194"/>
      <c r="J171" s="194"/>
      <c r="K171" s="194"/>
    </row>
    <row r="172" spans="1:11" ht="112" customHeight="1" x14ac:dyDescent="0.35">
      <c r="A172" s="193"/>
      <c r="B172" s="192" t="str">
        <f>HYPERLINK("[.\]'Climate A-B'!$O$62","W/m2")</f>
        <v>W/m2</v>
      </c>
      <c r="C172" s="180" t="s">
        <v>2416</v>
      </c>
      <c r="D172" s="180" t="s">
        <v>2463</v>
      </c>
      <c r="E172" s="181"/>
      <c r="F172" s="205">
        <v>0</v>
      </c>
      <c r="G172" s="205">
        <v>0</v>
      </c>
      <c r="H172" s="205">
        <v>0</v>
      </c>
      <c r="I172" s="205">
        <v>0</v>
      </c>
      <c r="J172" s="205">
        <v>0</v>
      </c>
      <c r="K172" s="179" t="s">
        <v>2410</v>
      </c>
    </row>
    <row r="173" spans="1:11" ht="112" customHeight="1" x14ac:dyDescent="0.35">
      <c r="A173" s="190"/>
      <c r="B173" s="189" t="str">
        <f>HYPERLINK("[.\]'Climate A-B'!$P$62","W/m2")</f>
        <v>W/m2</v>
      </c>
      <c r="C173" s="170" t="s">
        <v>2416</v>
      </c>
      <c r="D173" s="170" t="s">
        <v>2462</v>
      </c>
      <c r="E173" s="171"/>
      <c r="F173" s="169">
        <v>-3.544601E-4</v>
      </c>
      <c r="G173" s="169">
        <v>-3.544601E-4</v>
      </c>
      <c r="H173" s="169">
        <v>-3.544601E-4</v>
      </c>
      <c r="I173" s="169">
        <v>-3.544601E-4</v>
      </c>
      <c r="J173" s="169">
        <v>-3.544601E-4</v>
      </c>
      <c r="K173" s="187" t="s">
        <v>2410</v>
      </c>
    </row>
    <row r="174" spans="1:11" ht="112" customHeight="1" x14ac:dyDescent="0.35">
      <c r="A174" s="190"/>
      <c r="B174" s="189" t="str">
        <f>HYPERLINK("[.\]'Climate A-B'!$Q$62","W/m2")</f>
        <v>W/m2</v>
      </c>
      <c r="C174" s="170" t="s">
        <v>2416</v>
      </c>
      <c r="D174" s="170" t="s">
        <v>2461</v>
      </c>
      <c r="E174" s="171"/>
      <c r="F174" s="169">
        <v>-4.5340879999999998E-4</v>
      </c>
      <c r="G174" s="169">
        <v>-3.7259430000000001E-4</v>
      </c>
      <c r="H174" s="169">
        <v>-3.5780829999999998E-4</v>
      </c>
      <c r="I174" s="169">
        <v>-3.9026780000000002E-4</v>
      </c>
      <c r="J174" s="169">
        <v>-3.6311129999999999E-4</v>
      </c>
      <c r="K174" s="187" t="s">
        <v>2410</v>
      </c>
    </row>
    <row r="175" spans="1:11" ht="112" customHeight="1" x14ac:dyDescent="0.35">
      <c r="A175" s="190"/>
      <c r="B175" s="189" t="str">
        <f>HYPERLINK("[.\]'Climate A-B'!$R$62","W/m2")</f>
        <v>W/m2</v>
      </c>
      <c r="C175" s="170" t="s">
        <v>2416</v>
      </c>
      <c r="D175" s="170" t="s">
        <v>2460</v>
      </c>
      <c r="E175" s="171"/>
      <c r="F175" s="169">
        <v>-4.7926300000000001E-4</v>
      </c>
      <c r="G175" s="169">
        <v>-3.5082789999999999E-4</v>
      </c>
      <c r="H175" s="169">
        <v>-3.2371169999999999E-4</v>
      </c>
      <c r="I175" s="169">
        <v>-3.8207989999999999E-4</v>
      </c>
      <c r="J175" s="169">
        <v>-3.3371410000000002E-4</v>
      </c>
      <c r="K175" s="187" t="s">
        <v>2410</v>
      </c>
    </row>
    <row r="176" spans="1:11" ht="112" customHeight="1" x14ac:dyDescent="0.35">
      <c r="A176" s="190"/>
      <c r="B176" s="189" t="str">
        <f>HYPERLINK("[.\]'Climate A-B'!$S$62","W/m2")</f>
        <v>W/m2</v>
      </c>
      <c r="C176" s="170" t="s">
        <v>2416</v>
      </c>
      <c r="D176" s="170" t="s">
        <v>2459</v>
      </c>
      <c r="E176" s="171"/>
      <c r="F176" s="169">
        <v>-4.5011770000000001E-4</v>
      </c>
      <c r="G176" s="169">
        <v>-3.2745449999999998E-4</v>
      </c>
      <c r="H176" s="169">
        <v>-2.9324780000000001E-4</v>
      </c>
      <c r="I176" s="169">
        <v>-3.6502970000000003E-4</v>
      </c>
      <c r="J176" s="169">
        <v>-3.0578220000000001E-4</v>
      </c>
      <c r="K176" s="187" t="s">
        <v>2410</v>
      </c>
    </row>
    <row r="177" spans="1:11" ht="112" customHeight="1" x14ac:dyDescent="0.35">
      <c r="A177" s="190"/>
      <c r="B177" s="189" t="str">
        <f>HYPERLINK("[.\]'Climate A-B'!$T$62","W/m2")</f>
        <v>W/m2</v>
      </c>
      <c r="C177" s="170" t="s">
        <v>2416</v>
      </c>
      <c r="D177" s="170" t="s">
        <v>2458</v>
      </c>
      <c r="E177" s="171"/>
      <c r="F177" s="169">
        <v>-4.1139829999999999E-4</v>
      </c>
      <c r="G177" s="169">
        <v>-2.9124529999999997E-4</v>
      </c>
      <c r="H177" s="169">
        <v>-2.5399489999999999E-4</v>
      </c>
      <c r="I177" s="169">
        <v>-3.3093830000000002E-4</v>
      </c>
      <c r="J177" s="169">
        <v>-2.6655929999999997E-4</v>
      </c>
      <c r="K177" s="187" t="s">
        <v>2410</v>
      </c>
    </row>
    <row r="178" spans="1:11" ht="112" customHeight="1" x14ac:dyDescent="0.35">
      <c r="A178" s="190"/>
      <c r="B178" s="189" t="str">
        <f>HYPERLINK("[.\]'Climate A-B'!$U$62","W/m2")</f>
        <v>W/m2</v>
      </c>
      <c r="C178" s="170" t="s">
        <v>2416</v>
      </c>
      <c r="D178" s="170" t="s">
        <v>2457</v>
      </c>
      <c r="E178" s="171"/>
      <c r="F178" s="169">
        <v>-3.5716539999999997E-4</v>
      </c>
      <c r="G178" s="169">
        <v>-2.4797980000000001E-4</v>
      </c>
      <c r="H178" s="169">
        <v>-2.1054630000000001E-4</v>
      </c>
      <c r="I178" s="169">
        <v>-2.8727780000000001E-4</v>
      </c>
      <c r="J178" s="169">
        <v>-2.2063829999999999E-4</v>
      </c>
      <c r="K178" s="187" t="s">
        <v>2410</v>
      </c>
    </row>
    <row r="179" spans="1:11" ht="112" customHeight="1" x14ac:dyDescent="0.35">
      <c r="A179" s="190"/>
      <c r="B179" s="189" t="str">
        <f>HYPERLINK("[.\]'Climate A-B'!$V$62","W/m2")</f>
        <v>W/m2</v>
      </c>
      <c r="C179" s="170" t="s">
        <v>2416</v>
      </c>
      <c r="D179" s="170" t="s">
        <v>2456</v>
      </c>
      <c r="E179" s="171"/>
      <c r="F179" s="169">
        <v>-2.6170220000000001E-4</v>
      </c>
      <c r="G179" s="169">
        <v>-1.6101289999999999E-4</v>
      </c>
      <c r="H179" s="169">
        <v>-1.274026E-4</v>
      </c>
      <c r="I179" s="169">
        <v>-1.9546529999999999E-4</v>
      </c>
      <c r="J179" s="169">
        <v>-1.274026E-4</v>
      </c>
      <c r="K179" s="187" t="s">
        <v>2410</v>
      </c>
    </row>
    <row r="180" spans="1:11" ht="112" customHeight="1" x14ac:dyDescent="0.35">
      <c r="A180" s="190"/>
      <c r="B180" s="189" t="str">
        <f>HYPERLINK("[.\]'Climate A-B'!$W$62","W/m2")</f>
        <v>W/m2</v>
      </c>
      <c r="C180" s="170" t="s">
        <v>2416</v>
      </c>
      <c r="D180" s="170" t="s">
        <v>2455</v>
      </c>
      <c r="E180" s="171"/>
      <c r="F180" s="169">
        <v>-1.587766E-4</v>
      </c>
      <c r="G180" s="169">
        <v>-7.9199929999999996E-5</v>
      </c>
      <c r="H180" s="169">
        <v>-5.2788979999999998E-5</v>
      </c>
      <c r="I180" s="169">
        <v>-1.064566E-4</v>
      </c>
      <c r="J180" s="169">
        <v>-5.2788979999999998E-5</v>
      </c>
      <c r="K180" s="187" t="s">
        <v>2410</v>
      </c>
    </row>
    <row r="181" spans="1:11" ht="112" customHeight="1" x14ac:dyDescent="0.35">
      <c r="A181" s="201"/>
      <c r="B181" s="200" t="str">
        <f>HYPERLINK("[.\]'Climate A-B'!$X$62","W/m2")</f>
        <v>W/m2</v>
      </c>
      <c r="C181" s="199" t="s">
        <v>2416</v>
      </c>
      <c r="D181" s="199" t="s">
        <v>2454</v>
      </c>
      <c r="E181" s="198"/>
      <c r="F181" s="204">
        <v>-8.0531580000000005E-5</v>
      </c>
      <c r="G181" s="204">
        <v>-4.3759859999999998E-5</v>
      </c>
      <c r="H181" s="204">
        <v>-3.2760920000000001E-5</v>
      </c>
      <c r="I181" s="204">
        <v>-5.6811880000000003E-5</v>
      </c>
      <c r="J181" s="204">
        <v>-3.2760920000000001E-5</v>
      </c>
      <c r="K181" s="196" t="s">
        <v>2410</v>
      </c>
    </row>
    <row r="182" spans="1:11" ht="14" customHeight="1" x14ac:dyDescent="0.35">
      <c r="A182" s="195" t="s">
        <v>2464</v>
      </c>
      <c r="B182" s="194"/>
      <c r="C182" s="194"/>
      <c r="D182" s="194"/>
      <c r="E182" s="194"/>
      <c r="F182" s="194"/>
      <c r="G182" s="194"/>
      <c r="H182" s="194"/>
      <c r="I182" s="194"/>
      <c r="J182" s="194"/>
      <c r="K182" s="194"/>
    </row>
    <row r="183" spans="1:11" ht="112" customHeight="1" x14ac:dyDescent="0.35">
      <c r="A183" s="193"/>
      <c r="B183" s="192" t="str">
        <f>HYPERLINK("[.\]'Climate A'!$O$62","W/m2")</f>
        <v>W/m2</v>
      </c>
      <c r="C183" s="180" t="s">
        <v>2429</v>
      </c>
      <c r="D183" s="180" t="s">
        <v>2463</v>
      </c>
      <c r="E183" s="181"/>
      <c r="F183" s="205">
        <v>3.26675</v>
      </c>
      <c r="G183" s="205">
        <v>3.3467199999999999</v>
      </c>
      <c r="H183" s="205">
        <v>3.4181330000000001</v>
      </c>
      <c r="I183" s="205">
        <v>3.3091400000000002</v>
      </c>
      <c r="J183" s="205">
        <v>3.3826010000000002</v>
      </c>
      <c r="K183" s="179" t="s">
        <v>2410</v>
      </c>
    </row>
    <row r="184" spans="1:11" ht="112" customHeight="1" x14ac:dyDescent="0.35">
      <c r="A184" s="190"/>
      <c r="B184" s="189" t="str">
        <f>HYPERLINK("[.\]'Climate A'!$P$62","W/m2")</f>
        <v>W/m2</v>
      </c>
      <c r="C184" s="170" t="s">
        <v>2429</v>
      </c>
      <c r="D184" s="170" t="s">
        <v>2462</v>
      </c>
      <c r="E184" s="171"/>
      <c r="F184" s="169">
        <v>3.5100699999999998</v>
      </c>
      <c r="G184" s="169">
        <v>3.6901199999999998</v>
      </c>
      <c r="H184" s="169">
        <v>4.1790289999999999</v>
      </c>
      <c r="I184" s="169">
        <v>3.6003029999999998</v>
      </c>
      <c r="J184" s="169">
        <v>3.7956379999999998</v>
      </c>
      <c r="K184" s="187" t="s">
        <v>2410</v>
      </c>
    </row>
    <row r="185" spans="1:11" ht="112" customHeight="1" x14ac:dyDescent="0.35">
      <c r="A185" s="190"/>
      <c r="B185" s="189" t="str">
        <f>HYPERLINK("[.\]'Climate A'!$Q$62","W/m2")</f>
        <v>W/m2</v>
      </c>
      <c r="C185" s="170" t="s">
        <v>2429</v>
      </c>
      <c r="D185" s="170" t="s">
        <v>2461</v>
      </c>
      <c r="E185" s="171"/>
      <c r="F185" s="169">
        <v>3.7367159999999999</v>
      </c>
      <c r="G185" s="169">
        <v>4.013439</v>
      </c>
      <c r="H185" s="169">
        <v>4.7021790000000001</v>
      </c>
      <c r="I185" s="169">
        <v>3.8678650000000001</v>
      </c>
      <c r="J185" s="169">
        <v>4.2052560000000003</v>
      </c>
      <c r="K185" s="187" t="s">
        <v>2410</v>
      </c>
    </row>
    <row r="186" spans="1:11" ht="112" customHeight="1" x14ac:dyDescent="0.35">
      <c r="A186" s="190"/>
      <c r="B186" s="189" t="str">
        <f>HYPERLINK("[.\]'Climate A'!$R$62","W/m2")</f>
        <v>W/m2</v>
      </c>
      <c r="C186" s="170" t="s">
        <v>2429</v>
      </c>
      <c r="D186" s="170" t="s">
        <v>2460</v>
      </c>
      <c r="E186" s="171"/>
      <c r="F186" s="169">
        <v>3.9001830000000002</v>
      </c>
      <c r="G186" s="169">
        <v>4.2740869999999997</v>
      </c>
      <c r="H186" s="169">
        <v>5.1182400000000001</v>
      </c>
      <c r="I186" s="169">
        <v>4.0734820000000003</v>
      </c>
      <c r="J186" s="169">
        <v>4.5575549999999998</v>
      </c>
      <c r="K186" s="187" t="s">
        <v>2410</v>
      </c>
    </row>
    <row r="187" spans="1:11" ht="112" customHeight="1" x14ac:dyDescent="0.35">
      <c r="A187" s="190"/>
      <c r="B187" s="189" t="str">
        <f>HYPERLINK("[.\]'Climate A'!$S$62","W/m2")</f>
        <v>W/m2</v>
      </c>
      <c r="C187" s="170" t="s">
        <v>2429</v>
      </c>
      <c r="D187" s="170" t="s">
        <v>2459</v>
      </c>
      <c r="E187" s="171"/>
      <c r="F187" s="169">
        <v>3.9417049999999998</v>
      </c>
      <c r="G187" s="169">
        <v>4.4095329999999997</v>
      </c>
      <c r="H187" s="169">
        <v>5.4509670000000003</v>
      </c>
      <c r="I187" s="169">
        <v>4.1567309999999997</v>
      </c>
      <c r="J187" s="169">
        <v>4.7812770000000002</v>
      </c>
      <c r="K187" s="187" t="s">
        <v>2410</v>
      </c>
    </row>
    <row r="188" spans="1:11" ht="112" customHeight="1" x14ac:dyDescent="0.35">
      <c r="A188" s="190"/>
      <c r="B188" s="189" t="str">
        <f>HYPERLINK("[.\]'Climate A'!$T$62","W/m2")</f>
        <v>W/m2</v>
      </c>
      <c r="C188" s="170" t="s">
        <v>2429</v>
      </c>
      <c r="D188" s="170" t="s">
        <v>2458</v>
      </c>
      <c r="E188" s="171"/>
      <c r="F188" s="169">
        <v>3.923279</v>
      </c>
      <c r="G188" s="169">
        <v>4.4679520000000004</v>
      </c>
      <c r="H188" s="169">
        <v>5.5179729999999996</v>
      </c>
      <c r="I188" s="169">
        <v>4.1721760000000003</v>
      </c>
      <c r="J188" s="169">
        <v>4.9022050000000004</v>
      </c>
      <c r="K188" s="187" t="s">
        <v>2410</v>
      </c>
    </row>
    <row r="189" spans="1:11" ht="112" customHeight="1" x14ac:dyDescent="0.35">
      <c r="A189" s="190"/>
      <c r="B189" s="189" t="str">
        <f>HYPERLINK("[.\]'Climate A'!$U$62","W/m2")</f>
        <v>W/m2</v>
      </c>
      <c r="C189" s="170" t="s">
        <v>2429</v>
      </c>
      <c r="D189" s="170" t="s">
        <v>2457</v>
      </c>
      <c r="E189" s="171"/>
      <c r="F189" s="169">
        <v>3.8047580000000001</v>
      </c>
      <c r="G189" s="169">
        <v>4.4360569999999999</v>
      </c>
      <c r="H189" s="169">
        <v>5.4910649999999999</v>
      </c>
      <c r="I189" s="169">
        <v>4.0931069999999998</v>
      </c>
      <c r="J189" s="169">
        <v>4.9138630000000001</v>
      </c>
      <c r="K189" s="187" t="s">
        <v>2410</v>
      </c>
    </row>
    <row r="190" spans="1:11" ht="112" customHeight="1" x14ac:dyDescent="0.35">
      <c r="A190" s="190"/>
      <c r="B190" s="189" t="str">
        <f>HYPERLINK("[.\]'Climate A'!$V$62","W/m2")</f>
        <v>W/m2</v>
      </c>
      <c r="C190" s="170" t="s">
        <v>2429</v>
      </c>
      <c r="D190" s="170" t="s">
        <v>2456</v>
      </c>
      <c r="E190" s="171"/>
      <c r="F190" s="169">
        <v>3.6712820000000002</v>
      </c>
      <c r="G190" s="169">
        <v>4.3761570000000001</v>
      </c>
      <c r="H190" s="169">
        <v>5.615653</v>
      </c>
      <c r="I190" s="169">
        <v>3.989795</v>
      </c>
      <c r="J190" s="169">
        <v>4.8880179999999998</v>
      </c>
      <c r="K190" s="187" t="s">
        <v>2410</v>
      </c>
    </row>
    <row r="191" spans="1:11" ht="112" customHeight="1" x14ac:dyDescent="0.35">
      <c r="A191" s="190"/>
      <c r="B191" s="189" t="str">
        <f>HYPERLINK("[.\]'Climate A'!$W$62","W/m2")</f>
        <v>W/m2</v>
      </c>
      <c r="C191" s="170" t="s">
        <v>2429</v>
      </c>
      <c r="D191" s="170" t="s">
        <v>2455</v>
      </c>
      <c r="E191" s="171"/>
      <c r="F191" s="169">
        <v>3.6145179999999999</v>
      </c>
      <c r="G191" s="169">
        <v>4.4408529999999997</v>
      </c>
      <c r="H191" s="169">
        <v>5.7816419999999997</v>
      </c>
      <c r="I191" s="169">
        <v>3.98827</v>
      </c>
      <c r="J191" s="169">
        <v>4.9998930000000001</v>
      </c>
      <c r="K191" s="187" t="s">
        <v>2410</v>
      </c>
    </row>
    <row r="192" spans="1:11" ht="112" customHeight="1" x14ac:dyDescent="0.35">
      <c r="A192" s="201"/>
      <c r="B192" s="200" t="str">
        <f>HYPERLINK("[.\]'Climate A'!$X$62","W/m2")</f>
        <v>W/m2</v>
      </c>
      <c r="C192" s="199" t="s">
        <v>2429</v>
      </c>
      <c r="D192" s="199" t="s">
        <v>2454</v>
      </c>
      <c r="E192" s="198"/>
      <c r="F192" s="204">
        <v>3.820621</v>
      </c>
      <c r="G192" s="204">
        <v>4.7275309999999999</v>
      </c>
      <c r="H192" s="204">
        <v>6.0130039999999996</v>
      </c>
      <c r="I192" s="204">
        <v>4.2358260000000003</v>
      </c>
      <c r="J192" s="204">
        <v>5.3108510000000004</v>
      </c>
      <c r="K192" s="196" t="s">
        <v>2410</v>
      </c>
    </row>
    <row r="193" spans="1:11" ht="14" customHeight="1" x14ac:dyDescent="0.35">
      <c r="A193" s="195" t="s">
        <v>2453</v>
      </c>
      <c r="B193" s="194"/>
      <c r="C193" s="194"/>
      <c r="D193" s="194"/>
      <c r="E193" s="194"/>
      <c r="F193" s="194"/>
      <c r="G193" s="194"/>
      <c r="H193" s="194"/>
      <c r="I193" s="194"/>
      <c r="J193" s="194"/>
      <c r="K193" s="194"/>
    </row>
    <row r="194" spans="1:11" ht="112" customHeight="1" x14ac:dyDescent="0.35">
      <c r="A194" s="193"/>
      <c r="B194" s="192" t="str">
        <f>HYPERLINK("[.\]'Climate B'!$O$27","W/m2")</f>
        <v>W/m2</v>
      </c>
      <c r="C194" s="180" t="s">
        <v>2427</v>
      </c>
      <c r="D194" s="180" t="s">
        <v>2450</v>
      </c>
      <c r="E194" s="181"/>
      <c r="F194" s="205">
        <v>1.7245330000000001</v>
      </c>
      <c r="G194" s="205">
        <v>1.804503</v>
      </c>
      <c r="H194" s="205">
        <v>1.8759159999999999</v>
      </c>
      <c r="I194" s="205">
        <v>1.766923</v>
      </c>
      <c r="J194" s="205">
        <v>1.840384</v>
      </c>
      <c r="K194" s="179" t="s">
        <v>2410</v>
      </c>
    </row>
    <row r="195" spans="1:11" ht="112" customHeight="1" x14ac:dyDescent="0.35">
      <c r="A195" s="190"/>
      <c r="B195" s="189" t="str">
        <f>HYPERLINK("[.\]'Climate B'!$P$27","W/m2")</f>
        <v>W/m2</v>
      </c>
      <c r="C195" s="170" t="s">
        <v>2427</v>
      </c>
      <c r="D195" s="170" t="s">
        <v>2449</v>
      </c>
      <c r="E195" s="171"/>
      <c r="F195" s="169">
        <v>1.931354</v>
      </c>
      <c r="G195" s="169">
        <v>2.111405</v>
      </c>
      <c r="H195" s="169">
        <v>2.600314</v>
      </c>
      <c r="I195" s="169">
        <v>2.0215879999999999</v>
      </c>
      <c r="J195" s="169">
        <v>2.2169219999999998</v>
      </c>
      <c r="K195" s="187" t="s">
        <v>2410</v>
      </c>
    </row>
    <row r="196" spans="1:11" ht="112" customHeight="1" x14ac:dyDescent="0.35">
      <c r="A196" s="190"/>
      <c r="B196" s="189" t="str">
        <f>HYPERLINK("[.\]'Climate B'!$Q$27","W/m2")</f>
        <v>W/m2</v>
      </c>
      <c r="C196" s="170" t="s">
        <v>2427</v>
      </c>
      <c r="D196" s="170" t="s">
        <v>2448</v>
      </c>
      <c r="E196" s="171"/>
      <c r="F196" s="169">
        <v>2.114989</v>
      </c>
      <c r="G196" s="169">
        <v>2.3917229999999998</v>
      </c>
      <c r="H196" s="169">
        <v>3.0805280000000002</v>
      </c>
      <c r="I196" s="169">
        <v>2.246143</v>
      </c>
      <c r="J196" s="169">
        <v>2.5835430000000001</v>
      </c>
      <c r="K196" s="187" t="s">
        <v>2410</v>
      </c>
    </row>
    <row r="197" spans="1:11" ht="112" customHeight="1" x14ac:dyDescent="0.35">
      <c r="A197" s="190"/>
      <c r="B197" s="189" t="str">
        <f>HYPERLINK("[.\]'Climate B'!$R$27","W/m2")</f>
        <v>W/m2</v>
      </c>
      <c r="C197" s="170" t="s">
        <v>2427</v>
      </c>
      <c r="D197" s="170" t="s">
        <v>2447</v>
      </c>
      <c r="E197" s="171"/>
      <c r="F197" s="169">
        <v>2.2500589999999998</v>
      </c>
      <c r="G197" s="169">
        <v>2.623983</v>
      </c>
      <c r="H197" s="169">
        <v>3.4682219999999999</v>
      </c>
      <c r="I197" s="169">
        <v>2.4233709999999999</v>
      </c>
      <c r="J197" s="169">
        <v>2.9074789999999999</v>
      </c>
      <c r="K197" s="187" t="s">
        <v>2410</v>
      </c>
    </row>
    <row r="198" spans="1:11" ht="112" customHeight="1" x14ac:dyDescent="0.35">
      <c r="A198" s="190"/>
      <c r="B198" s="189" t="str">
        <f>HYPERLINK("[.\]'Climate B'!$S$27","W/m2")</f>
        <v>W/m2</v>
      </c>
      <c r="C198" s="170" t="s">
        <v>2427</v>
      </c>
      <c r="D198" s="170" t="s">
        <v>2446</v>
      </c>
      <c r="E198" s="171"/>
      <c r="F198" s="169">
        <v>2.320106</v>
      </c>
      <c r="G198" s="169">
        <v>2.7879580000000002</v>
      </c>
      <c r="H198" s="169">
        <v>3.829358</v>
      </c>
      <c r="I198" s="169">
        <v>2.5351370000000002</v>
      </c>
      <c r="J198" s="169">
        <v>3.1597249999999999</v>
      </c>
      <c r="K198" s="187" t="s">
        <v>2410</v>
      </c>
    </row>
    <row r="199" spans="1:11" ht="112" customHeight="1" x14ac:dyDescent="0.35">
      <c r="A199" s="190"/>
      <c r="B199" s="189" t="str">
        <f>HYPERLINK("[.\]'Climate B'!$T$27","W/m2")</f>
        <v>W/m2</v>
      </c>
      <c r="C199" s="170" t="s">
        <v>2427</v>
      </c>
      <c r="D199" s="170" t="s">
        <v>2445</v>
      </c>
      <c r="E199" s="171"/>
      <c r="F199" s="169">
        <v>2.3340269999999999</v>
      </c>
      <c r="G199" s="169">
        <v>2.8787250000000002</v>
      </c>
      <c r="H199" s="169">
        <v>3.9287079999999999</v>
      </c>
      <c r="I199" s="169">
        <v>2.5829309999999999</v>
      </c>
      <c r="J199" s="169">
        <v>3.3130229999999998</v>
      </c>
      <c r="K199" s="187" t="s">
        <v>2410</v>
      </c>
    </row>
    <row r="200" spans="1:11" ht="112" customHeight="1" x14ac:dyDescent="0.35">
      <c r="A200" s="190"/>
      <c r="B200" s="189" t="str">
        <f>HYPERLINK("[.\]'Climate B'!$U$27","W/m2")</f>
        <v>W/m2</v>
      </c>
      <c r="C200" s="170" t="s">
        <v>2427</v>
      </c>
      <c r="D200" s="170" t="s">
        <v>2444</v>
      </c>
      <c r="E200" s="171"/>
      <c r="F200" s="169">
        <v>2.2829169999999999</v>
      </c>
      <c r="G200" s="169">
        <v>2.9142410000000001</v>
      </c>
      <c r="H200" s="169">
        <v>3.9693269999999998</v>
      </c>
      <c r="I200" s="169">
        <v>2.5712730000000001</v>
      </c>
      <c r="J200" s="169">
        <v>3.3920089999999998</v>
      </c>
      <c r="K200" s="187" t="s">
        <v>2410</v>
      </c>
    </row>
    <row r="201" spans="1:11" ht="112" customHeight="1" x14ac:dyDescent="0.35">
      <c r="A201" s="190"/>
      <c r="B201" s="189" t="str">
        <f>HYPERLINK("[.\]'Climate B'!$V$27","W/m2")</f>
        <v>W/m2</v>
      </c>
      <c r="C201" s="170" t="s">
        <v>2427</v>
      </c>
      <c r="D201" s="170" t="s">
        <v>2443</v>
      </c>
      <c r="E201" s="171"/>
      <c r="F201" s="169">
        <v>2.2329840000000001</v>
      </c>
      <c r="G201" s="169">
        <v>2.9378799999999998</v>
      </c>
      <c r="H201" s="169">
        <v>4.177435</v>
      </c>
      <c r="I201" s="169">
        <v>2.5514939999999999</v>
      </c>
      <c r="J201" s="169">
        <v>3.4497070000000001</v>
      </c>
      <c r="K201" s="187" t="s">
        <v>2410</v>
      </c>
    </row>
    <row r="202" spans="1:11" ht="112" customHeight="1" x14ac:dyDescent="0.35">
      <c r="A202" s="190"/>
      <c r="B202" s="189" t="str">
        <f>HYPERLINK("[.\]'Climate B'!$W$27","W/m2")</f>
        <v>W/m2</v>
      </c>
      <c r="C202" s="170" t="s">
        <v>2427</v>
      </c>
      <c r="D202" s="170" t="s">
        <v>2442</v>
      </c>
      <c r="E202" s="171"/>
      <c r="F202" s="169">
        <v>2.1762139999999999</v>
      </c>
      <c r="G202" s="169">
        <v>3.0025680000000001</v>
      </c>
      <c r="H202" s="169">
        <v>4.3433310000000001</v>
      </c>
      <c r="I202" s="169">
        <v>2.5499809999999998</v>
      </c>
      <c r="J202" s="169">
        <v>3.561582</v>
      </c>
      <c r="K202" s="187" t="s">
        <v>2410</v>
      </c>
    </row>
    <row r="203" spans="1:11" ht="112" customHeight="1" x14ac:dyDescent="0.35">
      <c r="A203" s="201"/>
      <c r="B203" s="200" t="str">
        <f>HYPERLINK("[.\]'Climate B'!$X$27","W/m2")</f>
        <v>W/m2</v>
      </c>
      <c r="C203" s="199" t="s">
        <v>2427</v>
      </c>
      <c r="D203" s="199" t="s">
        <v>2441</v>
      </c>
      <c r="E203" s="198"/>
      <c r="F203" s="204">
        <v>2.3823120000000002</v>
      </c>
      <c r="G203" s="204">
        <v>3.289231</v>
      </c>
      <c r="H203" s="204">
        <v>4.5746929999999999</v>
      </c>
      <c r="I203" s="204">
        <v>2.7975210000000001</v>
      </c>
      <c r="J203" s="204">
        <v>3.8725399999999999</v>
      </c>
      <c r="K203" s="196" t="s">
        <v>2410</v>
      </c>
    </row>
    <row r="204" spans="1:11" ht="14" customHeight="1" x14ac:dyDescent="0.35">
      <c r="A204" s="195" t="s">
        <v>2452</v>
      </c>
      <c r="B204" s="194"/>
      <c r="C204" s="194"/>
      <c r="D204" s="194"/>
      <c r="E204" s="194"/>
      <c r="F204" s="194"/>
      <c r="G204" s="194"/>
      <c r="H204" s="194"/>
      <c r="I204" s="194"/>
      <c r="J204" s="194"/>
      <c r="K204" s="194"/>
    </row>
    <row r="205" spans="1:11" ht="112" customHeight="1" x14ac:dyDescent="0.35">
      <c r="A205" s="193"/>
      <c r="B205" s="192" t="str">
        <f>HYPERLINK("[.\]'Climate A-B'!$O$27","W/m2")</f>
        <v>W/m2</v>
      </c>
      <c r="C205" s="180" t="s">
        <v>2416</v>
      </c>
      <c r="D205" s="180" t="s">
        <v>2450</v>
      </c>
      <c r="E205" s="181"/>
      <c r="F205" s="205">
        <v>0</v>
      </c>
      <c r="G205" s="205">
        <v>0</v>
      </c>
      <c r="H205" s="205">
        <v>0</v>
      </c>
      <c r="I205" s="205">
        <v>0</v>
      </c>
      <c r="J205" s="205">
        <v>0</v>
      </c>
      <c r="K205" s="179" t="s">
        <v>2410</v>
      </c>
    </row>
    <row r="206" spans="1:11" ht="112" customHeight="1" x14ac:dyDescent="0.35">
      <c r="A206" s="190"/>
      <c r="B206" s="189" t="str">
        <f>HYPERLINK("[.\]'Climate A-B'!$P$27","W/m2")</f>
        <v>W/m2</v>
      </c>
      <c r="C206" s="170" t="s">
        <v>2416</v>
      </c>
      <c r="D206" s="170" t="s">
        <v>2449</v>
      </c>
      <c r="E206" s="171"/>
      <c r="F206" s="169">
        <v>0</v>
      </c>
      <c r="G206" s="169">
        <v>0</v>
      </c>
      <c r="H206" s="169">
        <v>0</v>
      </c>
      <c r="I206" s="169">
        <v>0</v>
      </c>
      <c r="J206" s="169">
        <v>0</v>
      </c>
      <c r="K206" s="187" t="s">
        <v>2410</v>
      </c>
    </row>
    <row r="207" spans="1:11" ht="112" customHeight="1" x14ac:dyDescent="0.35">
      <c r="A207" s="190"/>
      <c r="B207" s="189" t="str">
        <f>HYPERLINK("[.\]'Climate A-B'!$Q$27","W/m2")</f>
        <v>W/m2</v>
      </c>
      <c r="C207" s="170" t="s">
        <v>2416</v>
      </c>
      <c r="D207" s="170" t="s">
        <v>2448</v>
      </c>
      <c r="E207" s="171"/>
      <c r="F207" s="169">
        <v>-9.5600439999999996E-5</v>
      </c>
      <c r="G207" s="169">
        <v>-1.4785980000000001E-5</v>
      </c>
      <c r="H207" s="169">
        <v>0</v>
      </c>
      <c r="I207" s="169">
        <v>-3.2459480000000002E-5</v>
      </c>
      <c r="J207" s="169">
        <v>-5.3029569999999998E-6</v>
      </c>
      <c r="K207" s="187" t="s">
        <v>2410</v>
      </c>
    </row>
    <row r="208" spans="1:11" ht="112" customHeight="1" x14ac:dyDescent="0.35">
      <c r="A208" s="190"/>
      <c r="B208" s="189" t="str">
        <f>HYPERLINK("[.\]'Climate A-B'!$R$27","W/m2")</f>
        <v>W/m2</v>
      </c>
      <c r="C208" s="170" t="s">
        <v>2416</v>
      </c>
      <c r="D208" s="170" t="s">
        <v>2447</v>
      </c>
      <c r="E208" s="171"/>
      <c r="F208" s="169">
        <v>-1.555513E-4</v>
      </c>
      <c r="G208" s="169">
        <v>-2.7116170000000001E-5</v>
      </c>
      <c r="H208" s="169">
        <v>0</v>
      </c>
      <c r="I208" s="169">
        <v>-5.8368149999999998E-5</v>
      </c>
      <c r="J208" s="169">
        <v>-1.000231E-5</v>
      </c>
      <c r="K208" s="187" t="s">
        <v>2410</v>
      </c>
    </row>
    <row r="209" spans="1:11" ht="112" customHeight="1" x14ac:dyDescent="0.35">
      <c r="A209" s="190"/>
      <c r="B209" s="189" t="str">
        <f>HYPERLINK("[.\]'Climate A-B'!$S$27","W/m2")</f>
        <v>W/m2</v>
      </c>
      <c r="C209" s="170" t="s">
        <v>2416</v>
      </c>
      <c r="D209" s="170" t="s">
        <v>2446</v>
      </c>
      <c r="E209" s="171"/>
      <c r="F209" s="169">
        <v>-1.568699E-4</v>
      </c>
      <c r="G209" s="169">
        <v>-3.4206650000000002E-5</v>
      </c>
      <c r="H209" s="169">
        <v>0</v>
      </c>
      <c r="I209" s="169">
        <v>-7.1781850000000001E-5</v>
      </c>
      <c r="J209" s="169">
        <v>-1.253441E-5</v>
      </c>
      <c r="K209" s="187" t="s">
        <v>2410</v>
      </c>
    </row>
    <row r="210" spans="1:11" ht="112" customHeight="1" x14ac:dyDescent="0.35">
      <c r="A210" s="190"/>
      <c r="B210" s="189" t="str">
        <f>HYPERLINK("[.\]'Climate A-B'!$T$27","W/m2")</f>
        <v>W/m2</v>
      </c>
      <c r="C210" s="170" t="s">
        <v>2416</v>
      </c>
      <c r="D210" s="170" t="s">
        <v>2445</v>
      </c>
      <c r="E210" s="171"/>
      <c r="F210" s="169">
        <v>-1.574034E-4</v>
      </c>
      <c r="G210" s="169">
        <v>-3.7250460000000002E-5</v>
      </c>
      <c r="H210" s="169">
        <v>0</v>
      </c>
      <c r="I210" s="169">
        <v>-7.6943369999999997E-5</v>
      </c>
      <c r="J210" s="169">
        <v>-1.256445E-5</v>
      </c>
      <c r="K210" s="187" t="s">
        <v>2410</v>
      </c>
    </row>
    <row r="211" spans="1:11" ht="112" customHeight="1" x14ac:dyDescent="0.35">
      <c r="A211" s="190"/>
      <c r="B211" s="189" t="str">
        <f>HYPERLINK("[.\]'Climate A-B'!$U$27","W/m2")</f>
        <v>W/m2</v>
      </c>
      <c r="C211" s="170" t="s">
        <v>2416</v>
      </c>
      <c r="D211" s="170" t="s">
        <v>2444</v>
      </c>
      <c r="E211" s="171"/>
      <c r="F211" s="169">
        <v>-1.4661899999999999E-4</v>
      </c>
      <c r="G211" s="169">
        <v>-3.7433430000000002E-5</v>
      </c>
      <c r="H211" s="169">
        <v>0</v>
      </c>
      <c r="I211" s="169">
        <v>-7.6731449999999999E-5</v>
      </c>
      <c r="J211" s="169">
        <v>-1.0091970000000001E-5</v>
      </c>
      <c r="K211" s="187" t="s">
        <v>2410</v>
      </c>
    </row>
    <row r="212" spans="1:11" ht="112" customHeight="1" x14ac:dyDescent="0.35">
      <c r="A212" s="190"/>
      <c r="B212" s="189" t="str">
        <f>HYPERLINK("[.\]'Climate A-B'!$V$27","W/m2")</f>
        <v>W/m2</v>
      </c>
      <c r="C212" s="170" t="s">
        <v>2416</v>
      </c>
      <c r="D212" s="170" t="s">
        <v>2443</v>
      </c>
      <c r="E212" s="171"/>
      <c r="F212" s="169">
        <v>-1.3429960000000001E-4</v>
      </c>
      <c r="G212" s="169">
        <v>-3.3610299999999999E-5</v>
      </c>
      <c r="H212" s="169">
        <v>0</v>
      </c>
      <c r="I212" s="169">
        <v>-6.8062749999999998E-5</v>
      </c>
      <c r="J212" s="169">
        <v>0</v>
      </c>
      <c r="K212" s="187" t="s">
        <v>2410</v>
      </c>
    </row>
    <row r="213" spans="1:11" ht="112" customHeight="1" x14ac:dyDescent="0.35">
      <c r="A213" s="190"/>
      <c r="B213" s="189" t="str">
        <f>HYPERLINK("[.\]'Climate A-B'!$W$27","W/m2")</f>
        <v>W/m2</v>
      </c>
      <c r="C213" s="170" t="s">
        <v>2416</v>
      </c>
      <c r="D213" s="170" t="s">
        <v>2442</v>
      </c>
      <c r="E213" s="171"/>
      <c r="F213" s="169">
        <v>-1.059876E-4</v>
      </c>
      <c r="G213" s="169">
        <v>-2.6410950000000002E-5</v>
      </c>
      <c r="H213" s="169">
        <v>0</v>
      </c>
      <c r="I213" s="169">
        <v>-5.3667659999999998E-5</v>
      </c>
      <c r="J213" s="169">
        <v>0</v>
      </c>
      <c r="K213" s="187" t="s">
        <v>2410</v>
      </c>
    </row>
    <row r="214" spans="1:11" ht="112" customHeight="1" x14ac:dyDescent="0.35">
      <c r="A214" s="201"/>
      <c r="B214" s="200" t="str">
        <f>HYPERLINK("[.\]'Climate A-B'!$X$27","W/m2")</f>
        <v>W/m2</v>
      </c>
      <c r="C214" s="199" t="s">
        <v>2416</v>
      </c>
      <c r="D214" s="199" t="s">
        <v>2441</v>
      </c>
      <c r="E214" s="198"/>
      <c r="F214" s="204">
        <v>-4.7770659999999997E-5</v>
      </c>
      <c r="G214" s="204">
        <v>-1.0998950000000001E-5</v>
      </c>
      <c r="H214" s="204">
        <v>0</v>
      </c>
      <c r="I214" s="204">
        <v>-2.4050960000000001E-5</v>
      </c>
      <c r="J214" s="204">
        <v>0</v>
      </c>
      <c r="K214" s="196" t="s">
        <v>2410</v>
      </c>
    </row>
    <row r="215" spans="1:11" ht="14" customHeight="1" x14ac:dyDescent="0.35">
      <c r="A215" s="195" t="s">
        <v>2451</v>
      </c>
      <c r="B215" s="194"/>
      <c r="C215" s="194"/>
      <c r="D215" s="194"/>
      <c r="E215" s="194"/>
      <c r="F215" s="194"/>
      <c r="G215" s="194"/>
      <c r="H215" s="194"/>
      <c r="I215" s="194"/>
      <c r="J215" s="194"/>
      <c r="K215" s="194"/>
    </row>
    <row r="216" spans="1:11" ht="112" customHeight="1" x14ac:dyDescent="0.35">
      <c r="A216" s="193"/>
      <c r="B216" s="192" t="str">
        <f>HYPERLINK("[.\]'Climate A'!$O$27","W/m2")</f>
        <v>W/m2</v>
      </c>
      <c r="C216" s="180" t="s">
        <v>2429</v>
      </c>
      <c r="D216" s="180" t="s">
        <v>2450</v>
      </c>
      <c r="E216" s="181"/>
      <c r="F216" s="205">
        <v>1.7245330000000001</v>
      </c>
      <c r="G216" s="205">
        <v>1.804503</v>
      </c>
      <c r="H216" s="205">
        <v>1.8759159999999999</v>
      </c>
      <c r="I216" s="205">
        <v>1.766923</v>
      </c>
      <c r="J216" s="205">
        <v>1.840384</v>
      </c>
      <c r="K216" s="179" t="s">
        <v>2410</v>
      </c>
    </row>
    <row r="217" spans="1:11" ht="112" customHeight="1" x14ac:dyDescent="0.35">
      <c r="A217" s="190"/>
      <c r="B217" s="189" t="str">
        <f>HYPERLINK("[.\]'Climate A'!$P$27","W/m2")</f>
        <v>W/m2</v>
      </c>
      <c r="C217" s="170" t="s">
        <v>2429</v>
      </c>
      <c r="D217" s="170" t="s">
        <v>2449</v>
      </c>
      <c r="E217" s="171"/>
      <c r="F217" s="169">
        <v>1.931354</v>
      </c>
      <c r="G217" s="169">
        <v>2.111405</v>
      </c>
      <c r="H217" s="169">
        <v>2.600314</v>
      </c>
      <c r="I217" s="169">
        <v>2.0215879999999999</v>
      </c>
      <c r="J217" s="169">
        <v>2.2169219999999998</v>
      </c>
      <c r="K217" s="187" t="s">
        <v>2410</v>
      </c>
    </row>
    <row r="218" spans="1:11" ht="112" customHeight="1" x14ac:dyDescent="0.35">
      <c r="A218" s="190"/>
      <c r="B218" s="189" t="str">
        <f>HYPERLINK("[.\]'Climate A'!$Q$27","W/m2")</f>
        <v>W/m2</v>
      </c>
      <c r="C218" s="170" t="s">
        <v>2429</v>
      </c>
      <c r="D218" s="170" t="s">
        <v>2448</v>
      </c>
      <c r="E218" s="171"/>
      <c r="F218" s="169">
        <v>2.1149849999999999</v>
      </c>
      <c r="G218" s="169">
        <v>2.3917079999999999</v>
      </c>
      <c r="H218" s="169">
        <v>3.0804480000000001</v>
      </c>
      <c r="I218" s="169">
        <v>2.2461340000000001</v>
      </c>
      <c r="J218" s="169">
        <v>2.5835240000000002</v>
      </c>
      <c r="K218" s="187" t="s">
        <v>2410</v>
      </c>
    </row>
    <row r="219" spans="1:11" ht="112" customHeight="1" x14ac:dyDescent="0.35">
      <c r="A219" s="190"/>
      <c r="B219" s="189" t="str">
        <f>HYPERLINK("[.\]'Climate A'!$R$27","W/m2")</f>
        <v>W/m2</v>
      </c>
      <c r="C219" s="170" t="s">
        <v>2429</v>
      </c>
      <c r="D219" s="170" t="s">
        <v>2447</v>
      </c>
      <c r="E219" s="171"/>
      <c r="F219" s="169">
        <v>2.2500520000000002</v>
      </c>
      <c r="G219" s="169">
        <v>2.6239560000000002</v>
      </c>
      <c r="H219" s="169">
        <v>3.4681090000000001</v>
      </c>
      <c r="I219" s="169">
        <v>2.4233500000000001</v>
      </c>
      <c r="J219" s="169">
        <v>2.9074239999999998</v>
      </c>
      <c r="K219" s="187" t="s">
        <v>2410</v>
      </c>
    </row>
    <row r="220" spans="1:11" ht="112" customHeight="1" x14ac:dyDescent="0.35">
      <c r="A220" s="190"/>
      <c r="B220" s="189" t="str">
        <f>HYPERLINK("[.\]'Climate A'!$S$27","W/m2")</f>
        <v>W/m2</v>
      </c>
      <c r="C220" s="170" t="s">
        <v>2429</v>
      </c>
      <c r="D220" s="170" t="s">
        <v>2446</v>
      </c>
      <c r="E220" s="171"/>
      <c r="F220" s="169">
        <v>2.3200959999999999</v>
      </c>
      <c r="G220" s="169">
        <v>2.7879239999999998</v>
      </c>
      <c r="H220" s="169">
        <v>3.829358</v>
      </c>
      <c r="I220" s="169">
        <v>2.5351219999999999</v>
      </c>
      <c r="J220" s="169">
        <v>3.1596679999999999</v>
      </c>
      <c r="K220" s="187" t="s">
        <v>2410</v>
      </c>
    </row>
    <row r="221" spans="1:11" ht="112" customHeight="1" x14ac:dyDescent="0.35">
      <c r="A221" s="190"/>
      <c r="B221" s="189" t="str">
        <f>HYPERLINK("[.\]'Climate A'!$T$27","W/m2")</f>
        <v>W/m2</v>
      </c>
      <c r="C221" s="170" t="s">
        <v>2429</v>
      </c>
      <c r="D221" s="170" t="s">
        <v>2445</v>
      </c>
      <c r="E221" s="171"/>
      <c r="F221" s="169">
        <v>2.3340139999999998</v>
      </c>
      <c r="G221" s="169">
        <v>2.8786879999999999</v>
      </c>
      <c r="H221" s="169">
        <v>3.9287079999999999</v>
      </c>
      <c r="I221" s="169">
        <v>2.5829119999999999</v>
      </c>
      <c r="J221" s="169">
        <v>3.3129400000000002</v>
      </c>
      <c r="K221" s="187" t="s">
        <v>2410</v>
      </c>
    </row>
    <row r="222" spans="1:11" ht="112" customHeight="1" x14ac:dyDescent="0.35">
      <c r="A222" s="190"/>
      <c r="B222" s="189" t="str">
        <f>HYPERLINK("[.\]'Climate A'!$U$27","W/m2")</f>
        <v>W/m2</v>
      </c>
      <c r="C222" s="170" t="s">
        <v>2429</v>
      </c>
      <c r="D222" s="170" t="s">
        <v>2444</v>
      </c>
      <c r="E222" s="171"/>
      <c r="F222" s="169">
        <v>2.282905</v>
      </c>
      <c r="G222" s="169">
        <v>2.9142039999999998</v>
      </c>
      <c r="H222" s="169">
        <v>3.9692120000000002</v>
      </c>
      <c r="I222" s="169">
        <v>2.571253</v>
      </c>
      <c r="J222" s="169">
        <v>3.3920089999999998</v>
      </c>
      <c r="K222" s="187" t="s">
        <v>2410</v>
      </c>
    </row>
    <row r="223" spans="1:11" ht="112" customHeight="1" x14ac:dyDescent="0.35">
      <c r="A223" s="190"/>
      <c r="B223" s="189" t="str">
        <f>HYPERLINK("[.\]'Climate A'!$V$27","W/m2")</f>
        <v>W/m2</v>
      </c>
      <c r="C223" s="170" t="s">
        <v>2429</v>
      </c>
      <c r="D223" s="170" t="s">
        <v>2443</v>
      </c>
      <c r="E223" s="171"/>
      <c r="F223" s="169">
        <v>2.232971</v>
      </c>
      <c r="G223" s="169">
        <v>2.937846</v>
      </c>
      <c r="H223" s="169">
        <v>4.1773420000000003</v>
      </c>
      <c r="I223" s="169">
        <v>2.5514839999999999</v>
      </c>
      <c r="J223" s="169">
        <v>3.4497070000000001</v>
      </c>
      <c r="K223" s="187" t="s">
        <v>2410</v>
      </c>
    </row>
    <row r="224" spans="1:11" ht="112" customHeight="1" x14ac:dyDescent="0.35">
      <c r="A224" s="190"/>
      <c r="B224" s="189" t="str">
        <f>HYPERLINK("[.\]'Climate A'!$W$27","W/m2")</f>
        <v>W/m2</v>
      </c>
      <c r="C224" s="170" t="s">
        <v>2429</v>
      </c>
      <c r="D224" s="170" t="s">
        <v>2442</v>
      </c>
      <c r="E224" s="171"/>
      <c r="F224" s="169">
        <v>2.1762069999999998</v>
      </c>
      <c r="G224" s="169">
        <v>3.002542</v>
      </c>
      <c r="H224" s="169">
        <v>4.3433310000000001</v>
      </c>
      <c r="I224" s="169">
        <v>2.5499589999999999</v>
      </c>
      <c r="J224" s="169">
        <v>3.561582</v>
      </c>
      <c r="K224" s="187" t="s">
        <v>2410</v>
      </c>
    </row>
    <row r="225" spans="1:11" ht="112" customHeight="1" x14ac:dyDescent="0.35">
      <c r="A225" s="201"/>
      <c r="B225" s="200" t="str">
        <f>HYPERLINK("[.\]'Climate A'!$X$27","W/m2")</f>
        <v>W/m2</v>
      </c>
      <c r="C225" s="199" t="s">
        <v>2429</v>
      </c>
      <c r="D225" s="199" t="s">
        <v>2441</v>
      </c>
      <c r="E225" s="198"/>
      <c r="F225" s="204">
        <v>2.3823099999999999</v>
      </c>
      <c r="G225" s="204">
        <v>3.2892199999999998</v>
      </c>
      <c r="H225" s="204">
        <v>4.5746929999999999</v>
      </c>
      <c r="I225" s="204">
        <v>2.7975140000000001</v>
      </c>
      <c r="J225" s="204">
        <v>3.8725399999999999</v>
      </c>
      <c r="K225" s="196" t="s">
        <v>2410</v>
      </c>
    </row>
    <row r="226" spans="1:11" ht="14" customHeight="1" x14ac:dyDescent="0.35">
      <c r="A226" s="195" t="s">
        <v>2440</v>
      </c>
      <c r="B226" s="194"/>
      <c r="C226" s="194"/>
      <c r="D226" s="194"/>
      <c r="E226" s="194"/>
      <c r="F226" s="194"/>
      <c r="G226" s="194"/>
      <c r="H226" s="194"/>
      <c r="I226" s="194"/>
      <c r="J226" s="194"/>
      <c r="K226" s="194"/>
    </row>
    <row r="227" spans="1:11" ht="112" customHeight="1" x14ac:dyDescent="0.35">
      <c r="A227" s="193"/>
      <c r="B227" s="192" t="str">
        <f>HYPERLINK("[.\]'Impacts A-B'!$D$108","Discontinuity Difference 2020")</f>
        <v>Discontinuity Difference 2020</v>
      </c>
      <c r="C227" s="180" t="s">
        <v>2412</v>
      </c>
      <c r="D227" s="180" t="s">
        <v>2439</v>
      </c>
      <c r="E227" s="181"/>
      <c r="F227" s="203">
        <v>0</v>
      </c>
      <c r="G227" s="203">
        <v>0</v>
      </c>
      <c r="H227" s="203">
        <v>0</v>
      </c>
      <c r="I227" s="203">
        <v>0</v>
      </c>
      <c r="J227" s="203">
        <v>0</v>
      </c>
      <c r="K227" s="179" t="s">
        <v>2410</v>
      </c>
    </row>
    <row r="228" spans="1:11" ht="112" customHeight="1" x14ac:dyDescent="0.35">
      <c r="A228" s="190"/>
      <c r="B228" s="189" t="str">
        <f>HYPERLINK("[.\]'Impacts A-B'!$E$108","Discontinuity Difference 2030")</f>
        <v>Discontinuity Difference 2030</v>
      </c>
      <c r="C228" s="170" t="s">
        <v>2412</v>
      </c>
      <c r="D228" s="170" t="s">
        <v>2438</v>
      </c>
      <c r="E228" s="171"/>
      <c r="F228" s="202">
        <v>0</v>
      </c>
      <c r="G228" s="202">
        <v>0</v>
      </c>
      <c r="H228" s="202">
        <v>0</v>
      </c>
      <c r="I228" s="202">
        <v>0</v>
      </c>
      <c r="J228" s="202">
        <v>0</v>
      </c>
      <c r="K228" s="187" t="s">
        <v>2410</v>
      </c>
    </row>
    <row r="229" spans="1:11" ht="112" customHeight="1" x14ac:dyDescent="0.35">
      <c r="A229" s="190"/>
      <c r="B229" s="189" t="str">
        <f>HYPERLINK("[.\]'Impacts A-B'!$F$108","Discontinuity Difference 2040")</f>
        <v>Discontinuity Difference 2040</v>
      </c>
      <c r="C229" s="170" t="s">
        <v>2412</v>
      </c>
      <c r="D229" s="170" t="s">
        <v>2437</v>
      </c>
      <c r="E229" s="171"/>
      <c r="F229" s="202">
        <v>0</v>
      </c>
      <c r="G229" s="202">
        <v>0</v>
      </c>
      <c r="H229" s="202">
        <v>0</v>
      </c>
      <c r="I229" s="202">
        <v>0</v>
      </c>
      <c r="J229" s="202">
        <v>0</v>
      </c>
      <c r="K229" s="187" t="s">
        <v>2410</v>
      </c>
    </row>
    <row r="230" spans="1:11" ht="112" customHeight="1" x14ac:dyDescent="0.35">
      <c r="A230" s="190"/>
      <c r="B230" s="189" t="str">
        <f>HYPERLINK("[.\]'Impacts A-B'!$G$108","Discontinuity Difference 2050")</f>
        <v>Discontinuity Difference 2050</v>
      </c>
      <c r="C230" s="170" t="s">
        <v>2412</v>
      </c>
      <c r="D230" s="170" t="s">
        <v>2436</v>
      </c>
      <c r="E230" s="171"/>
      <c r="F230" s="202">
        <v>0</v>
      </c>
      <c r="G230" s="202">
        <v>0</v>
      </c>
      <c r="H230" s="202">
        <v>0</v>
      </c>
      <c r="I230" s="202">
        <v>0</v>
      </c>
      <c r="J230" s="202">
        <v>0</v>
      </c>
      <c r="K230" s="187" t="s">
        <v>2410</v>
      </c>
    </row>
    <row r="231" spans="1:11" ht="112" customHeight="1" x14ac:dyDescent="0.35">
      <c r="A231" s="190"/>
      <c r="B231" s="189" t="str">
        <f>HYPERLINK("[.\]'Impacts A-B'!$H$108","Discontinuity Difference 2060")</f>
        <v>Discontinuity Difference 2060</v>
      </c>
      <c r="C231" s="170" t="s">
        <v>2412</v>
      </c>
      <c r="D231" s="170" t="s">
        <v>2435</v>
      </c>
      <c r="E231" s="171"/>
      <c r="F231" s="202">
        <v>0</v>
      </c>
      <c r="G231" s="202">
        <v>0</v>
      </c>
      <c r="H231" s="202">
        <v>0</v>
      </c>
      <c r="I231" s="202">
        <v>0</v>
      </c>
      <c r="J231" s="202">
        <v>0</v>
      </c>
      <c r="K231" s="187" t="s">
        <v>2410</v>
      </c>
    </row>
    <row r="232" spans="1:11" ht="112" customHeight="1" x14ac:dyDescent="0.35">
      <c r="A232" s="190"/>
      <c r="B232" s="189" t="str">
        <f>HYPERLINK("[.\]'Impacts A-B'!$I$108","Discontinuity Difference 2080")</f>
        <v>Discontinuity Difference 2080</v>
      </c>
      <c r="C232" s="170" t="s">
        <v>2412</v>
      </c>
      <c r="D232" s="170" t="s">
        <v>2434</v>
      </c>
      <c r="E232" s="171"/>
      <c r="F232" s="202">
        <v>0</v>
      </c>
      <c r="G232" s="202">
        <v>0</v>
      </c>
      <c r="H232" s="202">
        <v>0</v>
      </c>
      <c r="I232" s="202">
        <v>0</v>
      </c>
      <c r="J232" s="202">
        <v>0</v>
      </c>
      <c r="K232" s="187" t="s">
        <v>2410</v>
      </c>
    </row>
    <row r="233" spans="1:11" ht="112" customHeight="1" x14ac:dyDescent="0.35">
      <c r="A233" s="190"/>
      <c r="B233" s="189" t="str">
        <f>HYPERLINK("[.\]'Impacts A-B'!$J$108","Discontinuity Difference 2100")</f>
        <v>Discontinuity Difference 2100</v>
      </c>
      <c r="C233" s="170" t="s">
        <v>2412</v>
      </c>
      <c r="D233" s="170" t="s">
        <v>2433</v>
      </c>
      <c r="E233" s="171"/>
      <c r="F233" s="202">
        <v>0</v>
      </c>
      <c r="G233" s="202">
        <v>0</v>
      </c>
      <c r="H233" s="202">
        <v>0</v>
      </c>
      <c r="I233" s="202">
        <v>0</v>
      </c>
      <c r="J233" s="202">
        <v>0</v>
      </c>
      <c r="K233" s="187" t="s">
        <v>2410</v>
      </c>
    </row>
    <row r="234" spans="1:11" ht="112" customHeight="1" x14ac:dyDescent="0.35">
      <c r="A234" s="190"/>
      <c r="B234" s="189" t="str">
        <f>HYPERLINK("[.\]'Impacts A-B'!$K$108","Discontinuity Difference 2200")</f>
        <v>Discontinuity Difference 2200</v>
      </c>
      <c r="C234" s="170" t="s">
        <v>2412</v>
      </c>
      <c r="D234" s="170" t="s">
        <v>2432</v>
      </c>
      <c r="E234" s="171"/>
      <c r="F234" s="202">
        <v>0</v>
      </c>
      <c r="G234" s="202">
        <v>0</v>
      </c>
      <c r="H234" s="202">
        <v>0</v>
      </c>
      <c r="I234" s="202">
        <v>0</v>
      </c>
      <c r="J234" s="202">
        <v>0</v>
      </c>
      <c r="K234" s="187" t="s">
        <v>2410</v>
      </c>
    </row>
    <row r="235" spans="1:11" ht="112" customHeight="1" x14ac:dyDescent="0.35">
      <c r="A235" s="201"/>
      <c r="B235" s="200" t="str">
        <f>HYPERLINK("[.\]'Impacts A-B'!$L$108","Discontinuity Difference 2300")</f>
        <v>Discontinuity Difference 2300</v>
      </c>
      <c r="C235" s="199" t="s">
        <v>2412</v>
      </c>
      <c r="D235" s="199" t="s">
        <v>2431</v>
      </c>
      <c r="E235" s="198"/>
      <c r="F235" s="197">
        <v>0</v>
      </c>
      <c r="G235" s="197">
        <v>0</v>
      </c>
      <c r="H235" s="197">
        <v>0</v>
      </c>
      <c r="I235" s="197">
        <v>0</v>
      </c>
      <c r="J235" s="197">
        <v>0</v>
      </c>
      <c r="K235" s="196" t="s">
        <v>2410</v>
      </c>
    </row>
    <row r="236" spans="1:11" ht="14" customHeight="1" x14ac:dyDescent="0.35">
      <c r="A236" s="195" t="s">
        <v>2430</v>
      </c>
      <c r="B236" s="194"/>
      <c r="C236" s="194"/>
      <c r="D236" s="194"/>
      <c r="E236" s="194"/>
      <c r="F236" s="194"/>
      <c r="G236" s="194"/>
      <c r="H236" s="194"/>
      <c r="I236" s="194"/>
      <c r="J236" s="194"/>
      <c r="K236" s="194"/>
    </row>
    <row r="237" spans="1:11" ht="112" customHeight="1" x14ac:dyDescent="0.35">
      <c r="A237" s="193"/>
      <c r="B237" s="192" t="str">
        <f>HYPERLINK("[.\]'Climate A'!$O$26","ppb")</f>
        <v>ppb</v>
      </c>
      <c r="C237" s="180" t="s">
        <v>2429</v>
      </c>
      <c r="D237" s="180" t="s">
        <v>2425</v>
      </c>
      <c r="E237" s="181"/>
      <c r="F237" s="203">
        <v>382.72239999999999</v>
      </c>
      <c r="G237" s="203">
        <v>388.33109999999999</v>
      </c>
      <c r="H237" s="203">
        <v>393.40289999999999</v>
      </c>
      <c r="I237" s="203">
        <v>385.68360000000001</v>
      </c>
      <c r="J237" s="203">
        <v>390.86950000000002</v>
      </c>
      <c r="K237" s="179" t="s">
        <v>2410</v>
      </c>
    </row>
    <row r="238" spans="1:11" ht="112" customHeight="1" x14ac:dyDescent="0.35">
      <c r="A238" s="190"/>
      <c r="B238" s="189" t="str">
        <f>HYPERLINK("[.\]'Climate A'!$P$26","ppb")</f>
        <v>ppb</v>
      </c>
      <c r="C238" s="170" t="s">
        <v>2429</v>
      </c>
      <c r="D238" s="170" t="s">
        <v>2424</v>
      </c>
      <c r="E238" s="171"/>
      <c r="F238" s="202">
        <v>397.38830000000002</v>
      </c>
      <c r="G238" s="202">
        <v>410.6388</v>
      </c>
      <c r="H238" s="202">
        <v>448.78449999999998</v>
      </c>
      <c r="I238" s="202">
        <v>403.96170000000001</v>
      </c>
      <c r="J238" s="202">
        <v>418.56630000000001</v>
      </c>
      <c r="K238" s="187" t="s">
        <v>2410</v>
      </c>
    </row>
    <row r="239" spans="1:11" ht="112" customHeight="1" x14ac:dyDescent="0.35">
      <c r="A239" s="190"/>
      <c r="B239" s="189" t="str">
        <f>HYPERLINK("[.\]'Climate A'!$Q$26","ppb")</f>
        <v>ppb</v>
      </c>
      <c r="C239" s="170" t="s">
        <v>2429</v>
      </c>
      <c r="D239" s="170" t="s">
        <v>2423</v>
      </c>
      <c r="E239" s="171"/>
      <c r="F239" s="202">
        <v>410.88</v>
      </c>
      <c r="G239" s="202">
        <v>432.16489999999999</v>
      </c>
      <c r="H239" s="202">
        <v>489.72300000000001</v>
      </c>
      <c r="I239" s="202">
        <v>420.7953</v>
      </c>
      <c r="J239" s="202">
        <v>447.41660000000002</v>
      </c>
      <c r="K239" s="187" t="s">
        <v>2410</v>
      </c>
    </row>
    <row r="240" spans="1:11" ht="112" customHeight="1" x14ac:dyDescent="0.35">
      <c r="A240" s="190"/>
      <c r="B240" s="189" t="str">
        <f>HYPERLINK("[.\]'Climate A'!$R$26","ppb")</f>
        <v>ppb</v>
      </c>
      <c r="C240" s="170" t="s">
        <v>2429</v>
      </c>
      <c r="D240" s="170" t="s">
        <v>2422</v>
      </c>
      <c r="E240" s="171"/>
      <c r="F240" s="202">
        <v>421.09519999999998</v>
      </c>
      <c r="G240" s="202">
        <v>450.89269999999999</v>
      </c>
      <c r="H240" s="202">
        <v>525.48609999999996</v>
      </c>
      <c r="I240" s="202">
        <v>434.57459999999998</v>
      </c>
      <c r="J240" s="202">
        <v>474.55669999999998</v>
      </c>
      <c r="K240" s="187" t="s">
        <v>2410</v>
      </c>
    </row>
    <row r="241" spans="1:11" ht="112" customHeight="1" x14ac:dyDescent="0.35">
      <c r="A241" s="190"/>
      <c r="B241" s="189" t="str">
        <f>HYPERLINK("[.\]'Climate A'!$S$26","ppb")</f>
        <v>ppb</v>
      </c>
      <c r="C241" s="170" t="s">
        <v>2429</v>
      </c>
      <c r="D241" s="170" t="s">
        <v>2421</v>
      </c>
      <c r="E241" s="171"/>
      <c r="F241" s="202">
        <v>426.49220000000003</v>
      </c>
      <c r="G241" s="202">
        <v>464.6463</v>
      </c>
      <c r="H241" s="202">
        <v>561.15970000000004</v>
      </c>
      <c r="I241" s="202">
        <v>443.49650000000003</v>
      </c>
      <c r="J241" s="202">
        <v>496.8279</v>
      </c>
      <c r="K241" s="187" t="s">
        <v>2410</v>
      </c>
    </row>
    <row r="242" spans="1:11" ht="112" customHeight="1" x14ac:dyDescent="0.35">
      <c r="A242" s="190"/>
      <c r="B242" s="189" t="str">
        <f>HYPERLINK("[.\]'Climate A'!$T$26","ppb")</f>
        <v>ppb</v>
      </c>
      <c r="C242" s="170" t="s">
        <v>2429</v>
      </c>
      <c r="D242" s="170" t="s">
        <v>2420</v>
      </c>
      <c r="E242" s="171"/>
      <c r="F242" s="202">
        <v>427.5729</v>
      </c>
      <c r="G242" s="202">
        <v>472.47309999999999</v>
      </c>
      <c r="H242" s="202">
        <v>571.38840000000005</v>
      </c>
      <c r="I242" s="202">
        <v>447.36680000000001</v>
      </c>
      <c r="J242" s="202">
        <v>510.86799999999999</v>
      </c>
      <c r="K242" s="187" t="s">
        <v>2410</v>
      </c>
    </row>
    <row r="243" spans="1:11" ht="112" customHeight="1" x14ac:dyDescent="0.35">
      <c r="A243" s="190"/>
      <c r="B243" s="189" t="str">
        <f>HYPERLINK("[.\]'Climate A'!$U$26","ppb")</f>
        <v>ppb</v>
      </c>
      <c r="C243" s="170" t="s">
        <v>2429</v>
      </c>
      <c r="D243" s="170" t="s">
        <v>2419</v>
      </c>
      <c r="E243" s="171"/>
      <c r="F243" s="202">
        <v>423.61799999999999</v>
      </c>
      <c r="G243" s="202">
        <v>475.62970000000001</v>
      </c>
      <c r="H243" s="202">
        <v>575.61180000000002</v>
      </c>
      <c r="I243" s="202">
        <v>446.41950000000003</v>
      </c>
      <c r="J243" s="202">
        <v>518.2654</v>
      </c>
      <c r="K243" s="187" t="s">
        <v>2410</v>
      </c>
    </row>
    <row r="244" spans="1:11" ht="112" customHeight="1" x14ac:dyDescent="0.35">
      <c r="A244" s="190"/>
      <c r="B244" s="189" t="str">
        <f>HYPERLINK("[.\]'Climate A'!$V$26","ppb")</f>
        <v>ppb</v>
      </c>
      <c r="C244" s="170" t="s">
        <v>2429</v>
      </c>
      <c r="D244" s="170" t="s">
        <v>2418</v>
      </c>
      <c r="E244" s="171"/>
      <c r="F244" s="202">
        <v>419.7894</v>
      </c>
      <c r="G244" s="202">
        <v>477.77690000000001</v>
      </c>
      <c r="H244" s="202">
        <v>597.81140000000005</v>
      </c>
      <c r="I244" s="202">
        <v>444.81779999999998</v>
      </c>
      <c r="J244" s="202">
        <v>523.73090000000002</v>
      </c>
      <c r="K244" s="187" t="s">
        <v>2410</v>
      </c>
    </row>
    <row r="245" spans="1:11" ht="112" customHeight="1" x14ac:dyDescent="0.35">
      <c r="A245" s="190"/>
      <c r="B245" s="189" t="str">
        <f>HYPERLINK("[.\]'Climate A'!$W$26","ppb")</f>
        <v>ppb</v>
      </c>
      <c r="C245" s="170" t="s">
        <v>2429</v>
      </c>
      <c r="D245" s="170" t="s">
        <v>2417</v>
      </c>
      <c r="E245" s="171"/>
      <c r="F245" s="202">
        <v>415.47919999999999</v>
      </c>
      <c r="G245" s="202">
        <v>483.5899</v>
      </c>
      <c r="H245" s="202">
        <v>616.12819999999999</v>
      </c>
      <c r="I245" s="202">
        <v>444.69450000000001</v>
      </c>
      <c r="J245" s="202">
        <v>534.49310000000003</v>
      </c>
      <c r="K245" s="187" t="s">
        <v>2410</v>
      </c>
    </row>
    <row r="246" spans="1:11" ht="112" customHeight="1" x14ac:dyDescent="0.35">
      <c r="A246" s="201"/>
      <c r="B246" s="200" t="str">
        <f>HYPERLINK("[.\]'Climate A'!$X$26","ppb")</f>
        <v>ppb</v>
      </c>
      <c r="C246" s="199" t="s">
        <v>2429</v>
      </c>
      <c r="D246" s="199" t="s">
        <v>2415</v>
      </c>
      <c r="E246" s="198"/>
      <c r="F246" s="197">
        <v>431.34390000000002</v>
      </c>
      <c r="G246" s="197">
        <v>509.58159999999998</v>
      </c>
      <c r="H246" s="197">
        <v>642.59900000000005</v>
      </c>
      <c r="I246" s="197">
        <v>465.16750000000002</v>
      </c>
      <c r="J246" s="197">
        <v>565.58280000000002</v>
      </c>
      <c r="K246" s="196" t="s">
        <v>2410</v>
      </c>
    </row>
    <row r="247" spans="1:11" ht="14" customHeight="1" x14ac:dyDescent="0.35">
      <c r="A247" s="195" t="s">
        <v>2428</v>
      </c>
      <c r="B247" s="194"/>
      <c r="C247" s="194"/>
      <c r="D247" s="194"/>
      <c r="E247" s="194"/>
      <c r="F247" s="194"/>
      <c r="G247" s="194"/>
      <c r="H247" s="194"/>
      <c r="I247" s="194"/>
      <c r="J247" s="194"/>
      <c r="K247" s="194"/>
    </row>
    <row r="248" spans="1:11" ht="112" customHeight="1" x14ac:dyDescent="0.35">
      <c r="A248" s="193"/>
      <c r="B248" s="192" t="str">
        <f>HYPERLINK("[.\]'Climate B'!$O$26","ppb")</f>
        <v>ppb</v>
      </c>
      <c r="C248" s="180" t="s">
        <v>2427</v>
      </c>
      <c r="D248" s="180" t="s">
        <v>2425</v>
      </c>
      <c r="E248" s="181"/>
      <c r="F248" s="203">
        <v>382.72239999999999</v>
      </c>
      <c r="G248" s="203">
        <v>388.33109999999999</v>
      </c>
      <c r="H248" s="203">
        <v>393.40289999999999</v>
      </c>
      <c r="I248" s="203">
        <v>385.68360000000001</v>
      </c>
      <c r="J248" s="203">
        <v>390.86950000000002</v>
      </c>
      <c r="K248" s="179" t="s">
        <v>2410</v>
      </c>
    </row>
    <row r="249" spans="1:11" ht="112" customHeight="1" x14ac:dyDescent="0.35">
      <c r="A249" s="190"/>
      <c r="B249" s="189" t="str">
        <f>HYPERLINK("[.\]'Climate B'!$P$26","ppb")</f>
        <v>ppb</v>
      </c>
      <c r="C249" s="170" t="s">
        <v>2427</v>
      </c>
      <c r="D249" s="170" t="s">
        <v>2424</v>
      </c>
      <c r="E249" s="171"/>
      <c r="F249" s="202">
        <v>397.38830000000002</v>
      </c>
      <c r="G249" s="202">
        <v>410.6388</v>
      </c>
      <c r="H249" s="202">
        <v>448.78449999999998</v>
      </c>
      <c r="I249" s="202">
        <v>403.96170000000001</v>
      </c>
      <c r="J249" s="202">
        <v>418.56630000000001</v>
      </c>
      <c r="K249" s="187" t="s">
        <v>2410</v>
      </c>
    </row>
    <row r="250" spans="1:11" ht="112" customHeight="1" x14ac:dyDescent="0.35">
      <c r="A250" s="190"/>
      <c r="B250" s="189" t="str">
        <f>HYPERLINK("[.\]'Climate B'!$Q$26","ppb")</f>
        <v>ppb</v>
      </c>
      <c r="C250" s="170" t="s">
        <v>2427</v>
      </c>
      <c r="D250" s="170" t="s">
        <v>2423</v>
      </c>
      <c r="E250" s="171"/>
      <c r="F250" s="202">
        <v>410.88029999999998</v>
      </c>
      <c r="G250" s="202">
        <v>432.16609999999997</v>
      </c>
      <c r="H250" s="202">
        <v>489.73020000000002</v>
      </c>
      <c r="I250" s="202">
        <v>420.79599999999999</v>
      </c>
      <c r="J250" s="202">
        <v>447.41809999999998</v>
      </c>
      <c r="K250" s="187" t="s">
        <v>2410</v>
      </c>
    </row>
    <row r="251" spans="1:11" ht="112" customHeight="1" x14ac:dyDescent="0.35">
      <c r="A251" s="190"/>
      <c r="B251" s="189" t="str">
        <f>HYPERLINK("[.\]'Climate B'!$R$26","ppb")</f>
        <v>ppb</v>
      </c>
      <c r="C251" s="170" t="s">
        <v>2427</v>
      </c>
      <c r="D251" s="170" t="s">
        <v>2422</v>
      </c>
      <c r="E251" s="171"/>
      <c r="F251" s="202">
        <v>421.0958</v>
      </c>
      <c r="G251" s="202">
        <v>450.89490000000001</v>
      </c>
      <c r="H251" s="202">
        <v>525.49689999999998</v>
      </c>
      <c r="I251" s="202">
        <v>434.57619999999997</v>
      </c>
      <c r="J251" s="202">
        <v>474.56139999999999</v>
      </c>
      <c r="K251" s="187" t="s">
        <v>2410</v>
      </c>
    </row>
    <row r="252" spans="1:11" ht="112" customHeight="1" x14ac:dyDescent="0.35">
      <c r="A252" s="190"/>
      <c r="B252" s="189" t="str">
        <f>HYPERLINK("[.\]'Climate B'!$S$26","ppb")</f>
        <v>ppb</v>
      </c>
      <c r="C252" s="170" t="s">
        <v>2427</v>
      </c>
      <c r="D252" s="170" t="s">
        <v>2421</v>
      </c>
      <c r="E252" s="171"/>
      <c r="F252" s="202">
        <v>426.49299999999999</v>
      </c>
      <c r="G252" s="202">
        <v>464.64929999999998</v>
      </c>
      <c r="H252" s="202">
        <v>561.15970000000004</v>
      </c>
      <c r="I252" s="202">
        <v>443.49770000000001</v>
      </c>
      <c r="J252" s="202">
        <v>496.8331</v>
      </c>
      <c r="K252" s="187" t="s">
        <v>2410</v>
      </c>
    </row>
    <row r="253" spans="1:11" ht="112" customHeight="1" x14ac:dyDescent="0.35">
      <c r="A253" s="190"/>
      <c r="B253" s="189" t="str">
        <f>HYPERLINK("[.\]'Climate B'!$T$26","ppb")</f>
        <v>ppb</v>
      </c>
      <c r="C253" s="170" t="s">
        <v>2427</v>
      </c>
      <c r="D253" s="170" t="s">
        <v>2420</v>
      </c>
      <c r="E253" s="171"/>
      <c r="F253" s="202">
        <v>427.57389999999998</v>
      </c>
      <c r="G253" s="202">
        <v>472.47629999999998</v>
      </c>
      <c r="H253" s="202">
        <v>571.38840000000005</v>
      </c>
      <c r="I253" s="202">
        <v>447.36829999999998</v>
      </c>
      <c r="J253" s="202">
        <v>510.87569999999999</v>
      </c>
      <c r="K253" s="187" t="s">
        <v>2410</v>
      </c>
    </row>
    <row r="254" spans="1:11" ht="112" customHeight="1" x14ac:dyDescent="0.35">
      <c r="A254" s="190"/>
      <c r="B254" s="189" t="str">
        <f>HYPERLINK("[.\]'Climate B'!$U$26","ppb")</f>
        <v>ppb</v>
      </c>
      <c r="C254" s="170" t="s">
        <v>2427</v>
      </c>
      <c r="D254" s="170" t="s">
        <v>2419</v>
      </c>
      <c r="E254" s="171"/>
      <c r="F254" s="202">
        <v>423.61900000000003</v>
      </c>
      <c r="G254" s="202">
        <v>475.63290000000001</v>
      </c>
      <c r="H254" s="202">
        <v>575.62379999999996</v>
      </c>
      <c r="I254" s="202">
        <v>446.42110000000002</v>
      </c>
      <c r="J254" s="202">
        <v>518.2654</v>
      </c>
      <c r="K254" s="187" t="s">
        <v>2410</v>
      </c>
    </row>
    <row r="255" spans="1:11" ht="112" customHeight="1" x14ac:dyDescent="0.35">
      <c r="A255" s="190"/>
      <c r="B255" s="189" t="str">
        <f>HYPERLINK("[.\]'Climate B'!$V$26","ppb")</f>
        <v>ppb</v>
      </c>
      <c r="C255" s="170" t="s">
        <v>2427</v>
      </c>
      <c r="D255" s="170" t="s">
        <v>2418</v>
      </c>
      <c r="E255" s="171"/>
      <c r="F255" s="202">
        <v>419.79050000000001</v>
      </c>
      <c r="G255" s="202">
        <v>477.7799</v>
      </c>
      <c r="H255" s="202">
        <v>597.82150000000001</v>
      </c>
      <c r="I255" s="202">
        <v>444.8186</v>
      </c>
      <c r="J255" s="202">
        <v>523.73090000000002</v>
      </c>
      <c r="K255" s="187" t="s">
        <v>2410</v>
      </c>
    </row>
    <row r="256" spans="1:11" ht="112" customHeight="1" x14ac:dyDescent="0.35">
      <c r="A256" s="190"/>
      <c r="B256" s="189" t="str">
        <f>HYPERLINK("[.\]'Climate B'!$W$26","ppb")</f>
        <v>ppb</v>
      </c>
      <c r="C256" s="170" t="s">
        <v>2427</v>
      </c>
      <c r="D256" s="170" t="s">
        <v>2417</v>
      </c>
      <c r="E256" s="171"/>
      <c r="F256" s="202">
        <v>415.47969999999998</v>
      </c>
      <c r="G256" s="202">
        <v>483.59230000000002</v>
      </c>
      <c r="H256" s="202">
        <v>616.12819999999999</v>
      </c>
      <c r="I256" s="202">
        <v>444.69619999999998</v>
      </c>
      <c r="J256" s="202">
        <v>534.49310000000003</v>
      </c>
      <c r="K256" s="187" t="s">
        <v>2410</v>
      </c>
    </row>
    <row r="257" spans="1:11" ht="112" customHeight="1" x14ac:dyDescent="0.35">
      <c r="A257" s="201"/>
      <c r="B257" s="200" t="str">
        <f>HYPERLINK("[.\]'Climate B'!$X$26","ppb")</f>
        <v>ppb</v>
      </c>
      <c r="C257" s="199" t="s">
        <v>2427</v>
      </c>
      <c r="D257" s="199" t="s">
        <v>2415</v>
      </c>
      <c r="E257" s="198"/>
      <c r="F257" s="197">
        <v>431.34410000000003</v>
      </c>
      <c r="G257" s="197">
        <v>509.58260000000001</v>
      </c>
      <c r="H257" s="197">
        <v>642.59900000000005</v>
      </c>
      <c r="I257" s="197">
        <v>465.16800000000001</v>
      </c>
      <c r="J257" s="197">
        <v>565.58280000000002</v>
      </c>
      <c r="K257" s="196" t="s">
        <v>2410</v>
      </c>
    </row>
    <row r="258" spans="1:11" ht="14" customHeight="1" x14ac:dyDescent="0.35">
      <c r="A258" s="195" t="s">
        <v>2426</v>
      </c>
      <c r="B258" s="194"/>
      <c r="C258" s="194"/>
      <c r="D258" s="194"/>
      <c r="E258" s="194"/>
      <c r="F258" s="194"/>
      <c r="G258" s="194"/>
      <c r="H258" s="194"/>
      <c r="I258" s="194"/>
      <c r="J258" s="194"/>
      <c r="K258" s="194"/>
    </row>
    <row r="259" spans="1:11" ht="112" customHeight="1" x14ac:dyDescent="0.35">
      <c r="A259" s="193"/>
      <c r="B259" s="192" t="str">
        <f>HYPERLINK("[.\]'Climate A-B'!$O$26","ppb")</f>
        <v>ppb</v>
      </c>
      <c r="C259" s="180" t="s">
        <v>2416</v>
      </c>
      <c r="D259" s="180" t="s">
        <v>2425</v>
      </c>
      <c r="E259" s="181"/>
      <c r="F259" s="203">
        <v>0</v>
      </c>
      <c r="G259" s="203">
        <v>0</v>
      </c>
      <c r="H259" s="203">
        <v>0</v>
      </c>
      <c r="I259" s="203">
        <v>0</v>
      </c>
      <c r="J259" s="203">
        <v>0</v>
      </c>
      <c r="K259" s="179" t="s">
        <v>2410</v>
      </c>
    </row>
    <row r="260" spans="1:11" ht="112" customHeight="1" x14ac:dyDescent="0.35">
      <c r="A260" s="190"/>
      <c r="B260" s="189" t="str">
        <f>HYPERLINK("[.\]'Climate A-B'!$P$26","ppb")</f>
        <v>ppb</v>
      </c>
      <c r="C260" s="170" t="s">
        <v>2416</v>
      </c>
      <c r="D260" s="170" t="s">
        <v>2424</v>
      </c>
      <c r="E260" s="171"/>
      <c r="F260" s="202">
        <v>0</v>
      </c>
      <c r="G260" s="202">
        <v>0</v>
      </c>
      <c r="H260" s="202">
        <v>0</v>
      </c>
      <c r="I260" s="202">
        <v>0</v>
      </c>
      <c r="J260" s="202">
        <v>0</v>
      </c>
      <c r="K260" s="187" t="s">
        <v>2410</v>
      </c>
    </row>
    <row r="261" spans="1:11" ht="112" customHeight="1" x14ac:dyDescent="0.35">
      <c r="A261" s="190"/>
      <c r="B261" s="189" t="str">
        <f>HYPERLINK("[.\]'Climate A-B'!$Q$26","ppb")</f>
        <v>ppb</v>
      </c>
      <c r="C261" s="170" t="s">
        <v>2416</v>
      </c>
      <c r="D261" s="170" t="s">
        <v>2423</v>
      </c>
      <c r="E261" s="171"/>
      <c r="F261" s="202">
        <v>-7.7985889999999999E-3</v>
      </c>
      <c r="G261" s="202">
        <v>-1.17135E-3</v>
      </c>
      <c r="H261" s="202">
        <v>0</v>
      </c>
      <c r="I261" s="202">
        <v>-2.6059669999999998E-3</v>
      </c>
      <c r="J261" s="202">
        <v>-4.1015929999999999E-4</v>
      </c>
      <c r="K261" s="187" t="s">
        <v>2410</v>
      </c>
    </row>
    <row r="262" spans="1:11" ht="112" customHeight="1" x14ac:dyDescent="0.35">
      <c r="A262" s="190"/>
      <c r="B262" s="189" t="str">
        <f>HYPERLINK("[.\]'Climate A-B'!$R$26","ppb")</f>
        <v>ppb</v>
      </c>
      <c r="C262" s="170" t="s">
        <v>2416</v>
      </c>
      <c r="D262" s="170" t="s">
        <v>2422</v>
      </c>
      <c r="E262" s="171"/>
      <c r="F262" s="202">
        <v>-1.365453E-2</v>
      </c>
      <c r="G262" s="202">
        <v>-2.2476089999999998E-3</v>
      </c>
      <c r="H262" s="202">
        <v>0</v>
      </c>
      <c r="I262" s="202">
        <v>-4.9793700000000003E-3</v>
      </c>
      <c r="J262" s="202">
        <v>-8.0104649999999998E-4</v>
      </c>
      <c r="K262" s="187" t="s">
        <v>2410</v>
      </c>
    </row>
    <row r="263" spans="1:11" ht="112" customHeight="1" x14ac:dyDescent="0.35">
      <c r="A263" s="190"/>
      <c r="B263" s="189" t="str">
        <f>HYPERLINK("[.\]'Climate A-B'!$S$26","ppb")</f>
        <v>ppb</v>
      </c>
      <c r="C263" s="170" t="s">
        <v>2416</v>
      </c>
      <c r="D263" s="170" t="s">
        <v>2421</v>
      </c>
      <c r="E263" s="171"/>
      <c r="F263" s="202">
        <v>-1.473314E-2</v>
      </c>
      <c r="G263" s="202">
        <v>-2.9242370000000001E-3</v>
      </c>
      <c r="H263" s="202">
        <v>0</v>
      </c>
      <c r="I263" s="202">
        <v>-6.3632489999999996E-3</v>
      </c>
      <c r="J263" s="202">
        <v>-1.0251699999999999E-3</v>
      </c>
      <c r="K263" s="187" t="s">
        <v>2410</v>
      </c>
    </row>
    <row r="264" spans="1:11" ht="112" customHeight="1" x14ac:dyDescent="0.35">
      <c r="A264" s="190"/>
      <c r="B264" s="189" t="str">
        <f>HYPERLINK("[.\]'Climate A-B'!$T$26","ppb")</f>
        <v>ppb</v>
      </c>
      <c r="C264" s="170" t="s">
        <v>2416</v>
      </c>
      <c r="D264" s="170" t="s">
        <v>2420</v>
      </c>
      <c r="E264" s="171"/>
      <c r="F264" s="202">
        <v>-1.504074E-2</v>
      </c>
      <c r="G264" s="202">
        <v>-3.2357229999999998E-3</v>
      </c>
      <c r="H264" s="202">
        <v>0</v>
      </c>
      <c r="I264" s="202">
        <v>-6.9465339999999999E-3</v>
      </c>
      <c r="J264" s="202">
        <v>-1.0335959999999999E-3</v>
      </c>
      <c r="K264" s="187" t="s">
        <v>2410</v>
      </c>
    </row>
    <row r="265" spans="1:11" ht="112" customHeight="1" x14ac:dyDescent="0.35">
      <c r="A265" s="190"/>
      <c r="B265" s="189" t="str">
        <f>HYPERLINK("[.\]'Climate A-B'!$U$26","ppb")</f>
        <v>ppb</v>
      </c>
      <c r="C265" s="170" t="s">
        <v>2416</v>
      </c>
      <c r="D265" s="170" t="s">
        <v>2419</v>
      </c>
      <c r="E265" s="171"/>
      <c r="F265" s="202">
        <v>-1.421715E-2</v>
      </c>
      <c r="G265" s="202">
        <v>-3.2724270000000001E-3</v>
      </c>
      <c r="H265" s="202">
        <v>0</v>
      </c>
      <c r="I265" s="202">
        <v>-7.0286239999999998E-3</v>
      </c>
      <c r="J265" s="202">
        <v>-8.3816350000000001E-4</v>
      </c>
      <c r="K265" s="187" t="s">
        <v>2410</v>
      </c>
    </row>
    <row r="266" spans="1:11" ht="112" customHeight="1" x14ac:dyDescent="0.35">
      <c r="A266" s="190"/>
      <c r="B266" s="189" t="str">
        <f>HYPERLINK("[.\]'Climate A-B'!$V$26","ppb")</f>
        <v>ppb</v>
      </c>
      <c r="C266" s="170" t="s">
        <v>2416</v>
      </c>
      <c r="D266" s="170" t="s">
        <v>2418</v>
      </c>
      <c r="E266" s="171"/>
      <c r="F266" s="202">
        <v>-1.331561E-2</v>
      </c>
      <c r="G266" s="202">
        <v>-2.9433749999999998E-3</v>
      </c>
      <c r="H266" s="202">
        <v>0</v>
      </c>
      <c r="I266" s="202">
        <v>-6.2285860000000004E-3</v>
      </c>
      <c r="J266" s="202">
        <v>0</v>
      </c>
      <c r="K266" s="187" t="s">
        <v>2410</v>
      </c>
    </row>
    <row r="267" spans="1:11" ht="112" customHeight="1" x14ac:dyDescent="0.35">
      <c r="A267" s="190"/>
      <c r="B267" s="189" t="str">
        <f>HYPERLINK("[.\]'Climate A-B'!$W$26","ppb")</f>
        <v>ppb</v>
      </c>
      <c r="C267" s="170" t="s">
        <v>2416</v>
      </c>
      <c r="D267" s="170" t="s">
        <v>2417</v>
      </c>
      <c r="E267" s="171"/>
      <c r="F267" s="202">
        <v>-1.0891349999999999E-2</v>
      </c>
      <c r="G267" s="202">
        <v>-2.3369620000000002E-3</v>
      </c>
      <c r="H267" s="202">
        <v>0</v>
      </c>
      <c r="I267" s="202">
        <v>-4.9936879999999996E-3</v>
      </c>
      <c r="J267" s="202">
        <v>0</v>
      </c>
      <c r="K267" s="187" t="s">
        <v>2410</v>
      </c>
    </row>
    <row r="268" spans="1:11" ht="112" customHeight="1" x14ac:dyDescent="0.35">
      <c r="A268" s="201"/>
      <c r="B268" s="200" t="str">
        <f>HYPERLINK("[.\]'Climate A-B'!$X$26","ppb")</f>
        <v>ppb</v>
      </c>
      <c r="C268" s="199" t="s">
        <v>2416</v>
      </c>
      <c r="D268" s="199" t="s">
        <v>2415</v>
      </c>
      <c r="E268" s="198"/>
      <c r="F268" s="197">
        <v>-5.0285679999999998E-3</v>
      </c>
      <c r="G268" s="197">
        <v>-1.0239890000000001E-3</v>
      </c>
      <c r="H268" s="197">
        <v>0</v>
      </c>
      <c r="I268" s="197">
        <v>-2.3565230000000001E-3</v>
      </c>
      <c r="J268" s="197">
        <v>0</v>
      </c>
      <c r="K268" s="196" t="s">
        <v>2410</v>
      </c>
    </row>
    <row r="269" spans="1:11" ht="14" customHeight="1" x14ac:dyDescent="0.35">
      <c r="A269" s="195" t="s">
        <v>2414</v>
      </c>
      <c r="B269" s="194"/>
      <c r="C269" s="194"/>
      <c r="D269" s="194"/>
      <c r="E269" s="194"/>
      <c r="F269" s="194"/>
      <c r="G269" s="194"/>
      <c r="H269" s="194"/>
      <c r="I269" s="194"/>
      <c r="J269" s="194"/>
      <c r="K269" s="194"/>
    </row>
    <row r="270" spans="1:11" ht="112" customHeight="1" x14ac:dyDescent="0.35">
      <c r="A270" s="193"/>
      <c r="B270" s="192" t="str">
        <f>HYPERLINK("[.\]'Base data'!$N$4","SCN20 in 2020")</f>
        <v>SCN20 in 2020</v>
      </c>
      <c r="C270" s="180" t="s">
        <v>2403</v>
      </c>
      <c r="D270" s="180" t="s">
        <v>2413</v>
      </c>
      <c r="E270" s="181"/>
      <c r="F270" s="191">
        <v>-35.403649999999999</v>
      </c>
      <c r="G270" s="191">
        <v>10761.92</v>
      </c>
      <c r="H270" s="191">
        <v>209370.1</v>
      </c>
      <c r="I270" s="191">
        <v>744.47699999999998</v>
      </c>
      <c r="J270" s="191">
        <v>44138.53</v>
      </c>
      <c r="K270" s="179" t="s">
        <v>2410</v>
      </c>
    </row>
    <row r="271" spans="1:11" ht="112" customHeight="1" x14ac:dyDescent="0.35">
      <c r="A271" s="190"/>
      <c r="B271" s="189" t="str">
        <f>HYPERLINK("[.\]'Library data'!$C$18","Climate Sensitivity Factor")</f>
        <v>Climate Sensitivity Factor</v>
      </c>
      <c r="C271" s="170" t="s">
        <v>2177</v>
      </c>
      <c r="D271" s="170" t="s">
        <v>2372</v>
      </c>
      <c r="E271" s="171"/>
      <c r="F271" s="169">
        <v>1.0900000000000001</v>
      </c>
      <c r="G271" s="169">
        <v>3.499304</v>
      </c>
      <c r="H271" s="169">
        <v>10</v>
      </c>
      <c r="I271" s="169">
        <v>1.74</v>
      </c>
      <c r="J271" s="169">
        <v>7.13</v>
      </c>
      <c r="K271" s="187" t="s">
        <v>2410</v>
      </c>
    </row>
    <row r="272" spans="1:11" ht="112" customHeight="1" x14ac:dyDescent="0.35">
      <c r="A272" s="190"/>
      <c r="B272" s="189" t="str">
        <f>HYPERLINK("[.\]'Impacts A-B'!$M$450","SCCO2")</f>
        <v>SCCO2</v>
      </c>
      <c r="C272" s="170" t="s">
        <v>2412</v>
      </c>
      <c r="D272" s="170" t="s">
        <v>2411</v>
      </c>
      <c r="E272" s="171"/>
      <c r="F272" s="188">
        <v>-35.403649999999999</v>
      </c>
      <c r="G272" s="188">
        <v>10761.92</v>
      </c>
      <c r="H272" s="188">
        <v>209370.1</v>
      </c>
      <c r="I272" s="188">
        <v>744.47699999999998</v>
      </c>
      <c r="J272" s="188">
        <v>44138.53</v>
      </c>
      <c r="K272" s="187" t="s">
        <v>2410</v>
      </c>
    </row>
    <row r="273" spans="1:11" ht="14" customHeight="1" x14ac:dyDescent="0.35">
      <c r="A273" s="167"/>
      <c r="B273" s="167"/>
      <c r="C273" s="167"/>
      <c r="D273" s="167"/>
      <c r="E273" s="167"/>
      <c r="F273" s="167"/>
      <c r="G273" s="167"/>
      <c r="H273" s="167"/>
      <c r="I273" s="167"/>
      <c r="J273" s="167"/>
      <c r="K273" s="167"/>
    </row>
    <row r="274" spans="1:11" ht="14" customHeight="1" x14ac:dyDescent="0.35">
      <c r="A274" s="167"/>
      <c r="B274" s="167"/>
      <c r="C274" s="167"/>
      <c r="D274" s="167"/>
      <c r="E274" s="167"/>
      <c r="F274" s="167"/>
      <c r="G274" s="167"/>
      <c r="H274" s="167"/>
      <c r="I274" s="167"/>
      <c r="J274" s="167"/>
      <c r="K274" s="167"/>
    </row>
    <row r="275" spans="1:11" ht="14" customHeight="1" x14ac:dyDescent="0.35">
      <c r="A275" s="167"/>
      <c r="B275" s="167"/>
      <c r="C275" s="167"/>
      <c r="D275" s="167"/>
      <c r="E275" s="167"/>
      <c r="F275" s="167"/>
      <c r="G275" s="167"/>
      <c r="H275" s="167"/>
      <c r="I275" s="167"/>
      <c r="J275" s="167"/>
      <c r="K275" s="167"/>
    </row>
    <row r="276" spans="1:11" ht="14" customHeight="1" x14ac:dyDescent="0.35">
      <c r="A276" s="167"/>
      <c r="B276" s="167"/>
      <c r="C276" s="167"/>
      <c r="D276" s="167"/>
      <c r="E276" s="167"/>
      <c r="F276" s="167"/>
      <c r="G276" s="167"/>
      <c r="H276" s="167"/>
      <c r="I276" s="167"/>
      <c r="J276" s="167"/>
      <c r="K276" s="167"/>
    </row>
    <row r="277" spans="1:11" ht="14" customHeight="1" x14ac:dyDescent="0.35">
      <c r="A277" s="167"/>
      <c r="B277" s="186" t="s">
        <v>2156</v>
      </c>
      <c r="C277" s="184" t="s">
        <v>2409</v>
      </c>
      <c r="D277" s="184" t="s">
        <v>2408</v>
      </c>
      <c r="E277" s="185" t="s">
        <v>2407</v>
      </c>
      <c r="F277" s="184" t="s">
        <v>2406</v>
      </c>
      <c r="G277" s="184" t="s">
        <v>2405</v>
      </c>
      <c r="H277" s="184" t="s">
        <v>177</v>
      </c>
      <c r="I277" s="183" t="s">
        <v>2404</v>
      </c>
      <c r="J277" s="167"/>
      <c r="K277" s="167"/>
    </row>
    <row r="278" spans="1:11" ht="112" customHeight="1" x14ac:dyDescent="0.35">
      <c r="A278" s="167"/>
      <c r="B278" s="182" t="str">
        <f>HYPERLINK("[.\]'Base data'!$B$16","STAY_CO2")</f>
        <v>STAY_CO2</v>
      </c>
      <c r="C278" s="180" t="s">
        <v>2403</v>
      </c>
      <c r="D278" s="180" t="s">
        <v>2402</v>
      </c>
      <c r="E278" s="181"/>
      <c r="F278" s="180" t="s">
        <v>2401</v>
      </c>
      <c r="G278" s="180">
        <v>25</v>
      </c>
      <c r="H278" s="180">
        <v>30</v>
      </c>
      <c r="I278" s="179">
        <v>35</v>
      </c>
      <c r="J278" s="167"/>
      <c r="K278" s="167"/>
    </row>
    <row r="279" spans="1:11" ht="112" customHeight="1" x14ac:dyDescent="0.35">
      <c r="A279" s="167"/>
      <c r="B279" s="172" t="str">
        <f>HYPERLINK("[.\]'Library data'!$C$4","AIR_CO2")</f>
        <v>AIR_CO2</v>
      </c>
      <c r="C279" s="170" t="s">
        <v>2177</v>
      </c>
      <c r="D279" s="170" t="s">
        <v>2400</v>
      </c>
      <c r="E279" s="171"/>
      <c r="F279" s="170" t="s">
        <v>2399</v>
      </c>
      <c r="G279" s="169">
        <v>57</v>
      </c>
      <c r="H279" s="169">
        <v>62</v>
      </c>
      <c r="I279" s="168">
        <v>67</v>
      </c>
      <c r="J279" s="167"/>
      <c r="K279" s="167"/>
    </row>
    <row r="280" spans="1:11" ht="112" customHeight="1" x14ac:dyDescent="0.35">
      <c r="A280" s="167"/>
      <c r="B280" s="172" t="str">
        <f>HYPERLINK("[.\]'Library data'!$C$5","RES_CO2")</f>
        <v>RES_CO2</v>
      </c>
      <c r="C280" s="170" t="s">
        <v>2177</v>
      </c>
      <c r="D280" s="170" t="s">
        <v>2398</v>
      </c>
      <c r="E280" s="171"/>
      <c r="F280" s="170" t="s">
        <v>2397</v>
      </c>
      <c r="G280" s="169">
        <v>50</v>
      </c>
      <c r="H280" s="169">
        <v>73.333340000000007</v>
      </c>
      <c r="I280" s="168">
        <v>100</v>
      </c>
      <c r="J280" s="167"/>
      <c r="K280" s="167"/>
    </row>
    <row r="281" spans="1:11" ht="112" customHeight="1" x14ac:dyDescent="0.35">
      <c r="A281" s="167"/>
      <c r="B281" s="172" t="str">
        <f>HYPERLINK("[.\]'Library data'!$C$6","TCR")</f>
        <v>TCR</v>
      </c>
      <c r="C281" s="170" t="s">
        <v>2177</v>
      </c>
      <c r="D281" s="170" t="s">
        <v>2396</v>
      </c>
      <c r="E281" s="171"/>
      <c r="F281" s="170" t="s">
        <v>2395</v>
      </c>
      <c r="G281" s="169">
        <v>1</v>
      </c>
      <c r="H281" s="169">
        <v>1.7</v>
      </c>
      <c r="I281" s="168">
        <v>2.8</v>
      </c>
      <c r="J281" s="167"/>
      <c r="K281" s="167"/>
    </row>
    <row r="282" spans="1:11" ht="112" customHeight="1" x14ac:dyDescent="0.35">
      <c r="A282" s="167"/>
      <c r="B282" s="172" t="str">
        <f>HYPERLINK("[.\]'Library data'!$C$7","CCF")</f>
        <v>CCF</v>
      </c>
      <c r="C282" s="170" t="s">
        <v>2177</v>
      </c>
      <c r="D282" s="170" t="s">
        <v>2394</v>
      </c>
      <c r="E282" s="171"/>
      <c r="F282" s="170" t="s">
        <v>2393</v>
      </c>
      <c r="G282" s="169">
        <v>4</v>
      </c>
      <c r="H282" s="169">
        <v>9.6666670000000003</v>
      </c>
      <c r="I282" s="168">
        <v>15</v>
      </c>
      <c r="J282" s="167"/>
      <c r="K282" s="167"/>
    </row>
    <row r="283" spans="1:11" ht="112" customHeight="1" x14ac:dyDescent="0.35">
      <c r="A283" s="167"/>
      <c r="B283" s="172" t="str">
        <f>HYPERLINK("[.\]'Library data'!$C$8","CCFFMAX")</f>
        <v>CCFFMAX</v>
      </c>
      <c r="C283" s="170" t="s">
        <v>2177</v>
      </c>
      <c r="D283" s="170" t="s">
        <v>2392</v>
      </c>
      <c r="E283" s="171"/>
      <c r="F283" s="170" t="s">
        <v>2391</v>
      </c>
      <c r="G283" s="169">
        <v>30</v>
      </c>
      <c r="H283" s="169">
        <v>53.333329999999997</v>
      </c>
      <c r="I283" s="168">
        <v>80</v>
      </c>
      <c r="J283" s="167"/>
      <c r="K283" s="167"/>
    </row>
    <row r="284" spans="1:11" ht="112" customHeight="1" x14ac:dyDescent="0.35">
      <c r="A284" s="167"/>
      <c r="B284" s="172" t="str">
        <f>HYPERLINK("[.\]'Library data'!$C$9","RLO")</f>
        <v>RLO</v>
      </c>
      <c r="C284" s="170" t="s">
        <v>2177</v>
      </c>
      <c r="D284" s="170" t="s">
        <v>2390</v>
      </c>
      <c r="E284" s="171"/>
      <c r="F284" s="170" t="s">
        <v>2389</v>
      </c>
      <c r="G284" s="169">
        <v>1.2</v>
      </c>
      <c r="H284" s="169">
        <v>1.4</v>
      </c>
      <c r="I284" s="168">
        <v>1.6</v>
      </c>
      <c r="J284" s="167"/>
      <c r="K284" s="167"/>
    </row>
    <row r="285" spans="1:11" ht="112" customHeight="1" x14ac:dyDescent="0.35">
      <c r="A285" s="167"/>
      <c r="B285" s="172" t="str">
        <f>HYPERLINK("[.\]'Library data'!$C$10","POLE")</f>
        <v>POLE</v>
      </c>
      <c r="C285" s="170" t="s">
        <v>2177</v>
      </c>
      <c r="D285" s="170" t="s">
        <v>2388</v>
      </c>
      <c r="E285" s="171"/>
      <c r="F285" s="170" t="s">
        <v>2387</v>
      </c>
      <c r="G285" s="169">
        <v>1</v>
      </c>
      <c r="H285" s="169">
        <v>1.5</v>
      </c>
      <c r="I285" s="168">
        <v>2</v>
      </c>
      <c r="J285" s="167"/>
      <c r="K285" s="167"/>
    </row>
    <row r="286" spans="1:11" ht="112" customHeight="1" x14ac:dyDescent="0.35">
      <c r="A286" s="167"/>
      <c r="B286" s="172" t="str">
        <f>HYPERLINK("[.\]'Library data'!$C$11","D")</f>
        <v>D</v>
      </c>
      <c r="C286" s="170" t="s">
        <v>2177</v>
      </c>
      <c r="D286" s="170" t="s">
        <v>2386</v>
      </c>
      <c r="E286" s="171"/>
      <c r="F286" s="170" t="s">
        <v>2385</v>
      </c>
      <c r="G286" s="169">
        <v>-0.8</v>
      </c>
      <c r="H286" s="169">
        <v>-0.46666669999999999</v>
      </c>
      <c r="I286" s="168">
        <v>-0.2</v>
      </c>
      <c r="J286" s="167"/>
      <c r="K286" s="167"/>
    </row>
    <row r="287" spans="1:11" ht="112" customHeight="1" x14ac:dyDescent="0.35">
      <c r="A287" s="167"/>
      <c r="B287" s="172" t="str">
        <f>HYPERLINK("[.\]'Library data'!$C$12","IND")</f>
        <v>IND</v>
      </c>
      <c r="C287" s="170" t="s">
        <v>2177</v>
      </c>
      <c r="D287" s="170" t="s">
        <v>2384</v>
      </c>
      <c r="E287" s="171"/>
      <c r="F287" s="170" t="s">
        <v>2383</v>
      </c>
      <c r="G287" s="169">
        <v>-0.8</v>
      </c>
      <c r="H287" s="169">
        <v>-0.4</v>
      </c>
      <c r="I287" s="168">
        <v>0</v>
      </c>
      <c r="J287" s="167"/>
      <c r="K287" s="167"/>
    </row>
    <row r="288" spans="1:11" ht="112" customHeight="1" x14ac:dyDescent="0.35">
      <c r="A288" s="167"/>
      <c r="B288" s="172" t="str">
        <f>HYPERLINK("[.\]'Library data'!$C$13","S_0")</f>
        <v>S_0</v>
      </c>
      <c r="C288" s="170" t="s">
        <v>2177</v>
      </c>
      <c r="D288" s="170" t="s">
        <v>2382</v>
      </c>
      <c r="E288" s="171"/>
      <c r="F288" s="170" t="s">
        <v>2381</v>
      </c>
      <c r="G288" s="169">
        <v>0.1</v>
      </c>
      <c r="H288" s="169">
        <v>0.15</v>
      </c>
      <c r="I288" s="168">
        <v>0.2</v>
      </c>
      <c r="J288" s="167"/>
      <c r="K288" s="167"/>
    </row>
    <row r="289" spans="1:11" ht="112" customHeight="1" x14ac:dyDescent="0.35">
      <c r="A289" s="167"/>
      <c r="B289" s="172" t="str">
        <f>HYPERLINK("[.\]'Library data'!$C$14","SLTEMP")</f>
        <v>SLTEMP</v>
      </c>
      <c r="C289" s="170" t="s">
        <v>2177</v>
      </c>
      <c r="D289" s="170" t="s">
        <v>2380</v>
      </c>
      <c r="E289" s="171"/>
      <c r="F289" s="170" t="s">
        <v>2379</v>
      </c>
      <c r="G289" s="169">
        <v>0.7</v>
      </c>
      <c r="H289" s="169">
        <v>1.733333</v>
      </c>
      <c r="I289" s="168">
        <v>3</v>
      </c>
      <c r="J289" s="167"/>
      <c r="K289" s="167"/>
    </row>
    <row r="290" spans="1:11" ht="112" customHeight="1" x14ac:dyDescent="0.35">
      <c r="A290" s="167"/>
      <c r="B290" s="172" t="str">
        <f>HYPERLINK("[.\]'Library data'!$C$15","SLA")</f>
        <v>SLA</v>
      </c>
      <c r="C290" s="170" t="s">
        <v>2177</v>
      </c>
      <c r="D290" s="170" t="s">
        <v>2378</v>
      </c>
      <c r="E290" s="171"/>
      <c r="F290" s="170" t="s">
        <v>2377</v>
      </c>
      <c r="G290" s="169">
        <v>0.5</v>
      </c>
      <c r="H290" s="169">
        <v>1</v>
      </c>
      <c r="I290" s="168">
        <v>1.5</v>
      </c>
      <c r="J290" s="167"/>
      <c r="K290" s="167"/>
    </row>
    <row r="291" spans="1:11" ht="112" customHeight="1" x14ac:dyDescent="0.35">
      <c r="A291" s="167"/>
      <c r="B291" s="172" t="str">
        <f>HYPERLINK("[.\]'Library data'!$C$16","SLTAU")</f>
        <v>SLTAU</v>
      </c>
      <c r="C291" s="170" t="s">
        <v>2177</v>
      </c>
      <c r="D291" s="170" t="s">
        <v>2376</v>
      </c>
      <c r="E291" s="171"/>
      <c r="F291" s="170" t="s">
        <v>2375</v>
      </c>
      <c r="G291" s="169">
        <v>500</v>
      </c>
      <c r="H291" s="169">
        <v>1000</v>
      </c>
      <c r="I291" s="168">
        <v>1500</v>
      </c>
      <c r="J291" s="167"/>
      <c r="K291" s="167"/>
    </row>
    <row r="292" spans="1:11" ht="112" customHeight="1" x14ac:dyDescent="0.35">
      <c r="A292" s="167"/>
      <c r="B292" s="172" t="str">
        <f>HYPERLINK("[.\]'Library data'!$C$17","FRT")</f>
        <v>FRT</v>
      </c>
      <c r="C292" s="170" t="s">
        <v>2177</v>
      </c>
      <c r="D292" s="170" t="s">
        <v>2374</v>
      </c>
      <c r="E292" s="171"/>
      <c r="F292" s="170" t="s">
        <v>2373</v>
      </c>
      <c r="G292" s="169">
        <v>10</v>
      </c>
      <c r="H292" s="169">
        <v>35</v>
      </c>
      <c r="I292" s="168">
        <v>65</v>
      </c>
      <c r="J292" s="167"/>
      <c r="K292" s="167"/>
    </row>
    <row r="293" spans="1:11" ht="112" customHeight="1" x14ac:dyDescent="0.35">
      <c r="A293" s="167"/>
      <c r="B293" s="172" t="str">
        <f>HYPERLINK("[.\]'Library data'!$C$18","SENS")</f>
        <v>SENS</v>
      </c>
      <c r="C293" s="170" t="s">
        <v>2177</v>
      </c>
      <c r="D293" s="170" t="s">
        <v>2372</v>
      </c>
      <c r="E293" s="171"/>
      <c r="F293" s="170" t="s">
        <v>2371</v>
      </c>
      <c r="G293" s="178" t="s">
        <v>2370</v>
      </c>
      <c r="H293" s="169" t="s">
        <v>2369</v>
      </c>
      <c r="I293" s="177" t="s">
        <v>2368</v>
      </c>
      <c r="J293" s="167"/>
      <c r="K293" s="167"/>
    </row>
    <row r="294" spans="1:11" ht="112" customHeight="1" x14ac:dyDescent="0.35">
      <c r="A294" s="167"/>
      <c r="B294" s="172" t="str">
        <f>HYPERLINK("[.\]'Library data'!$C$21","TDIS")</f>
        <v>TDIS</v>
      </c>
      <c r="C294" s="170" t="s">
        <v>2177</v>
      </c>
      <c r="D294" s="170" t="s">
        <v>2367</v>
      </c>
      <c r="E294" s="171"/>
      <c r="F294" s="170" t="s">
        <v>2366</v>
      </c>
      <c r="G294" s="169">
        <v>2</v>
      </c>
      <c r="H294" s="169">
        <v>3</v>
      </c>
      <c r="I294" s="168">
        <v>4</v>
      </c>
      <c r="J294" s="167"/>
      <c r="K294" s="167"/>
    </row>
    <row r="295" spans="1:11" ht="112" customHeight="1" x14ac:dyDescent="0.35">
      <c r="A295" s="167"/>
      <c r="B295" s="172" t="str">
        <f>HYPERLINK("[.\]'Library data'!$C$22","PDIS")</f>
        <v>PDIS</v>
      </c>
      <c r="C295" s="170" t="s">
        <v>2177</v>
      </c>
      <c r="D295" s="170" t="s">
        <v>2365</v>
      </c>
      <c r="E295" s="171"/>
      <c r="F295" s="170" t="s">
        <v>2364</v>
      </c>
      <c r="G295" s="169">
        <v>10</v>
      </c>
      <c r="H295" s="169">
        <v>20</v>
      </c>
      <c r="I295" s="168">
        <v>30</v>
      </c>
      <c r="J295" s="167"/>
      <c r="K295" s="167"/>
    </row>
    <row r="296" spans="1:11" ht="112" customHeight="1" x14ac:dyDescent="0.35">
      <c r="A296" s="167"/>
      <c r="B296" s="172" t="str">
        <f>HYPERLINK("[.\]'Library data'!$C$25","SAVE")</f>
        <v>SAVE</v>
      </c>
      <c r="C296" s="170" t="s">
        <v>2177</v>
      </c>
      <c r="D296" s="170" t="s">
        <v>2363</v>
      </c>
      <c r="E296" s="171"/>
      <c r="F296" s="170" t="s">
        <v>2362</v>
      </c>
      <c r="G296" s="169">
        <v>10</v>
      </c>
      <c r="H296" s="169">
        <v>15</v>
      </c>
      <c r="I296" s="168">
        <v>20</v>
      </c>
      <c r="J296" s="167"/>
      <c r="K296" s="167"/>
    </row>
    <row r="297" spans="1:11" ht="112" customHeight="1" x14ac:dyDescent="0.35">
      <c r="A297" s="167"/>
      <c r="B297" s="172" t="str">
        <f>HYPERLINK("[.\]'Library data'!$C$26","SCAL")</f>
        <v>SCAL</v>
      </c>
      <c r="C297" s="170" t="s">
        <v>2177</v>
      </c>
      <c r="D297" s="170" t="s">
        <v>2361</v>
      </c>
      <c r="E297" s="171"/>
      <c r="F297" s="170" t="s">
        <v>2360</v>
      </c>
      <c r="G297" s="169">
        <v>0.45</v>
      </c>
      <c r="H297" s="169">
        <v>0.5</v>
      </c>
      <c r="I297" s="168">
        <v>0.55000000000000004</v>
      </c>
      <c r="J297" s="167"/>
      <c r="K297" s="167"/>
    </row>
    <row r="298" spans="1:11" ht="112" customHeight="1" x14ac:dyDescent="0.35">
      <c r="A298" s="167"/>
      <c r="B298" s="172" t="str">
        <f>HYPERLINK("[.\]'Library data'!$C$27","TCAL")</f>
        <v>TCAL</v>
      </c>
      <c r="C298" s="170" t="s">
        <v>2177</v>
      </c>
      <c r="D298" s="170" t="s">
        <v>2359</v>
      </c>
      <c r="E298" s="171"/>
      <c r="F298" s="170" t="s">
        <v>2358</v>
      </c>
      <c r="G298" s="169">
        <v>2.5</v>
      </c>
      <c r="H298" s="169">
        <v>3</v>
      </c>
      <c r="I298" s="168">
        <v>3.5</v>
      </c>
      <c r="J298" s="167"/>
      <c r="K298" s="167"/>
    </row>
    <row r="299" spans="1:11" ht="112" customHeight="1" x14ac:dyDescent="0.35">
      <c r="A299" s="167"/>
      <c r="B299" s="172" t="str">
        <f>HYPERLINK("[.\]'Library data'!$C$28","IBEN_S")</f>
        <v>IBEN_S</v>
      </c>
      <c r="C299" s="170" t="s">
        <v>2177</v>
      </c>
      <c r="D299" s="170" t="s">
        <v>2357</v>
      </c>
      <c r="E299" s="171"/>
      <c r="F299" s="170" t="s">
        <v>2356</v>
      </c>
      <c r="G299" s="169">
        <v>0</v>
      </c>
      <c r="H299" s="169">
        <v>0</v>
      </c>
      <c r="I299" s="168">
        <v>0</v>
      </c>
      <c r="J299" s="167"/>
      <c r="K299" s="167"/>
    </row>
    <row r="300" spans="1:11" ht="112" customHeight="1" x14ac:dyDescent="0.35">
      <c r="A300" s="167"/>
      <c r="B300" s="172" t="str">
        <f>HYPERLINK("[.\]'Library data'!$C$29","W_S")</f>
        <v>W_S</v>
      </c>
      <c r="C300" s="170" t="s">
        <v>2177</v>
      </c>
      <c r="D300" s="170" t="s">
        <v>2355</v>
      </c>
      <c r="E300" s="171"/>
      <c r="F300" s="170" t="s">
        <v>2354</v>
      </c>
      <c r="G300" s="169">
        <v>0.5</v>
      </c>
      <c r="H300" s="169">
        <v>1</v>
      </c>
      <c r="I300" s="168">
        <v>1.5</v>
      </c>
      <c r="J300" s="167"/>
      <c r="K300" s="167"/>
    </row>
    <row r="301" spans="1:11" ht="112" customHeight="1" x14ac:dyDescent="0.35">
      <c r="A301" s="167"/>
      <c r="B301" s="172" t="str">
        <f>HYPERLINK("[.\]'Library data'!$C$30","POW_S")</f>
        <v>POW_S</v>
      </c>
      <c r="C301" s="170" t="s">
        <v>2177</v>
      </c>
      <c r="D301" s="170" t="s">
        <v>2353</v>
      </c>
      <c r="E301" s="171"/>
      <c r="F301" s="170" t="s">
        <v>2352</v>
      </c>
      <c r="G301" s="169">
        <v>0.5</v>
      </c>
      <c r="H301" s="169">
        <v>0.73333329999999997</v>
      </c>
      <c r="I301" s="168">
        <v>1</v>
      </c>
      <c r="J301" s="167"/>
      <c r="K301" s="167"/>
    </row>
    <row r="302" spans="1:11" ht="112" customHeight="1" x14ac:dyDescent="0.35">
      <c r="A302" s="167"/>
      <c r="B302" s="172" t="str">
        <f>HYPERLINK("[.\]'Library data'!$C$31","IPOW_S")</f>
        <v>IPOW_S</v>
      </c>
      <c r="C302" s="170" t="s">
        <v>2177</v>
      </c>
      <c r="D302" s="170" t="s">
        <v>2351</v>
      </c>
      <c r="E302" s="171"/>
      <c r="F302" s="170" t="s">
        <v>2350</v>
      </c>
      <c r="G302" s="169">
        <v>-0.4</v>
      </c>
      <c r="H302" s="169">
        <v>-0.3</v>
      </c>
      <c r="I302" s="168">
        <v>-0.2</v>
      </c>
      <c r="J302" s="167"/>
      <c r="K302" s="167"/>
    </row>
    <row r="303" spans="1:11" ht="112" customHeight="1" x14ac:dyDescent="0.35">
      <c r="A303" s="167"/>
      <c r="B303" s="172" t="str">
        <f>HYPERLINK("[.\]'Library data'!$C$32","IBEN_1")</f>
        <v>IBEN_1</v>
      </c>
      <c r="C303" s="170" t="s">
        <v>2177</v>
      </c>
      <c r="D303" s="170" t="s">
        <v>2349</v>
      </c>
      <c r="E303" s="171"/>
      <c r="F303" s="170" t="s">
        <v>2348</v>
      </c>
      <c r="G303" s="169">
        <v>0</v>
      </c>
      <c r="H303" s="169">
        <v>0.13333329999999999</v>
      </c>
      <c r="I303" s="168">
        <v>0.3</v>
      </c>
      <c r="J303" s="167"/>
      <c r="K303" s="167"/>
    </row>
    <row r="304" spans="1:11" ht="112" customHeight="1" x14ac:dyDescent="0.35">
      <c r="A304" s="167"/>
      <c r="B304" s="172" t="str">
        <f>HYPERLINK("[.\]'Library data'!$C$33","W_1")</f>
        <v>W_1</v>
      </c>
      <c r="C304" s="170" t="s">
        <v>2177</v>
      </c>
      <c r="D304" s="170" t="s">
        <v>2347</v>
      </c>
      <c r="E304" s="171"/>
      <c r="F304" s="170" t="s">
        <v>2346</v>
      </c>
      <c r="G304" s="169">
        <v>0.2</v>
      </c>
      <c r="H304" s="169">
        <v>0.5</v>
      </c>
      <c r="I304" s="168">
        <v>0.8</v>
      </c>
      <c r="J304" s="167"/>
      <c r="K304" s="167"/>
    </row>
    <row r="305" spans="1:11" ht="112" customHeight="1" x14ac:dyDescent="0.35">
      <c r="A305" s="167"/>
      <c r="B305" s="172" t="str">
        <f>HYPERLINK("[.\]'Library data'!$C$34","POW_1")</f>
        <v>POW_1</v>
      </c>
      <c r="C305" s="170" t="s">
        <v>2177</v>
      </c>
      <c r="D305" s="170" t="s">
        <v>2345</v>
      </c>
      <c r="E305" s="171"/>
      <c r="F305" s="170" t="s">
        <v>2344</v>
      </c>
      <c r="G305" s="169">
        <v>1.5</v>
      </c>
      <c r="H305" s="169">
        <v>2.1666669999999999</v>
      </c>
      <c r="I305" s="168">
        <v>3</v>
      </c>
      <c r="J305" s="167"/>
      <c r="K305" s="167"/>
    </row>
    <row r="306" spans="1:11" ht="112" customHeight="1" x14ac:dyDescent="0.35">
      <c r="A306" s="167"/>
      <c r="B306" s="172" t="str">
        <f>HYPERLINK("[.\]'Library data'!$C$35","IPOW_1")</f>
        <v>IPOW_1</v>
      </c>
      <c r="C306" s="170" t="s">
        <v>2177</v>
      </c>
      <c r="D306" s="170" t="s">
        <v>2343</v>
      </c>
      <c r="E306" s="171"/>
      <c r="F306" s="170" t="s">
        <v>2342</v>
      </c>
      <c r="G306" s="169">
        <v>-0.3</v>
      </c>
      <c r="H306" s="169">
        <v>-0.13333329999999999</v>
      </c>
      <c r="I306" s="168">
        <v>0</v>
      </c>
      <c r="J306" s="167"/>
      <c r="K306" s="167"/>
    </row>
    <row r="307" spans="1:11" ht="112" customHeight="1" x14ac:dyDescent="0.35">
      <c r="A307" s="167"/>
      <c r="B307" s="172" t="str">
        <f>HYPERLINK("[.\]'Library data'!$C$36","IBEN_2")</f>
        <v>IBEN_2</v>
      </c>
      <c r="C307" s="170" t="s">
        <v>2177</v>
      </c>
      <c r="D307" s="170" t="s">
        <v>2341</v>
      </c>
      <c r="E307" s="171"/>
      <c r="F307" s="170" t="s">
        <v>2340</v>
      </c>
      <c r="G307" s="169">
        <v>0</v>
      </c>
      <c r="H307" s="169">
        <v>8.3333340000000006E-2</v>
      </c>
      <c r="I307" s="168">
        <v>0.2</v>
      </c>
      <c r="J307" s="167"/>
      <c r="K307" s="167"/>
    </row>
    <row r="308" spans="1:11" ht="112" customHeight="1" x14ac:dyDescent="0.35">
      <c r="A308" s="167"/>
      <c r="B308" s="172" t="str">
        <f>HYPERLINK("[.\]'Library data'!$C$37","W_2")</f>
        <v>W_2</v>
      </c>
      <c r="C308" s="170" t="s">
        <v>2177</v>
      </c>
      <c r="D308" s="170" t="s">
        <v>2339</v>
      </c>
      <c r="E308" s="171"/>
      <c r="F308" s="170" t="s">
        <v>2338</v>
      </c>
      <c r="G308" s="169">
        <v>0.1</v>
      </c>
      <c r="H308" s="169">
        <v>0.53333339999999996</v>
      </c>
      <c r="I308" s="168">
        <v>1</v>
      </c>
      <c r="J308" s="167"/>
      <c r="K308" s="167"/>
    </row>
    <row r="309" spans="1:11" ht="112" customHeight="1" x14ac:dyDescent="0.35">
      <c r="A309" s="167"/>
      <c r="B309" s="172" t="str">
        <f>HYPERLINK("[.\]'Library data'!$C$38","POW_2")</f>
        <v>POW_2</v>
      </c>
      <c r="C309" s="170" t="s">
        <v>2177</v>
      </c>
      <c r="D309" s="170" t="s">
        <v>2337</v>
      </c>
      <c r="E309" s="171"/>
      <c r="F309" s="170" t="s">
        <v>2336</v>
      </c>
      <c r="G309" s="169">
        <v>1.5</v>
      </c>
      <c r="H309" s="169">
        <v>2.1666669999999999</v>
      </c>
      <c r="I309" s="168">
        <v>3</v>
      </c>
      <c r="J309" s="167"/>
      <c r="K309" s="167"/>
    </row>
    <row r="310" spans="1:11" ht="112" customHeight="1" x14ac:dyDescent="0.35">
      <c r="A310" s="167"/>
      <c r="B310" s="172" t="str">
        <f>HYPERLINK("[.\]'Library data'!$C$39","IPOW_2")</f>
        <v>IPOW_2</v>
      </c>
      <c r="C310" s="170" t="s">
        <v>2177</v>
      </c>
      <c r="D310" s="170" t="s">
        <v>2335</v>
      </c>
      <c r="E310" s="171"/>
      <c r="F310" s="170" t="s">
        <v>2334</v>
      </c>
      <c r="G310" s="169">
        <v>-0.2</v>
      </c>
      <c r="H310" s="169">
        <v>0</v>
      </c>
      <c r="I310" s="168">
        <v>0.2</v>
      </c>
      <c r="J310" s="167"/>
      <c r="K310" s="167"/>
    </row>
    <row r="311" spans="1:11" ht="112" customHeight="1" x14ac:dyDescent="0.35">
      <c r="A311" s="167"/>
      <c r="B311" s="172" t="str">
        <f>HYPERLINK("[.\]'Library data'!$C$40","WDIS")</f>
        <v>WDIS</v>
      </c>
      <c r="C311" s="170" t="s">
        <v>2177</v>
      </c>
      <c r="D311" s="170" t="s">
        <v>2333</v>
      </c>
      <c r="E311" s="171"/>
      <c r="F311" s="170" t="s">
        <v>2332</v>
      </c>
      <c r="G311" s="169">
        <v>5</v>
      </c>
      <c r="H311" s="169">
        <v>15</v>
      </c>
      <c r="I311" s="168">
        <v>25</v>
      </c>
      <c r="J311" s="167"/>
      <c r="K311" s="167"/>
    </row>
    <row r="312" spans="1:11" ht="112" customHeight="1" x14ac:dyDescent="0.35">
      <c r="A312" s="167"/>
      <c r="B312" s="172" t="str">
        <f>HYPERLINK("[.\]'Library data'!$C$41","IPOWDIS")</f>
        <v>IPOWDIS</v>
      </c>
      <c r="C312" s="170" t="s">
        <v>2177</v>
      </c>
      <c r="D312" s="170" t="s">
        <v>2331</v>
      </c>
      <c r="E312" s="171"/>
      <c r="F312" s="170" t="s">
        <v>2330</v>
      </c>
      <c r="G312" s="169">
        <v>-0.3</v>
      </c>
      <c r="H312" s="169">
        <v>-0.13333329999999999</v>
      </c>
      <c r="I312" s="168">
        <v>0</v>
      </c>
      <c r="J312" s="167"/>
      <c r="K312" s="167"/>
    </row>
    <row r="313" spans="1:11" ht="112" customHeight="1" x14ac:dyDescent="0.35">
      <c r="A313" s="167"/>
      <c r="B313" s="172" t="str">
        <f>HYPERLINK("[.\]'Library data'!$C$42","DISTAU")</f>
        <v>DISTAU</v>
      </c>
      <c r="C313" s="170" t="s">
        <v>2177</v>
      </c>
      <c r="D313" s="170" t="s">
        <v>2329</v>
      </c>
      <c r="E313" s="171"/>
      <c r="F313" s="170" t="s">
        <v>2328</v>
      </c>
      <c r="G313" s="169">
        <v>20</v>
      </c>
      <c r="H313" s="169">
        <v>90</v>
      </c>
      <c r="I313" s="168">
        <v>200</v>
      </c>
      <c r="J313" s="167"/>
      <c r="K313" s="167"/>
    </row>
    <row r="314" spans="1:11" ht="112" customHeight="1" x14ac:dyDescent="0.35">
      <c r="A314" s="167"/>
      <c r="B314" s="172" t="str">
        <f>HYPERLINK("[.\]'Library data'!$C$43","ISAT")</f>
        <v>ISAT</v>
      </c>
      <c r="C314" s="170" t="s">
        <v>2177</v>
      </c>
      <c r="D314" s="170" t="s">
        <v>2327</v>
      </c>
      <c r="E314" s="171"/>
      <c r="F314" s="170" t="s">
        <v>2326</v>
      </c>
      <c r="G314" s="169">
        <v>20</v>
      </c>
      <c r="H314" s="169">
        <v>33.333329999999997</v>
      </c>
      <c r="I314" s="168">
        <v>50</v>
      </c>
      <c r="J314" s="167"/>
      <c r="K314" s="167"/>
    </row>
    <row r="315" spans="1:11" ht="112" customHeight="1" x14ac:dyDescent="0.35">
      <c r="A315" s="167"/>
      <c r="B315" s="172" t="str">
        <f>HYPERLINK("[.\]'Library data'!$C$44","CIV_VALUE")</f>
        <v>CIV_VALUE</v>
      </c>
      <c r="C315" s="170" t="s">
        <v>2177</v>
      </c>
      <c r="D315" s="170" t="s">
        <v>2325</v>
      </c>
      <c r="E315" s="171"/>
      <c r="F315" s="170" t="s">
        <v>2324</v>
      </c>
      <c r="G315" s="176">
        <v>10000000000</v>
      </c>
      <c r="H315" s="176">
        <v>53333330000</v>
      </c>
      <c r="I315" s="175">
        <v>100000000000</v>
      </c>
      <c r="J315" s="167"/>
      <c r="K315" s="167"/>
    </row>
    <row r="316" spans="1:11" ht="112" customHeight="1" x14ac:dyDescent="0.35">
      <c r="A316" s="167"/>
      <c r="B316" s="172" t="str">
        <f>HYPERLINK("[.\]'Library data'!$C$45","US weights factor")</f>
        <v>US weights factor</v>
      </c>
      <c r="C316" s="170" t="s">
        <v>2177</v>
      </c>
      <c r="D316" s="170" t="s">
        <v>2323</v>
      </c>
      <c r="E316" s="171"/>
      <c r="F316" s="170" t="s">
        <v>2322</v>
      </c>
      <c r="G316" s="169">
        <v>0.6</v>
      </c>
      <c r="H316" s="169">
        <v>0.8</v>
      </c>
      <c r="I316" s="168">
        <v>1</v>
      </c>
      <c r="J316" s="167"/>
      <c r="K316" s="167"/>
    </row>
    <row r="317" spans="1:11" ht="112" customHeight="1" x14ac:dyDescent="0.35">
      <c r="A317" s="167"/>
      <c r="B317" s="172" t="str">
        <f>HYPERLINK("[.\]'Library data'!$C$46","OT weights factor")</f>
        <v>OT weights factor</v>
      </c>
      <c r="C317" s="170" t="s">
        <v>2177</v>
      </c>
      <c r="D317" s="170" t="s">
        <v>2321</v>
      </c>
      <c r="E317" s="171"/>
      <c r="F317" s="170" t="s">
        <v>2320</v>
      </c>
      <c r="G317" s="169">
        <v>0.4</v>
      </c>
      <c r="H317" s="169">
        <v>0.8</v>
      </c>
      <c r="I317" s="168">
        <v>1.2</v>
      </c>
      <c r="J317" s="167"/>
      <c r="K317" s="167"/>
    </row>
    <row r="318" spans="1:11" ht="112" customHeight="1" x14ac:dyDescent="0.35">
      <c r="A318" s="167"/>
      <c r="B318" s="172" t="str">
        <f>HYPERLINK("[.\]'Library data'!$C$47","EE weights factor")</f>
        <v>EE weights factor</v>
      </c>
      <c r="C318" s="170" t="s">
        <v>2177</v>
      </c>
      <c r="D318" s="170" t="s">
        <v>2319</v>
      </c>
      <c r="E318" s="171"/>
      <c r="F318" s="170" t="s">
        <v>2318</v>
      </c>
      <c r="G318" s="169">
        <v>0.2</v>
      </c>
      <c r="H318" s="169">
        <v>0.4</v>
      </c>
      <c r="I318" s="168">
        <v>0.6</v>
      </c>
      <c r="J318" s="167"/>
      <c r="K318" s="167"/>
    </row>
    <row r="319" spans="1:11" ht="112" customHeight="1" x14ac:dyDescent="0.35">
      <c r="A319" s="167"/>
      <c r="B319" s="172" t="str">
        <f>HYPERLINK("[.\]'Library data'!$C$48","CA weights factor")</f>
        <v>CA weights factor</v>
      </c>
      <c r="C319" s="170" t="s">
        <v>2177</v>
      </c>
      <c r="D319" s="170" t="s">
        <v>2317</v>
      </c>
      <c r="E319" s="171"/>
      <c r="F319" s="170" t="s">
        <v>2316</v>
      </c>
      <c r="G319" s="169">
        <v>0.4</v>
      </c>
      <c r="H319" s="169">
        <v>0.8</v>
      </c>
      <c r="I319" s="168">
        <v>1.2</v>
      </c>
      <c r="J319" s="167"/>
      <c r="K319" s="167"/>
    </row>
    <row r="320" spans="1:11" ht="112" customHeight="1" x14ac:dyDescent="0.35">
      <c r="A320" s="167"/>
      <c r="B320" s="172" t="str">
        <f>HYPERLINK("[.\]'Library data'!$C$49","IA weights factor")</f>
        <v>IA weights factor</v>
      </c>
      <c r="C320" s="170" t="s">
        <v>2177</v>
      </c>
      <c r="D320" s="170" t="s">
        <v>2315</v>
      </c>
      <c r="E320" s="171"/>
      <c r="F320" s="170" t="s">
        <v>2314</v>
      </c>
      <c r="G320" s="169">
        <v>0.4</v>
      </c>
      <c r="H320" s="169">
        <v>0.8</v>
      </c>
      <c r="I320" s="168">
        <v>1.2</v>
      </c>
      <c r="J320" s="167"/>
      <c r="K320" s="167"/>
    </row>
    <row r="321" spans="1:11" ht="112" customHeight="1" x14ac:dyDescent="0.35">
      <c r="A321" s="167"/>
      <c r="B321" s="172" t="str">
        <f>HYPERLINK("[.\]'Library data'!$C$50","AF weights factor")</f>
        <v>AF weights factor</v>
      </c>
      <c r="C321" s="170" t="s">
        <v>2177</v>
      </c>
      <c r="D321" s="170" t="s">
        <v>2313</v>
      </c>
      <c r="E321" s="171"/>
      <c r="F321" s="170" t="s">
        <v>2312</v>
      </c>
      <c r="G321" s="169">
        <v>0.4</v>
      </c>
      <c r="H321" s="169">
        <v>0.6</v>
      </c>
      <c r="I321" s="168">
        <v>0.8</v>
      </c>
      <c r="J321" s="167"/>
      <c r="K321" s="167"/>
    </row>
    <row r="322" spans="1:11" ht="112" customHeight="1" x14ac:dyDescent="0.35">
      <c r="A322" s="167"/>
      <c r="B322" s="172" t="str">
        <f>HYPERLINK("[.\]'Library data'!$C$51","LA weights factor")</f>
        <v>LA weights factor</v>
      </c>
      <c r="C322" s="170" t="s">
        <v>2177</v>
      </c>
      <c r="D322" s="170" t="s">
        <v>2311</v>
      </c>
      <c r="E322" s="171"/>
      <c r="F322" s="170" t="s">
        <v>2310</v>
      </c>
      <c r="G322" s="169">
        <v>0.4</v>
      </c>
      <c r="H322" s="169">
        <v>0.6</v>
      </c>
      <c r="I322" s="168">
        <v>0.8</v>
      </c>
      <c r="J322" s="167"/>
      <c r="K322" s="167"/>
    </row>
    <row r="323" spans="1:11" ht="112" customHeight="1" x14ac:dyDescent="0.35">
      <c r="A323" s="167"/>
      <c r="B323" s="172" t="str">
        <f>HYPERLINK("[.\]'Library data'!$C$54","CP_S_1")</f>
        <v>CP_S_1</v>
      </c>
      <c r="C323" s="170" t="s">
        <v>2177</v>
      </c>
      <c r="D323" s="170" t="s">
        <v>2309</v>
      </c>
      <c r="E323" s="171"/>
      <c r="F323" s="170" t="s">
        <v>2308</v>
      </c>
      <c r="G323" s="174">
        <v>0.01</v>
      </c>
      <c r="H323" s="174">
        <v>2.3333329999999999E-2</v>
      </c>
      <c r="I323" s="173">
        <v>0.04</v>
      </c>
      <c r="J323" s="167"/>
      <c r="K323" s="167"/>
    </row>
    <row r="324" spans="1:11" ht="112" customHeight="1" x14ac:dyDescent="0.35">
      <c r="A324" s="167"/>
      <c r="B324" s="172" t="str">
        <f>HYPERLINK("[.\]'Library data'!$C$55","CI_S_1")</f>
        <v>CI_S_1</v>
      </c>
      <c r="C324" s="170" t="s">
        <v>2177</v>
      </c>
      <c r="D324" s="170" t="s">
        <v>2307</v>
      </c>
      <c r="E324" s="171"/>
      <c r="F324" s="170" t="s">
        <v>2306</v>
      </c>
      <c r="G324" s="174">
        <v>5.0000000000000001E-4</v>
      </c>
      <c r="H324" s="174">
        <v>1.1666669999999999E-3</v>
      </c>
      <c r="I324" s="173">
        <v>2E-3</v>
      </c>
      <c r="J324" s="167"/>
      <c r="K324" s="167"/>
    </row>
    <row r="325" spans="1:11" ht="112" customHeight="1" x14ac:dyDescent="0.35">
      <c r="A325" s="167"/>
      <c r="B325" s="172" t="str">
        <f>HYPERLINK("[.\]'Library data'!$C$56","CP_1_1")</f>
        <v>CP_1_1</v>
      </c>
      <c r="C325" s="170" t="s">
        <v>2177</v>
      </c>
      <c r="D325" s="170" t="s">
        <v>2305</v>
      </c>
      <c r="E325" s="171"/>
      <c r="F325" s="170" t="s">
        <v>2304</v>
      </c>
      <c r="G325" s="174">
        <v>5.0000000000000001E-3</v>
      </c>
      <c r="H325" s="174">
        <v>1.1666670000000001E-2</v>
      </c>
      <c r="I325" s="173">
        <v>0.02</v>
      </c>
      <c r="J325" s="167"/>
      <c r="K325" s="167"/>
    </row>
    <row r="326" spans="1:11" ht="112" customHeight="1" x14ac:dyDescent="0.35">
      <c r="A326" s="167"/>
      <c r="B326" s="172" t="str">
        <f>HYPERLINK("[.\]'Library data'!$C$57","CI_1_1")</f>
        <v>CI_1_1</v>
      </c>
      <c r="C326" s="170" t="s">
        <v>2177</v>
      </c>
      <c r="D326" s="170" t="s">
        <v>2303</v>
      </c>
      <c r="E326" s="171"/>
      <c r="F326" s="170" t="s">
        <v>2302</v>
      </c>
      <c r="G326" s="174">
        <v>1E-3</v>
      </c>
      <c r="H326" s="174">
        <v>4.0000000000000001E-3</v>
      </c>
      <c r="I326" s="173">
        <v>8.0000000000000002E-3</v>
      </c>
      <c r="J326" s="167"/>
      <c r="K326" s="167"/>
    </row>
    <row r="327" spans="1:11" ht="112" customHeight="1" x14ac:dyDescent="0.35">
      <c r="A327" s="167"/>
      <c r="B327" s="172" t="str">
        <f>HYPERLINK("[.\]'Library data'!$C$58","CP_2_1")</f>
        <v>CP_2_1</v>
      </c>
      <c r="C327" s="170" t="s">
        <v>2177</v>
      </c>
      <c r="D327" s="170" t="s">
        <v>2301</v>
      </c>
      <c r="E327" s="171"/>
      <c r="F327" s="170" t="s">
        <v>2300</v>
      </c>
      <c r="G327" s="174">
        <v>0.01</v>
      </c>
      <c r="H327" s="174">
        <v>2.3333329999999999E-2</v>
      </c>
      <c r="I327" s="173">
        <v>0.04</v>
      </c>
      <c r="J327" s="167"/>
      <c r="K327" s="167"/>
    </row>
    <row r="328" spans="1:11" ht="112" customHeight="1" x14ac:dyDescent="0.35">
      <c r="A328" s="167"/>
      <c r="B328" s="172" t="str">
        <f>HYPERLINK("[.\]'Library data'!$C$59","CI_2_1")</f>
        <v>CI_2_1</v>
      </c>
      <c r="C328" s="170" t="s">
        <v>2177</v>
      </c>
      <c r="D328" s="170" t="s">
        <v>2299</v>
      </c>
      <c r="E328" s="171"/>
      <c r="F328" s="170" t="s">
        <v>2298</v>
      </c>
      <c r="G328" s="174">
        <v>2E-3</v>
      </c>
      <c r="H328" s="174">
        <v>5.6666670000000002E-3</v>
      </c>
      <c r="I328" s="173">
        <v>0.01</v>
      </c>
      <c r="J328" s="167"/>
      <c r="K328" s="167"/>
    </row>
    <row r="329" spans="1:11" ht="112" customHeight="1" x14ac:dyDescent="0.35">
      <c r="A329" s="167"/>
      <c r="B329" s="172" t="str">
        <f>HYPERLINK("[.\]'Library data'!$C$60","US Adaptive costs factor")</f>
        <v>US Adaptive costs factor</v>
      </c>
      <c r="C329" s="170" t="s">
        <v>2177</v>
      </c>
      <c r="D329" s="170" t="s">
        <v>2297</v>
      </c>
      <c r="E329" s="171"/>
      <c r="F329" s="170" t="s">
        <v>2296</v>
      </c>
      <c r="G329" s="169">
        <v>0.6</v>
      </c>
      <c r="H329" s="169">
        <v>0.8</v>
      </c>
      <c r="I329" s="168">
        <v>1</v>
      </c>
      <c r="J329" s="167"/>
      <c r="K329" s="167"/>
    </row>
    <row r="330" spans="1:11" ht="112" customHeight="1" x14ac:dyDescent="0.35">
      <c r="A330" s="167"/>
      <c r="B330" s="172" t="str">
        <f>HYPERLINK("[.\]'Library data'!$C$61","OT Adaptive costs factor")</f>
        <v>OT Adaptive costs factor</v>
      </c>
      <c r="C330" s="170" t="s">
        <v>2177</v>
      </c>
      <c r="D330" s="170" t="s">
        <v>2295</v>
      </c>
      <c r="E330" s="171"/>
      <c r="F330" s="170" t="s">
        <v>2294</v>
      </c>
      <c r="G330" s="169">
        <v>0.4</v>
      </c>
      <c r="H330" s="169">
        <v>0.8</v>
      </c>
      <c r="I330" s="168">
        <v>1.2</v>
      </c>
      <c r="J330" s="167"/>
      <c r="K330" s="167"/>
    </row>
    <row r="331" spans="1:11" ht="112" customHeight="1" x14ac:dyDescent="0.35">
      <c r="A331" s="167"/>
      <c r="B331" s="172" t="str">
        <f>HYPERLINK("[.\]'Library data'!$C$62","EE Adaptive costs factor")</f>
        <v>EE Adaptive costs factor</v>
      </c>
      <c r="C331" s="170" t="s">
        <v>2177</v>
      </c>
      <c r="D331" s="170" t="s">
        <v>2293</v>
      </c>
      <c r="E331" s="171"/>
      <c r="F331" s="170" t="s">
        <v>2292</v>
      </c>
      <c r="G331" s="169">
        <v>0.2</v>
      </c>
      <c r="H331" s="169">
        <v>0.4</v>
      </c>
      <c r="I331" s="168">
        <v>0.6</v>
      </c>
      <c r="J331" s="167"/>
      <c r="K331" s="167"/>
    </row>
    <row r="332" spans="1:11" ht="112" customHeight="1" x14ac:dyDescent="0.35">
      <c r="A332" s="167"/>
      <c r="B332" s="172" t="str">
        <f>HYPERLINK("[.\]'Library data'!$C$63","CA Adaptive costs factor")</f>
        <v>CA Adaptive costs factor</v>
      </c>
      <c r="C332" s="170" t="s">
        <v>2177</v>
      </c>
      <c r="D332" s="170" t="s">
        <v>2291</v>
      </c>
      <c r="E332" s="171"/>
      <c r="F332" s="170" t="s">
        <v>2290</v>
      </c>
      <c r="G332" s="169">
        <v>0.4</v>
      </c>
      <c r="H332" s="169">
        <v>0.8</v>
      </c>
      <c r="I332" s="168">
        <v>1.2</v>
      </c>
      <c r="J332" s="167"/>
      <c r="K332" s="167"/>
    </row>
    <row r="333" spans="1:11" ht="112" customHeight="1" x14ac:dyDescent="0.35">
      <c r="A333" s="167"/>
      <c r="B333" s="172" t="str">
        <f>HYPERLINK("[.\]'Library data'!$C$64","IA Adaptive costs factor")</f>
        <v>IA Adaptive costs factor</v>
      </c>
      <c r="C333" s="170" t="s">
        <v>2177</v>
      </c>
      <c r="D333" s="170" t="s">
        <v>2289</v>
      </c>
      <c r="E333" s="171"/>
      <c r="F333" s="170" t="s">
        <v>2288</v>
      </c>
      <c r="G333" s="169">
        <v>0.4</v>
      </c>
      <c r="H333" s="169">
        <v>0.8</v>
      </c>
      <c r="I333" s="168">
        <v>1.2</v>
      </c>
      <c r="J333" s="167"/>
      <c r="K333" s="167"/>
    </row>
    <row r="334" spans="1:11" ht="112" customHeight="1" x14ac:dyDescent="0.35">
      <c r="A334" s="167"/>
      <c r="B334" s="172" t="str">
        <f>HYPERLINK("[.\]'Library data'!$C$65","AF Adaptive costs factor")</f>
        <v>AF Adaptive costs factor</v>
      </c>
      <c r="C334" s="170" t="s">
        <v>2177</v>
      </c>
      <c r="D334" s="170" t="s">
        <v>2287</v>
      </c>
      <c r="E334" s="171"/>
      <c r="F334" s="170" t="s">
        <v>2286</v>
      </c>
      <c r="G334" s="169">
        <v>0.4</v>
      </c>
      <c r="H334" s="169">
        <v>0.6</v>
      </c>
      <c r="I334" s="168">
        <v>0.8</v>
      </c>
      <c r="J334" s="167"/>
      <c r="K334" s="167"/>
    </row>
    <row r="335" spans="1:11" ht="112" customHeight="1" x14ac:dyDescent="0.35">
      <c r="A335" s="167"/>
      <c r="B335" s="172" t="str">
        <f>HYPERLINK("[.\]'Library data'!$C$66","LA Adaptive costs factor")</f>
        <v>LA Adaptive costs factor</v>
      </c>
      <c r="C335" s="170" t="s">
        <v>2177</v>
      </c>
      <c r="D335" s="170" t="s">
        <v>2285</v>
      </c>
      <c r="E335" s="171"/>
      <c r="F335" s="170" t="s">
        <v>2284</v>
      </c>
      <c r="G335" s="169">
        <v>0.4</v>
      </c>
      <c r="H335" s="169">
        <v>0.6</v>
      </c>
      <c r="I335" s="168">
        <v>0.8</v>
      </c>
      <c r="J335" s="167"/>
      <c r="K335" s="167"/>
    </row>
    <row r="336" spans="1:11" ht="112" customHeight="1" x14ac:dyDescent="0.35">
      <c r="A336" s="167"/>
      <c r="B336" s="172" t="str">
        <f>HYPERLINK("[.\]'Library data'!$C$70","EMIT_CO2_1")</f>
        <v>EMIT_CO2_1</v>
      </c>
      <c r="C336" s="170" t="s">
        <v>2177</v>
      </c>
      <c r="D336" s="170" t="s">
        <v>2283</v>
      </c>
      <c r="E336" s="171"/>
      <c r="F336" s="170" t="s">
        <v>2282</v>
      </c>
      <c r="G336" s="169">
        <v>-50</v>
      </c>
      <c r="H336" s="169">
        <v>8.3333329999999997</v>
      </c>
      <c r="I336" s="168">
        <v>75</v>
      </c>
      <c r="J336" s="167"/>
      <c r="K336" s="167"/>
    </row>
    <row r="337" spans="1:11" ht="112" customHeight="1" x14ac:dyDescent="0.35">
      <c r="A337" s="167"/>
      <c r="B337" s="172" t="str">
        <f>HYPERLINK("[.\]'Library data'!$C$71","Q0_PROP_INIT_CO2_1")</f>
        <v>Q0_PROP_INIT_CO2_1</v>
      </c>
      <c r="C337" s="170" t="s">
        <v>2177</v>
      </c>
      <c r="D337" s="170" t="s">
        <v>2281</v>
      </c>
      <c r="E337" s="171"/>
      <c r="F337" s="170" t="s">
        <v>2280</v>
      </c>
      <c r="G337" s="169">
        <v>0</v>
      </c>
      <c r="H337" s="169">
        <v>20</v>
      </c>
      <c r="I337" s="168">
        <v>40</v>
      </c>
      <c r="J337" s="167"/>
      <c r="K337" s="167"/>
    </row>
    <row r="338" spans="1:11" ht="112" customHeight="1" x14ac:dyDescent="0.35">
      <c r="A338" s="167"/>
      <c r="B338" s="172" t="str">
        <f>HYPERLINK("[.\]'Library data'!$C$72","C0_INIT_CO2")</f>
        <v>C0_INIT_CO2</v>
      </c>
      <c r="C338" s="170" t="s">
        <v>2177</v>
      </c>
      <c r="D338" s="170" t="s">
        <v>2279</v>
      </c>
      <c r="E338" s="171"/>
      <c r="F338" s="170" t="s">
        <v>2278</v>
      </c>
      <c r="G338" s="169">
        <v>-400</v>
      </c>
      <c r="H338" s="169">
        <v>-233.33330000000001</v>
      </c>
      <c r="I338" s="168">
        <v>-100</v>
      </c>
      <c r="J338" s="167"/>
      <c r="K338" s="167"/>
    </row>
    <row r="339" spans="1:11" ht="112" customHeight="1" x14ac:dyDescent="0.35">
      <c r="A339" s="167"/>
      <c r="B339" s="172" t="str">
        <f>HYPERLINK("[.\]'Library data'!$C$73","QMAX_MINUS_Q0_PROP_INIT_CO2")</f>
        <v>QMAX_MINUS_Q0_PROP_INIT_CO2</v>
      </c>
      <c r="C339" s="170" t="s">
        <v>2177</v>
      </c>
      <c r="D339" s="170" t="s">
        <v>2277</v>
      </c>
      <c r="E339" s="171"/>
      <c r="F339" s="170" t="s">
        <v>2276</v>
      </c>
      <c r="G339" s="169">
        <v>60</v>
      </c>
      <c r="H339" s="169">
        <v>70</v>
      </c>
      <c r="I339" s="168">
        <v>80</v>
      </c>
      <c r="J339" s="167"/>
      <c r="K339" s="167"/>
    </row>
    <row r="340" spans="1:11" ht="112" customHeight="1" x14ac:dyDescent="0.35">
      <c r="A340" s="167"/>
      <c r="B340" s="172" t="str">
        <f>HYPERLINK("[.\]'Library data'!$C$74","CMAX_INIT_CO2_1")</f>
        <v>CMAX_INIT_CO2_1</v>
      </c>
      <c r="C340" s="170" t="s">
        <v>2177</v>
      </c>
      <c r="D340" s="170" t="s">
        <v>2275</v>
      </c>
      <c r="E340" s="171"/>
      <c r="F340" s="170" t="s">
        <v>2274</v>
      </c>
      <c r="G340" s="169">
        <v>100</v>
      </c>
      <c r="H340" s="169">
        <v>400</v>
      </c>
      <c r="I340" s="168">
        <v>700</v>
      </c>
      <c r="J340" s="167"/>
      <c r="K340" s="167"/>
    </row>
    <row r="341" spans="1:11" ht="112" customHeight="1" x14ac:dyDescent="0.35">
      <c r="A341" s="167"/>
      <c r="B341" s="172" t="str">
        <f>HYPERLINK("[.\]'Library data'!$C$75","IES_CO2")</f>
        <v>IES_CO2</v>
      </c>
      <c r="C341" s="170" t="s">
        <v>2177</v>
      </c>
      <c r="D341" s="170" t="s">
        <v>2273</v>
      </c>
      <c r="E341" s="171"/>
      <c r="F341" s="170" t="s">
        <v>2272</v>
      </c>
      <c r="G341" s="169">
        <v>100000</v>
      </c>
      <c r="H341" s="169">
        <v>150000</v>
      </c>
      <c r="I341" s="168">
        <v>200000</v>
      </c>
      <c r="J341" s="167"/>
      <c r="K341" s="167"/>
    </row>
    <row r="342" spans="1:11" ht="112" customHeight="1" x14ac:dyDescent="0.35">
      <c r="A342" s="167"/>
      <c r="B342" s="172" t="str">
        <f>HYPERLINK("[.\]'Library data'!$C$77","EMIT_CH4_1")</f>
        <v>EMIT_CH4_1</v>
      </c>
      <c r="C342" s="170" t="s">
        <v>2177</v>
      </c>
      <c r="D342" s="170" t="s">
        <v>2271</v>
      </c>
      <c r="E342" s="171"/>
      <c r="F342" s="170" t="s">
        <v>2270</v>
      </c>
      <c r="G342" s="169">
        <v>-25</v>
      </c>
      <c r="H342" s="169">
        <v>25</v>
      </c>
      <c r="I342" s="168">
        <v>100</v>
      </c>
      <c r="J342" s="167"/>
      <c r="K342" s="167"/>
    </row>
    <row r="343" spans="1:11" ht="112" customHeight="1" x14ac:dyDescent="0.35">
      <c r="A343" s="167"/>
      <c r="B343" s="172" t="str">
        <f>HYPERLINK("[.\]'Library data'!$C$78","Q0_PROP_INIT_CH4_1")</f>
        <v>Q0_PROP_INIT_CH4_1</v>
      </c>
      <c r="C343" s="170" t="s">
        <v>2177</v>
      </c>
      <c r="D343" s="170" t="s">
        <v>2269</v>
      </c>
      <c r="E343" s="171"/>
      <c r="F343" s="170" t="s">
        <v>2268</v>
      </c>
      <c r="G343" s="169">
        <v>0</v>
      </c>
      <c r="H343" s="169">
        <v>10</v>
      </c>
      <c r="I343" s="168">
        <v>20</v>
      </c>
      <c r="J343" s="167"/>
      <c r="K343" s="167"/>
    </row>
    <row r="344" spans="1:11" ht="112" customHeight="1" x14ac:dyDescent="0.35">
      <c r="A344" s="167"/>
      <c r="B344" s="172" t="str">
        <f>HYPERLINK("[.\]'Library data'!$C$79","C0_INIT_CH4")</f>
        <v>C0_INIT_CH4</v>
      </c>
      <c r="C344" s="170" t="s">
        <v>2177</v>
      </c>
      <c r="D344" s="170" t="s">
        <v>2267</v>
      </c>
      <c r="E344" s="171"/>
      <c r="F344" s="170" t="s">
        <v>2266</v>
      </c>
      <c r="G344" s="169">
        <v>-8000</v>
      </c>
      <c r="H344" s="169">
        <v>-4333.3329999999996</v>
      </c>
      <c r="I344" s="168">
        <v>-1000</v>
      </c>
      <c r="J344" s="167"/>
      <c r="K344" s="167"/>
    </row>
    <row r="345" spans="1:11" ht="112" customHeight="1" x14ac:dyDescent="0.35">
      <c r="A345" s="167"/>
      <c r="B345" s="172" t="str">
        <f>HYPERLINK("[.\]'Library data'!$C$80","QMAX_MINUS_Q0_PROP_INIT_CH4")</f>
        <v>QMAX_MINUS_Q0_PROP_INIT_CH4</v>
      </c>
      <c r="C345" s="170" t="s">
        <v>2177</v>
      </c>
      <c r="D345" s="170" t="s">
        <v>2265</v>
      </c>
      <c r="E345" s="171"/>
      <c r="F345" s="170" t="s">
        <v>2264</v>
      </c>
      <c r="G345" s="169">
        <v>35</v>
      </c>
      <c r="H345" s="169">
        <v>51.666670000000003</v>
      </c>
      <c r="I345" s="168">
        <v>70</v>
      </c>
      <c r="J345" s="167"/>
      <c r="K345" s="167"/>
    </row>
    <row r="346" spans="1:11" ht="112" customHeight="1" x14ac:dyDescent="0.35">
      <c r="A346" s="167"/>
      <c r="B346" s="172" t="str">
        <f>HYPERLINK("[.\]'Library data'!$C$81","CMAX_INIT_CH4_1")</f>
        <v>CMAX_INIT_CH4_1</v>
      </c>
      <c r="C346" s="170" t="s">
        <v>2177</v>
      </c>
      <c r="D346" s="170" t="s">
        <v>2263</v>
      </c>
      <c r="E346" s="171"/>
      <c r="F346" s="170" t="s">
        <v>2262</v>
      </c>
      <c r="G346" s="169">
        <v>3000</v>
      </c>
      <c r="H346" s="169">
        <v>6333.3329999999996</v>
      </c>
      <c r="I346" s="168">
        <v>10000</v>
      </c>
      <c r="J346" s="167"/>
      <c r="K346" s="167"/>
    </row>
    <row r="347" spans="1:11" ht="112" customHeight="1" x14ac:dyDescent="0.35">
      <c r="A347" s="167"/>
      <c r="B347" s="172" t="str">
        <f>HYPERLINK("[.\]'Library data'!$C$82","IES_CH4")</f>
        <v>IES_CH4</v>
      </c>
      <c r="C347" s="170" t="s">
        <v>2177</v>
      </c>
      <c r="D347" s="170" t="s">
        <v>2261</v>
      </c>
      <c r="E347" s="171"/>
      <c r="F347" s="170" t="s">
        <v>2260</v>
      </c>
      <c r="G347" s="169">
        <v>1500</v>
      </c>
      <c r="H347" s="169">
        <v>2000</v>
      </c>
      <c r="I347" s="168">
        <v>2500</v>
      </c>
      <c r="J347" s="167"/>
      <c r="K347" s="167"/>
    </row>
    <row r="348" spans="1:11" ht="112" customHeight="1" x14ac:dyDescent="0.35">
      <c r="A348" s="167"/>
      <c r="B348" s="172" t="str">
        <f>HYPERLINK("[.\]'Library data'!$C$84","EMIT_N2O_1")</f>
        <v>EMIT_N2O_1</v>
      </c>
      <c r="C348" s="170" t="s">
        <v>2177</v>
      </c>
      <c r="D348" s="170" t="s">
        <v>2259</v>
      </c>
      <c r="E348" s="171"/>
      <c r="F348" s="170" t="s">
        <v>2258</v>
      </c>
      <c r="G348" s="169">
        <v>-50</v>
      </c>
      <c r="H348" s="169">
        <v>0</v>
      </c>
      <c r="I348" s="168">
        <v>50</v>
      </c>
      <c r="J348" s="167"/>
      <c r="K348" s="167"/>
    </row>
    <row r="349" spans="1:11" ht="112" customHeight="1" x14ac:dyDescent="0.35">
      <c r="A349" s="167"/>
      <c r="B349" s="172" t="str">
        <f>HYPERLINK("[.\]'Library data'!$C$85","Q0_PROP_INIT_N2O_1")</f>
        <v>Q0_PROP_INIT_N2O_1</v>
      </c>
      <c r="C349" s="170" t="s">
        <v>2177</v>
      </c>
      <c r="D349" s="170" t="s">
        <v>2257</v>
      </c>
      <c r="E349" s="171"/>
      <c r="F349" s="170" t="s">
        <v>2256</v>
      </c>
      <c r="G349" s="169">
        <v>0</v>
      </c>
      <c r="H349" s="169">
        <v>10</v>
      </c>
      <c r="I349" s="168">
        <v>20</v>
      </c>
      <c r="J349" s="167"/>
      <c r="K349" s="167"/>
    </row>
    <row r="350" spans="1:11" ht="112" customHeight="1" x14ac:dyDescent="0.35">
      <c r="A350" s="167"/>
      <c r="B350" s="172" t="str">
        <f>HYPERLINK("[.\]'Library data'!$C$86","C0_INIT_N2O")</f>
        <v>C0_INIT_N2O</v>
      </c>
      <c r="C350" s="170" t="s">
        <v>2177</v>
      </c>
      <c r="D350" s="170" t="s">
        <v>2255</v>
      </c>
      <c r="E350" s="171"/>
      <c r="F350" s="170" t="s">
        <v>2254</v>
      </c>
      <c r="G350" s="169">
        <v>-15000</v>
      </c>
      <c r="H350" s="169">
        <v>-7333.3329999999996</v>
      </c>
      <c r="I350" s="168">
        <v>0</v>
      </c>
      <c r="J350" s="167"/>
      <c r="K350" s="167"/>
    </row>
    <row r="351" spans="1:11" ht="112" customHeight="1" x14ac:dyDescent="0.35">
      <c r="A351" s="167"/>
      <c r="B351" s="172" t="str">
        <f>HYPERLINK("[.\]'Library data'!$C$87","QMAX_MINUS_Q0_PROP_INIT_N2O")</f>
        <v>QMAX_MINUS_Q0_PROP_INIT_N2O</v>
      </c>
      <c r="C351" s="170" t="s">
        <v>2177</v>
      </c>
      <c r="D351" s="170" t="s">
        <v>2253</v>
      </c>
      <c r="E351" s="171"/>
      <c r="F351" s="170" t="s">
        <v>2252</v>
      </c>
      <c r="G351" s="169">
        <v>35</v>
      </c>
      <c r="H351" s="169">
        <v>51.666670000000003</v>
      </c>
      <c r="I351" s="168">
        <v>70</v>
      </c>
      <c r="J351" s="167"/>
      <c r="K351" s="167"/>
    </row>
    <row r="352" spans="1:11" ht="112" customHeight="1" x14ac:dyDescent="0.35">
      <c r="A352" s="167"/>
      <c r="B352" s="172" t="str">
        <f>HYPERLINK("[.\]'Library data'!$C$88","CMAX_INIT_N2O_1")</f>
        <v>CMAX_INIT_N2O_1</v>
      </c>
      <c r="C352" s="170" t="s">
        <v>2177</v>
      </c>
      <c r="D352" s="170" t="s">
        <v>2251</v>
      </c>
      <c r="E352" s="171"/>
      <c r="F352" s="170" t="s">
        <v>2250</v>
      </c>
      <c r="G352" s="169">
        <v>2000</v>
      </c>
      <c r="H352" s="169">
        <v>27333.33</v>
      </c>
      <c r="I352" s="168">
        <v>60000</v>
      </c>
      <c r="J352" s="167"/>
      <c r="K352" s="167"/>
    </row>
    <row r="353" spans="1:11" ht="112" customHeight="1" x14ac:dyDescent="0.35">
      <c r="A353" s="167"/>
      <c r="B353" s="172" t="str">
        <f>HYPERLINK("[.\]'Library data'!$C$89","IES_N2O")</f>
        <v>IES_N2O</v>
      </c>
      <c r="C353" s="170" t="s">
        <v>2177</v>
      </c>
      <c r="D353" s="170" t="s">
        <v>2249</v>
      </c>
      <c r="E353" s="171"/>
      <c r="F353" s="170" t="s">
        <v>2248</v>
      </c>
      <c r="G353" s="169">
        <v>30</v>
      </c>
      <c r="H353" s="169">
        <v>53.333329999999997</v>
      </c>
      <c r="I353" s="168">
        <v>80</v>
      </c>
      <c r="J353" s="167"/>
      <c r="K353" s="167"/>
    </row>
    <row r="354" spans="1:11" ht="112" customHeight="1" x14ac:dyDescent="0.35">
      <c r="A354" s="167"/>
      <c r="B354" s="172" t="str">
        <f>HYPERLINK("[.\]'Library data'!$C$91","EMIT_GLIN_1")</f>
        <v>EMIT_GLIN_1</v>
      </c>
      <c r="C354" s="170" t="s">
        <v>2177</v>
      </c>
      <c r="D354" s="170" t="s">
        <v>2247</v>
      </c>
      <c r="E354" s="171"/>
      <c r="F354" s="170" t="s">
        <v>2246</v>
      </c>
      <c r="G354" s="169">
        <v>-50</v>
      </c>
      <c r="H354" s="169">
        <v>0</v>
      </c>
      <c r="I354" s="168">
        <v>50</v>
      </c>
      <c r="J354" s="167"/>
      <c r="K354" s="167"/>
    </row>
    <row r="355" spans="1:11" ht="112" customHeight="1" x14ac:dyDescent="0.35">
      <c r="A355" s="167"/>
      <c r="B355" s="172" t="str">
        <f>HYPERLINK("[.\]'Library data'!$C$92","Q0_PROP_INIT_GLIN_1")</f>
        <v>Q0_PROP_INIT_GLIN_1</v>
      </c>
      <c r="C355" s="170" t="s">
        <v>2177</v>
      </c>
      <c r="D355" s="170" t="s">
        <v>2245</v>
      </c>
      <c r="E355" s="171"/>
      <c r="F355" s="170" t="s">
        <v>2244</v>
      </c>
      <c r="G355" s="169">
        <v>0</v>
      </c>
      <c r="H355" s="169">
        <v>10</v>
      </c>
      <c r="I355" s="168">
        <v>20</v>
      </c>
      <c r="J355" s="167"/>
      <c r="K355" s="167"/>
    </row>
    <row r="356" spans="1:11" ht="112" customHeight="1" x14ac:dyDescent="0.35">
      <c r="A356" s="167"/>
      <c r="B356" s="172" t="str">
        <f>HYPERLINK("[.\]'Library data'!$C$93","C0_INIT_GLIN")</f>
        <v>C0_INIT_GLIN</v>
      </c>
      <c r="C356" s="170" t="s">
        <v>2177</v>
      </c>
      <c r="D356" s="170" t="s">
        <v>2243</v>
      </c>
      <c r="E356" s="171"/>
      <c r="F356" s="170" t="s">
        <v>2242</v>
      </c>
      <c r="G356" s="169">
        <v>-400</v>
      </c>
      <c r="H356" s="169">
        <v>-233.33330000000001</v>
      </c>
      <c r="I356" s="168">
        <v>-100</v>
      </c>
      <c r="J356" s="167"/>
      <c r="K356" s="167"/>
    </row>
    <row r="357" spans="1:11" ht="112" customHeight="1" x14ac:dyDescent="0.35">
      <c r="A357" s="167"/>
      <c r="B357" s="172" t="str">
        <f>HYPERLINK("[.\]'Library data'!$C$94","QMAX_MINUS_Q0_PROP_INIT_GLIN")</f>
        <v>QMAX_MINUS_Q0_PROP_INIT_GLIN</v>
      </c>
      <c r="C357" s="170" t="s">
        <v>2177</v>
      </c>
      <c r="D357" s="170" t="s">
        <v>2241</v>
      </c>
      <c r="E357" s="171"/>
      <c r="F357" s="170" t="s">
        <v>2240</v>
      </c>
      <c r="G357" s="169">
        <v>60</v>
      </c>
      <c r="H357" s="169">
        <v>70</v>
      </c>
      <c r="I357" s="168">
        <v>80</v>
      </c>
      <c r="J357" s="167"/>
      <c r="K357" s="167"/>
    </row>
    <row r="358" spans="1:11" ht="112" customHeight="1" x14ac:dyDescent="0.35">
      <c r="A358" s="167"/>
      <c r="B358" s="172" t="str">
        <f>HYPERLINK("[.\]'Library data'!$C$95","CMAX_INIT_GLIN_1")</f>
        <v>CMAX_INIT_GLIN_1</v>
      </c>
      <c r="C358" s="170" t="s">
        <v>2177</v>
      </c>
      <c r="D358" s="170" t="s">
        <v>2239</v>
      </c>
      <c r="E358" s="171"/>
      <c r="F358" s="170" t="s">
        <v>2238</v>
      </c>
      <c r="G358" s="169">
        <v>100</v>
      </c>
      <c r="H358" s="169">
        <v>333.33330000000001</v>
      </c>
      <c r="I358" s="168">
        <v>600</v>
      </c>
      <c r="J358" s="167"/>
      <c r="K358" s="167"/>
    </row>
    <row r="359" spans="1:11" ht="112" customHeight="1" x14ac:dyDescent="0.35">
      <c r="A359" s="167"/>
      <c r="B359" s="172" t="str">
        <f>HYPERLINK("[.\]'Library data'!$C$96","IES_GLIN")</f>
        <v>IES_GLIN</v>
      </c>
      <c r="C359" s="170" t="s">
        <v>2177</v>
      </c>
      <c r="D359" s="170" t="s">
        <v>2237</v>
      </c>
      <c r="E359" s="171"/>
      <c r="F359" s="170" t="s">
        <v>2236</v>
      </c>
      <c r="G359" s="169">
        <v>1500</v>
      </c>
      <c r="H359" s="169">
        <v>2000</v>
      </c>
      <c r="I359" s="168">
        <v>2500</v>
      </c>
      <c r="J359" s="167"/>
      <c r="K359" s="167"/>
    </row>
    <row r="360" spans="1:11" ht="112" customHeight="1" x14ac:dyDescent="0.35">
      <c r="A360" s="167"/>
      <c r="B360" s="172" t="str">
        <f>HYPERLINK("[.\]'Library data'!$C$98","US uncertainty in BAU emissions factor")</f>
        <v>US uncertainty in BAU emissions factor</v>
      </c>
      <c r="C360" s="170" t="s">
        <v>2177</v>
      </c>
      <c r="D360" s="170" t="s">
        <v>2235</v>
      </c>
      <c r="E360" s="171"/>
      <c r="F360" s="170" t="s">
        <v>2234</v>
      </c>
      <c r="G360" s="169">
        <v>0.8</v>
      </c>
      <c r="H360" s="169">
        <v>1</v>
      </c>
      <c r="I360" s="168">
        <v>1.2</v>
      </c>
      <c r="J360" s="167"/>
      <c r="K360" s="167"/>
    </row>
    <row r="361" spans="1:11" ht="112" customHeight="1" x14ac:dyDescent="0.35">
      <c r="A361" s="167"/>
      <c r="B361" s="172" t="str">
        <f>HYPERLINK("[.\]'Library data'!$C$99","OT uncertainty in BAU emissions factor")</f>
        <v>OT uncertainty in BAU emissions factor</v>
      </c>
      <c r="C361" s="170" t="s">
        <v>2177</v>
      </c>
      <c r="D361" s="170" t="s">
        <v>2233</v>
      </c>
      <c r="E361" s="171"/>
      <c r="F361" s="170" t="s">
        <v>2232</v>
      </c>
      <c r="G361" s="169">
        <v>0.8</v>
      </c>
      <c r="H361" s="169">
        <v>1</v>
      </c>
      <c r="I361" s="168">
        <v>1.2</v>
      </c>
      <c r="J361" s="167"/>
      <c r="K361" s="167"/>
    </row>
    <row r="362" spans="1:11" ht="112" customHeight="1" x14ac:dyDescent="0.35">
      <c r="A362" s="167"/>
      <c r="B362" s="172" t="str">
        <f>HYPERLINK("[.\]'Library data'!$C$100","EE uncertainty in BAU emissions factor")</f>
        <v>EE uncertainty in BAU emissions factor</v>
      </c>
      <c r="C362" s="170" t="s">
        <v>2177</v>
      </c>
      <c r="D362" s="170" t="s">
        <v>2231</v>
      </c>
      <c r="E362" s="171"/>
      <c r="F362" s="170" t="s">
        <v>2230</v>
      </c>
      <c r="G362" s="169">
        <v>0.65</v>
      </c>
      <c r="H362" s="169">
        <v>1</v>
      </c>
      <c r="I362" s="168">
        <v>1.35</v>
      </c>
      <c r="J362" s="167"/>
      <c r="K362" s="167"/>
    </row>
    <row r="363" spans="1:11" ht="112" customHeight="1" x14ac:dyDescent="0.35">
      <c r="A363" s="167"/>
      <c r="B363" s="172" t="str">
        <f>HYPERLINK("[.\]'Library data'!$C$101","CA uncertainty in BAU emissions factor")</f>
        <v>CA uncertainty in BAU emissions factor</v>
      </c>
      <c r="C363" s="170" t="s">
        <v>2177</v>
      </c>
      <c r="D363" s="170" t="s">
        <v>2229</v>
      </c>
      <c r="E363" s="171"/>
      <c r="F363" s="170" t="s">
        <v>2228</v>
      </c>
      <c r="G363" s="169">
        <v>0.5</v>
      </c>
      <c r="H363" s="169">
        <v>1</v>
      </c>
      <c r="I363" s="168">
        <v>1.5</v>
      </c>
      <c r="J363" s="167"/>
      <c r="K363" s="167"/>
    </row>
    <row r="364" spans="1:11" ht="112" customHeight="1" x14ac:dyDescent="0.35">
      <c r="A364" s="167"/>
      <c r="B364" s="172" t="str">
        <f>HYPERLINK("[.\]'Library data'!$C$102","IA uncertainty in BAU emissions factor")</f>
        <v>IA uncertainty in BAU emissions factor</v>
      </c>
      <c r="C364" s="170" t="s">
        <v>2177</v>
      </c>
      <c r="D364" s="170" t="s">
        <v>2227</v>
      </c>
      <c r="E364" s="171"/>
      <c r="F364" s="170" t="s">
        <v>2226</v>
      </c>
      <c r="G364" s="169">
        <v>0.5</v>
      </c>
      <c r="H364" s="169">
        <v>1</v>
      </c>
      <c r="I364" s="168">
        <v>1.5</v>
      </c>
      <c r="J364" s="167"/>
      <c r="K364" s="167"/>
    </row>
    <row r="365" spans="1:11" ht="112" customHeight="1" x14ac:dyDescent="0.35">
      <c r="A365" s="167"/>
      <c r="B365" s="172" t="str">
        <f>HYPERLINK("[.\]'Library data'!$C$103","AF uncertainty in BAU emissions factor")</f>
        <v>AF uncertainty in BAU emissions factor</v>
      </c>
      <c r="C365" s="170" t="s">
        <v>2177</v>
      </c>
      <c r="D365" s="170" t="s">
        <v>2225</v>
      </c>
      <c r="E365" s="171"/>
      <c r="F365" s="170" t="s">
        <v>2224</v>
      </c>
      <c r="G365" s="169">
        <v>0.5</v>
      </c>
      <c r="H365" s="169">
        <v>1</v>
      </c>
      <c r="I365" s="168">
        <v>1.5</v>
      </c>
      <c r="J365" s="167"/>
      <c r="K365" s="167"/>
    </row>
    <row r="366" spans="1:11" ht="112" customHeight="1" x14ac:dyDescent="0.35">
      <c r="A366" s="167"/>
      <c r="B366" s="172" t="str">
        <f>HYPERLINK("[.\]'Library data'!$C$104","LA uncertainty in BAU emissions factor")</f>
        <v>LA uncertainty in BAU emissions factor</v>
      </c>
      <c r="C366" s="170" t="s">
        <v>2177</v>
      </c>
      <c r="D366" s="170" t="s">
        <v>2223</v>
      </c>
      <c r="E366" s="171"/>
      <c r="F366" s="170" t="s">
        <v>2222</v>
      </c>
      <c r="G366" s="169">
        <v>0.5</v>
      </c>
      <c r="H366" s="169">
        <v>1</v>
      </c>
      <c r="I366" s="168">
        <v>1.5</v>
      </c>
      <c r="J366" s="167"/>
      <c r="K366" s="167"/>
    </row>
    <row r="367" spans="1:11" ht="112" customHeight="1" x14ac:dyDescent="0.35">
      <c r="A367" s="167"/>
      <c r="B367" s="172" t="str">
        <f>HYPERLINK("[.\]'Library data'!$C$106","US negative cost percentage factor")</f>
        <v>US negative cost percentage factor</v>
      </c>
      <c r="C367" s="170" t="s">
        <v>2177</v>
      </c>
      <c r="D367" s="170" t="s">
        <v>2221</v>
      </c>
      <c r="E367" s="171"/>
      <c r="F367" s="170" t="s">
        <v>2220</v>
      </c>
      <c r="G367" s="169">
        <v>0.75</v>
      </c>
      <c r="H367" s="169">
        <v>1.0833330000000001</v>
      </c>
      <c r="I367" s="168">
        <v>1.5</v>
      </c>
      <c r="J367" s="167"/>
      <c r="K367" s="167"/>
    </row>
    <row r="368" spans="1:11" ht="112" customHeight="1" x14ac:dyDescent="0.35">
      <c r="A368" s="167"/>
      <c r="B368" s="172" t="str">
        <f>HYPERLINK("[.\]'Library data'!$C$107","OT negative cost percentage factor")</f>
        <v>OT negative cost percentage factor</v>
      </c>
      <c r="C368" s="170" t="s">
        <v>2177</v>
      </c>
      <c r="D368" s="170" t="s">
        <v>2219</v>
      </c>
      <c r="E368" s="171"/>
      <c r="F368" s="170" t="s">
        <v>2218</v>
      </c>
      <c r="G368" s="169">
        <v>0.75</v>
      </c>
      <c r="H368" s="169">
        <v>1</v>
      </c>
      <c r="I368" s="168">
        <v>1.25</v>
      </c>
      <c r="J368" s="167"/>
      <c r="K368" s="167"/>
    </row>
    <row r="369" spans="1:11" ht="112" customHeight="1" x14ac:dyDescent="0.35">
      <c r="A369" s="167"/>
      <c r="B369" s="172" t="str">
        <f>HYPERLINK("[.\]'Library data'!$C$108","EE negative cost percentage factor")</f>
        <v>EE negative cost percentage factor</v>
      </c>
      <c r="C369" s="170" t="s">
        <v>2177</v>
      </c>
      <c r="D369" s="170" t="s">
        <v>2217</v>
      </c>
      <c r="E369" s="171"/>
      <c r="F369" s="170" t="s">
        <v>2216</v>
      </c>
      <c r="G369" s="169">
        <v>0.4</v>
      </c>
      <c r="H369" s="169">
        <v>0.7</v>
      </c>
      <c r="I369" s="168">
        <v>1</v>
      </c>
      <c r="J369" s="167"/>
      <c r="K369" s="167"/>
    </row>
    <row r="370" spans="1:11" ht="112" customHeight="1" x14ac:dyDescent="0.35">
      <c r="A370" s="167"/>
      <c r="B370" s="172" t="str">
        <f>HYPERLINK("[.\]'Library data'!$C$109","CA negative cost percentage factor")</f>
        <v>CA negative cost percentage factor</v>
      </c>
      <c r="C370" s="170" t="s">
        <v>2177</v>
      </c>
      <c r="D370" s="170" t="s">
        <v>2215</v>
      </c>
      <c r="E370" s="171"/>
      <c r="F370" s="170" t="s">
        <v>2214</v>
      </c>
      <c r="G370" s="169">
        <v>0.4</v>
      </c>
      <c r="H370" s="169">
        <v>0.7</v>
      </c>
      <c r="I370" s="168">
        <v>1</v>
      </c>
      <c r="J370" s="167"/>
      <c r="K370" s="167"/>
    </row>
    <row r="371" spans="1:11" ht="112" customHeight="1" x14ac:dyDescent="0.35">
      <c r="A371" s="167"/>
      <c r="B371" s="172" t="str">
        <f>HYPERLINK("[.\]'Library data'!$C$110","IA negative cost percentage factor")</f>
        <v>IA negative cost percentage factor</v>
      </c>
      <c r="C371" s="170" t="s">
        <v>2177</v>
      </c>
      <c r="D371" s="170" t="s">
        <v>2213</v>
      </c>
      <c r="E371" s="171"/>
      <c r="F371" s="170" t="s">
        <v>2212</v>
      </c>
      <c r="G371" s="169">
        <v>0.4</v>
      </c>
      <c r="H371" s="169">
        <v>0.7</v>
      </c>
      <c r="I371" s="168">
        <v>1</v>
      </c>
      <c r="J371" s="167"/>
      <c r="K371" s="167"/>
    </row>
    <row r="372" spans="1:11" ht="112" customHeight="1" x14ac:dyDescent="0.35">
      <c r="A372" s="167"/>
      <c r="B372" s="172" t="str">
        <f>HYPERLINK("[.\]'Library data'!$C$111","AF negative cost percentage factor")</f>
        <v>AF negative cost percentage factor</v>
      </c>
      <c r="C372" s="170" t="s">
        <v>2177</v>
      </c>
      <c r="D372" s="170" t="s">
        <v>2211</v>
      </c>
      <c r="E372" s="171"/>
      <c r="F372" s="170" t="s">
        <v>2210</v>
      </c>
      <c r="G372" s="169">
        <v>0.4</v>
      </c>
      <c r="H372" s="169">
        <v>0.7</v>
      </c>
      <c r="I372" s="168">
        <v>1</v>
      </c>
      <c r="J372" s="167"/>
      <c r="K372" s="167"/>
    </row>
    <row r="373" spans="1:11" ht="112" customHeight="1" x14ac:dyDescent="0.35">
      <c r="A373" s="167"/>
      <c r="B373" s="172" t="str">
        <f>HYPERLINK("[.\]'Library data'!$C$112","LA negative cost percentage factor")</f>
        <v>LA negative cost percentage factor</v>
      </c>
      <c r="C373" s="170" t="s">
        <v>2177</v>
      </c>
      <c r="D373" s="170" t="s">
        <v>2209</v>
      </c>
      <c r="E373" s="171"/>
      <c r="F373" s="170" t="s">
        <v>2208</v>
      </c>
      <c r="G373" s="169">
        <v>0.4</v>
      </c>
      <c r="H373" s="169">
        <v>0.7</v>
      </c>
      <c r="I373" s="168">
        <v>1</v>
      </c>
      <c r="J373" s="167"/>
      <c r="K373" s="167"/>
    </row>
    <row r="374" spans="1:11" ht="112" customHeight="1" x14ac:dyDescent="0.35">
      <c r="A374" s="167"/>
      <c r="B374" s="172" t="str">
        <f>HYPERLINK("[.\]'Library data'!$C$114","US maximum cost factor")</f>
        <v>US maximum cost factor</v>
      </c>
      <c r="C374" s="170" t="s">
        <v>2177</v>
      </c>
      <c r="D374" s="170" t="s">
        <v>2207</v>
      </c>
      <c r="E374" s="171"/>
      <c r="F374" s="170" t="s">
        <v>2206</v>
      </c>
      <c r="G374" s="169">
        <v>0.8</v>
      </c>
      <c r="H374" s="169">
        <v>1</v>
      </c>
      <c r="I374" s="168">
        <v>1.2</v>
      </c>
      <c r="J374" s="167"/>
      <c r="K374" s="167"/>
    </row>
    <row r="375" spans="1:11" ht="112" customHeight="1" x14ac:dyDescent="0.35">
      <c r="A375" s="167"/>
      <c r="B375" s="172" t="str">
        <f>HYPERLINK("[.\]'Library data'!$C$115","OT maximum cost factor")</f>
        <v>OT maximum cost factor</v>
      </c>
      <c r="C375" s="170" t="s">
        <v>2177</v>
      </c>
      <c r="D375" s="170" t="s">
        <v>2205</v>
      </c>
      <c r="E375" s="171"/>
      <c r="F375" s="170" t="s">
        <v>2204</v>
      </c>
      <c r="G375" s="169">
        <v>1</v>
      </c>
      <c r="H375" s="169">
        <v>1.233333</v>
      </c>
      <c r="I375" s="168">
        <v>1.5</v>
      </c>
      <c r="J375" s="167"/>
      <c r="K375" s="167"/>
    </row>
    <row r="376" spans="1:11" ht="112" customHeight="1" x14ac:dyDescent="0.35">
      <c r="A376" s="167"/>
      <c r="B376" s="172" t="str">
        <f>HYPERLINK("[.\]'Library data'!$C$116","EE maximum cost factor")</f>
        <v>EE maximum cost factor</v>
      </c>
      <c r="C376" s="170" t="s">
        <v>2177</v>
      </c>
      <c r="D376" s="170" t="s">
        <v>2203</v>
      </c>
      <c r="E376" s="171"/>
      <c r="F376" s="170" t="s">
        <v>2202</v>
      </c>
      <c r="G376" s="169">
        <v>0.4</v>
      </c>
      <c r="H376" s="169">
        <v>0.7</v>
      </c>
      <c r="I376" s="168">
        <v>1</v>
      </c>
      <c r="J376" s="167"/>
      <c r="K376" s="167"/>
    </row>
    <row r="377" spans="1:11" ht="112" customHeight="1" x14ac:dyDescent="0.35">
      <c r="A377" s="167"/>
      <c r="B377" s="172" t="str">
        <f>HYPERLINK("[.\]'Library data'!$C$117","CA maximum cost factor")</f>
        <v>CA maximum cost factor</v>
      </c>
      <c r="C377" s="170" t="s">
        <v>2177</v>
      </c>
      <c r="D377" s="170" t="s">
        <v>2201</v>
      </c>
      <c r="E377" s="171"/>
      <c r="F377" s="170" t="s">
        <v>2200</v>
      </c>
      <c r="G377" s="169">
        <v>0.8</v>
      </c>
      <c r="H377" s="169">
        <v>1</v>
      </c>
      <c r="I377" s="168">
        <v>1.2</v>
      </c>
      <c r="J377" s="167"/>
      <c r="K377" s="167"/>
    </row>
    <row r="378" spans="1:11" ht="112" customHeight="1" x14ac:dyDescent="0.35">
      <c r="A378" s="167"/>
      <c r="B378" s="172" t="str">
        <f>HYPERLINK("[.\]'Library data'!$C$118","IA maximum cost factor")</f>
        <v>IA maximum cost factor</v>
      </c>
      <c r="C378" s="170" t="s">
        <v>2177</v>
      </c>
      <c r="D378" s="170" t="s">
        <v>2199</v>
      </c>
      <c r="E378" s="171"/>
      <c r="F378" s="170" t="s">
        <v>2198</v>
      </c>
      <c r="G378" s="169">
        <v>1</v>
      </c>
      <c r="H378" s="169">
        <v>1.233333</v>
      </c>
      <c r="I378" s="168">
        <v>1.5</v>
      </c>
      <c r="J378" s="167"/>
      <c r="K378" s="167"/>
    </row>
    <row r="379" spans="1:11" ht="112" customHeight="1" x14ac:dyDescent="0.35">
      <c r="A379" s="167"/>
      <c r="B379" s="172" t="str">
        <f>HYPERLINK("[.\]'Library data'!$C$119","AF maximum cost factor")</f>
        <v>AF maximum cost factor</v>
      </c>
      <c r="C379" s="170" t="s">
        <v>2177</v>
      </c>
      <c r="D379" s="170" t="s">
        <v>2197</v>
      </c>
      <c r="E379" s="171"/>
      <c r="F379" s="170" t="s">
        <v>2196</v>
      </c>
      <c r="G379" s="169">
        <v>1</v>
      </c>
      <c r="H379" s="169">
        <v>1.233333</v>
      </c>
      <c r="I379" s="168">
        <v>1.5</v>
      </c>
      <c r="J379" s="167"/>
      <c r="K379" s="167"/>
    </row>
    <row r="380" spans="1:11" ht="112" customHeight="1" x14ac:dyDescent="0.35">
      <c r="A380" s="167"/>
      <c r="B380" s="172" t="str">
        <f>HYPERLINK("[.\]'Library data'!$C$120","LA maximum cost factor")</f>
        <v>LA maximum cost factor</v>
      </c>
      <c r="C380" s="170" t="s">
        <v>2177</v>
      </c>
      <c r="D380" s="170" t="s">
        <v>2195</v>
      </c>
      <c r="E380" s="171"/>
      <c r="F380" s="170" t="s">
        <v>2194</v>
      </c>
      <c r="G380" s="169">
        <v>0.4</v>
      </c>
      <c r="H380" s="169">
        <v>0.7</v>
      </c>
      <c r="I380" s="168">
        <v>1</v>
      </c>
      <c r="J380" s="167"/>
      <c r="K380" s="167"/>
    </row>
    <row r="381" spans="1:11" ht="112" customHeight="1" x14ac:dyDescent="0.35">
      <c r="A381" s="167"/>
      <c r="B381" s="172" t="str">
        <f>HYPERLINK("[.\]'Library data'!$C$122","Q0PROPMULT")</f>
        <v>Q0PROPMULT</v>
      </c>
      <c r="C381" s="170" t="s">
        <v>2177</v>
      </c>
      <c r="D381" s="170" t="s">
        <v>2193</v>
      </c>
      <c r="E381" s="171"/>
      <c r="F381" s="170" t="s">
        <v>2192</v>
      </c>
      <c r="G381" s="169">
        <v>0.3</v>
      </c>
      <c r="H381" s="169">
        <v>0.73333329999999997</v>
      </c>
      <c r="I381" s="168">
        <v>1.2</v>
      </c>
      <c r="J381" s="167"/>
      <c r="K381" s="167"/>
    </row>
    <row r="382" spans="1:11" ht="112" customHeight="1" x14ac:dyDescent="0.35">
      <c r="A382" s="167"/>
      <c r="B382" s="172" t="str">
        <f>HYPERLINK("[.\]'Library data'!$C$124","QMAX_MINUS_Q0_PROPMULT")</f>
        <v>QMAX_MINUS_Q0_PROPMULT</v>
      </c>
      <c r="C382" s="170" t="s">
        <v>2177</v>
      </c>
      <c r="D382" s="170" t="s">
        <v>2191</v>
      </c>
      <c r="E382" s="171"/>
      <c r="F382" s="170" t="s">
        <v>2190</v>
      </c>
      <c r="G382" s="169">
        <v>1</v>
      </c>
      <c r="H382" s="169">
        <v>1.266667</v>
      </c>
      <c r="I382" s="168">
        <v>1.5</v>
      </c>
      <c r="J382" s="167"/>
      <c r="K382" s="167"/>
    </row>
    <row r="383" spans="1:11" ht="112" customHeight="1" x14ac:dyDescent="0.35">
      <c r="A383" s="167"/>
      <c r="B383" s="172" t="str">
        <f>HYPERLINK("[.\]'Library data'!$C$126","C0MULT")</f>
        <v>C0MULT</v>
      </c>
      <c r="C383" s="170" t="s">
        <v>2177</v>
      </c>
      <c r="D383" s="170" t="s">
        <v>2189</v>
      </c>
      <c r="E383" s="171"/>
      <c r="F383" s="170" t="s">
        <v>2188</v>
      </c>
      <c r="G383" s="169">
        <v>0.5</v>
      </c>
      <c r="H383" s="169">
        <v>0.83333330000000005</v>
      </c>
      <c r="I383" s="168">
        <v>1.2</v>
      </c>
      <c r="J383" s="167"/>
      <c r="K383" s="167"/>
    </row>
    <row r="384" spans="1:11" ht="112" customHeight="1" x14ac:dyDescent="0.35">
      <c r="A384" s="167"/>
      <c r="B384" s="172" t="str">
        <f>HYPERLINK("[.\]'Library data'!$C$128","CURVE_BELOW")</f>
        <v>CURVE_BELOW</v>
      </c>
      <c r="C384" s="170" t="s">
        <v>2177</v>
      </c>
      <c r="D384" s="170" t="s">
        <v>2187</v>
      </c>
      <c r="E384" s="171"/>
      <c r="F384" s="170" t="s">
        <v>2186</v>
      </c>
      <c r="G384" s="169">
        <v>0.25</v>
      </c>
      <c r="H384" s="169">
        <v>0.5</v>
      </c>
      <c r="I384" s="168">
        <v>0.8</v>
      </c>
      <c r="J384" s="167"/>
      <c r="K384" s="167"/>
    </row>
    <row r="385" spans="1:11" ht="112" customHeight="1" x14ac:dyDescent="0.35">
      <c r="A385" s="167"/>
      <c r="B385" s="172" t="str">
        <f>HYPERLINK("[.\]'Library data'!$C$129","CURVE_ABOVE")</f>
        <v>CURVE_ABOVE</v>
      </c>
      <c r="C385" s="170" t="s">
        <v>2177</v>
      </c>
      <c r="D385" s="170" t="s">
        <v>2185</v>
      </c>
      <c r="E385" s="171"/>
      <c r="F385" s="170" t="s">
        <v>2184</v>
      </c>
      <c r="G385" s="169">
        <v>0.1</v>
      </c>
      <c r="H385" s="169">
        <v>0.4</v>
      </c>
      <c r="I385" s="168">
        <v>0.7</v>
      </c>
      <c r="J385" s="167"/>
      <c r="K385" s="167"/>
    </row>
    <row r="386" spans="1:11" ht="112" customHeight="1" x14ac:dyDescent="0.35">
      <c r="A386" s="167"/>
      <c r="B386" s="172" t="str">
        <f>HYPERLINK("[.\]'Library data'!$C$130","CROSS")</f>
        <v>CROSS</v>
      </c>
      <c r="C386" s="170" t="s">
        <v>2177</v>
      </c>
      <c r="D386" s="170" t="s">
        <v>2183</v>
      </c>
      <c r="E386" s="171"/>
      <c r="F386" s="170" t="s">
        <v>2182</v>
      </c>
      <c r="G386" s="169">
        <v>0.1</v>
      </c>
      <c r="H386" s="169">
        <v>0.2</v>
      </c>
      <c r="I386" s="168">
        <v>0.3</v>
      </c>
      <c r="J386" s="167"/>
      <c r="K386" s="167"/>
    </row>
    <row r="387" spans="1:11" ht="112" customHeight="1" x14ac:dyDescent="0.35">
      <c r="A387" s="167"/>
      <c r="B387" s="172" t="str">
        <f>HYPERLINK("[.\]'Library data'!$C$131","LEARN")</f>
        <v>LEARN</v>
      </c>
      <c r="C387" s="170" t="s">
        <v>2177</v>
      </c>
      <c r="D387" s="170" t="s">
        <v>2181</v>
      </c>
      <c r="E387" s="171"/>
      <c r="F387" s="170" t="s">
        <v>2180</v>
      </c>
      <c r="G387" s="169">
        <v>0.05</v>
      </c>
      <c r="H387" s="169">
        <v>0.2</v>
      </c>
      <c r="I387" s="168">
        <v>0.35</v>
      </c>
      <c r="J387" s="167"/>
      <c r="K387" s="167"/>
    </row>
    <row r="388" spans="1:11" ht="112" customHeight="1" x14ac:dyDescent="0.35">
      <c r="A388" s="167"/>
      <c r="B388" s="172" t="str">
        <f>HYPERLINK("[.\]'Library data'!$C$133","AUTOMULT")</f>
        <v>AUTOMULT</v>
      </c>
      <c r="C388" s="170" t="s">
        <v>2177</v>
      </c>
      <c r="D388" s="170" t="s">
        <v>2179</v>
      </c>
      <c r="E388" s="171"/>
      <c r="F388" s="170" t="s">
        <v>2178</v>
      </c>
      <c r="G388" s="169">
        <v>0.5</v>
      </c>
      <c r="H388" s="169">
        <v>0.65</v>
      </c>
      <c r="I388" s="168">
        <v>0.8</v>
      </c>
      <c r="J388" s="167"/>
      <c r="K388" s="167"/>
    </row>
    <row r="389" spans="1:11" ht="112" customHeight="1" x14ac:dyDescent="0.35">
      <c r="A389" s="167"/>
      <c r="B389" s="172" t="str">
        <f>HYPERLINK("[.\]'Library data'!$C$135","EQUITY_PROP")</f>
        <v>EQUITY_PROP</v>
      </c>
      <c r="C389" s="170" t="s">
        <v>2177</v>
      </c>
      <c r="D389" s="170" t="s">
        <v>2176</v>
      </c>
      <c r="E389" s="171"/>
      <c r="F389" s="170" t="s">
        <v>2175</v>
      </c>
      <c r="G389" s="169">
        <v>1</v>
      </c>
      <c r="H389" s="169">
        <v>1</v>
      </c>
      <c r="I389" s="168">
        <v>1</v>
      </c>
      <c r="J389" s="167"/>
      <c r="K389" s="167"/>
    </row>
    <row r="390" spans="1:11" ht="112" customHeight="1" x14ac:dyDescent="0.35">
      <c r="A390" s="167"/>
      <c r="B390" s="172" t="str">
        <f>HYPERLINK("[.\]'Impacts A'!$B$107","RAND_DIS")</f>
        <v>RAND_DIS</v>
      </c>
      <c r="C390" s="170" t="s">
        <v>2174</v>
      </c>
      <c r="D390" s="170" t="s">
        <v>2173</v>
      </c>
      <c r="E390" s="171"/>
      <c r="F390" s="170" t="s">
        <v>2172</v>
      </c>
      <c r="G390" s="169">
        <v>0</v>
      </c>
      <c r="H390" s="169">
        <v>0.5</v>
      </c>
      <c r="I390" s="168">
        <v>1</v>
      </c>
      <c r="J390" s="167"/>
      <c r="K390" s="167"/>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4"/>
  <sheetViews>
    <sheetView tabSelected="1" workbookViewId="0"/>
  </sheetViews>
  <sheetFormatPr defaultRowHeight="12.5" x14ac:dyDescent="0.25"/>
  <cols>
    <col min="1" max="1" width="19.26953125" bestFit="1" customWidth="1"/>
    <col min="2" max="2" width="9.26953125" customWidth="1"/>
    <col min="3" max="12" width="8.7265625" customWidth="1"/>
    <col min="13" max="13" width="10" bestFit="1" customWidth="1"/>
    <col min="14" max="14" width="17.453125" bestFit="1" customWidth="1"/>
    <col min="15" max="15" width="3.81640625" customWidth="1"/>
    <col min="16" max="16" width="3.7265625" customWidth="1"/>
  </cols>
  <sheetData>
    <row r="1" spans="1:14" ht="13" x14ac:dyDescent="0.3">
      <c r="A1" s="2" t="s">
        <v>471</v>
      </c>
      <c r="B1" t="s">
        <v>44</v>
      </c>
      <c r="C1" s="71">
        <v>1.7</v>
      </c>
      <c r="E1" t="s">
        <v>151</v>
      </c>
      <c r="F1" s="66">
        <v>1</v>
      </c>
      <c r="H1" t="s">
        <v>152</v>
      </c>
      <c r="I1" s="152">
        <v>41673</v>
      </c>
      <c r="J1" s="153" t="s">
        <v>2160</v>
      </c>
      <c r="K1" s="154" t="s">
        <v>2164</v>
      </c>
      <c r="L1" s="153"/>
      <c r="M1" s="154" t="s">
        <v>2166</v>
      </c>
      <c r="N1" s="153"/>
    </row>
    <row r="2" spans="1:14" x14ac:dyDescent="0.25">
      <c r="A2" s="128" t="s">
        <v>17</v>
      </c>
      <c r="B2" s="132">
        <v>2000</v>
      </c>
      <c r="N2" s="163" t="s">
        <v>2170</v>
      </c>
    </row>
    <row r="3" spans="1:14" x14ac:dyDescent="0.25">
      <c r="A3" t="s">
        <v>16</v>
      </c>
      <c r="C3" s="132">
        <v>2010</v>
      </c>
      <c r="D3" s="132">
        <v>2020</v>
      </c>
      <c r="E3" s="132">
        <v>2030</v>
      </c>
      <c r="F3" s="132">
        <v>2040</v>
      </c>
      <c r="G3" s="132">
        <v>2050</v>
      </c>
      <c r="H3" s="132">
        <v>2060</v>
      </c>
      <c r="I3" s="132">
        <v>2080</v>
      </c>
      <c r="J3" s="132">
        <v>2100</v>
      </c>
      <c r="K3" s="132">
        <v>2200</v>
      </c>
      <c r="L3" s="132">
        <v>2300</v>
      </c>
      <c r="M3" s="155" t="s">
        <v>494</v>
      </c>
      <c r="N3" s="156" t="str">
        <f>"Social Cost in "&amp;Y_SCC</f>
        <v>Social Cost in 2020</v>
      </c>
    </row>
    <row r="4" spans="1:14" x14ac:dyDescent="0.25">
      <c r="A4" s="3" t="s">
        <v>487</v>
      </c>
      <c r="B4" s="128">
        <v>2020</v>
      </c>
      <c r="C4" s="122">
        <f t="shared" ref="C4:L4" si="0">IF(Y_SCC=C3,1,0)</f>
        <v>0</v>
      </c>
      <c r="D4" s="122">
        <f t="shared" si="0"/>
        <v>1</v>
      </c>
      <c r="E4" s="122">
        <f t="shared" si="0"/>
        <v>0</v>
      </c>
      <c r="F4" s="122">
        <f t="shared" si="0"/>
        <v>0</v>
      </c>
      <c r="G4" s="122">
        <f t="shared" si="0"/>
        <v>0</v>
      </c>
      <c r="H4" s="122">
        <f t="shared" si="0"/>
        <v>0</v>
      </c>
      <c r="I4" s="122">
        <f t="shared" si="0"/>
        <v>0</v>
      </c>
      <c r="J4" s="122">
        <f t="shared" si="0"/>
        <v>0</v>
      </c>
      <c r="K4" s="122">
        <f t="shared" si="0"/>
        <v>0</v>
      </c>
      <c r="L4" s="122">
        <f t="shared" si="0"/>
        <v>0</v>
      </c>
      <c r="M4" s="156">
        <v>-1</v>
      </c>
      <c r="N4" s="157">
        <f>'Impacts A-B'!M450</f>
        <v>6703.7065418660641</v>
      </c>
    </row>
    <row r="5" spans="1:14" x14ac:dyDescent="0.25">
      <c r="A5" t="s">
        <v>18</v>
      </c>
      <c r="M5" t="str">
        <f>EMIT_NAME</f>
        <v>Mtonne</v>
      </c>
    </row>
    <row r="6" spans="1:14" x14ac:dyDescent="0.25">
      <c r="A6" t="s">
        <v>19</v>
      </c>
      <c r="B6" s="25" t="s">
        <v>20</v>
      </c>
      <c r="N6" s="3" t="s">
        <v>2171</v>
      </c>
    </row>
    <row r="7" spans="1:14" x14ac:dyDescent="0.25">
      <c r="A7" t="s">
        <v>21</v>
      </c>
      <c r="B7" s="25" t="s">
        <v>138</v>
      </c>
      <c r="N7" s="165">
        <f>N4</f>
        <v>6703.7065418660641</v>
      </c>
    </row>
    <row r="8" spans="1:14" ht="13" thickBot="1" x14ac:dyDescent="0.3">
      <c r="A8" s="128" t="s">
        <v>468</v>
      </c>
      <c r="B8" s="129">
        <v>3</v>
      </c>
      <c r="C8" t="s">
        <v>57</v>
      </c>
    </row>
    <row r="9" spans="1:14" ht="13.5" thickTop="1" thickBot="1" x14ac:dyDescent="0.3">
      <c r="A9" s="3" t="s">
        <v>469</v>
      </c>
      <c r="B9" s="27">
        <v>1</v>
      </c>
    </row>
    <row r="10" spans="1:14" ht="13.5" thickTop="1" thickBot="1" x14ac:dyDescent="0.3">
      <c r="A10" s="128" t="s">
        <v>180</v>
      </c>
      <c r="B10" s="129">
        <v>0</v>
      </c>
    </row>
    <row r="11" spans="1:14" ht="13" thickTop="1" x14ac:dyDescent="0.25">
      <c r="A11" s="9"/>
      <c r="B11" s="9" t="s">
        <v>14</v>
      </c>
      <c r="C11" s="9" t="s">
        <v>15</v>
      </c>
      <c r="D11" s="9" t="s">
        <v>182</v>
      </c>
      <c r="E11" s="113" t="s">
        <v>482</v>
      </c>
    </row>
    <row r="12" spans="1:14" x14ac:dyDescent="0.25">
      <c r="A12" s="9" t="s">
        <v>30</v>
      </c>
      <c r="B12" s="28">
        <v>278000</v>
      </c>
      <c r="C12" s="28">
        <v>700</v>
      </c>
      <c r="D12" s="69">
        <v>270</v>
      </c>
      <c r="E12" s="69">
        <v>0</v>
      </c>
      <c r="F12" s="11" t="s">
        <v>59</v>
      </c>
    </row>
    <row r="13" spans="1:14" x14ac:dyDescent="0.25">
      <c r="A13" s="9" t="s">
        <v>28</v>
      </c>
      <c r="B13" s="29">
        <v>7.8</v>
      </c>
      <c r="C13" s="29">
        <v>2.78</v>
      </c>
      <c r="D13" s="29">
        <v>7.8</v>
      </c>
      <c r="E13" s="70">
        <v>100000</v>
      </c>
      <c r="F13" s="11" t="s">
        <v>144</v>
      </c>
    </row>
    <row r="14" spans="1:14" x14ac:dyDescent="0.25">
      <c r="A14" s="130" t="s">
        <v>31</v>
      </c>
      <c r="B14" s="29">
        <v>5.5</v>
      </c>
      <c r="C14" s="131">
        <v>0</v>
      </c>
      <c r="D14" s="131">
        <v>0</v>
      </c>
      <c r="E14" s="130">
        <v>0</v>
      </c>
      <c r="F14" s="11"/>
      <c r="K14" s="12"/>
    </row>
    <row r="15" spans="1:14" x14ac:dyDescent="0.25">
      <c r="A15" s="9" t="s">
        <v>29</v>
      </c>
      <c r="B15" s="10"/>
      <c r="C15" s="29">
        <v>0</v>
      </c>
      <c r="D15" s="70">
        <v>0</v>
      </c>
      <c r="E15" s="70">
        <v>0</v>
      </c>
      <c r="F15" s="11" t="s">
        <v>144</v>
      </c>
      <c r="J15" s="12"/>
    </row>
    <row r="16" spans="1:14" x14ac:dyDescent="0.25">
      <c r="A16" s="9" t="s">
        <v>33</v>
      </c>
      <c r="B16" s="29">
        <f>30</f>
        <v>30</v>
      </c>
      <c r="C16" s="10"/>
      <c r="D16" s="9"/>
      <c r="E16" s="9"/>
      <c r="F16" s="11" t="s">
        <v>46</v>
      </c>
    </row>
    <row r="17" spans="1:14" x14ac:dyDescent="0.25">
      <c r="A17" s="9" t="s">
        <v>34</v>
      </c>
      <c r="B17" s="10"/>
      <c r="C17" s="29">
        <v>100</v>
      </c>
      <c r="D17" s="70">
        <v>100</v>
      </c>
      <c r="E17" s="70">
        <v>100</v>
      </c>
      <c r="F17" s="11" t="s">
        <v>46</v>
      </c>
    </row>
    <row r="18" spans="1:14" x14ac:dyDescent="0.25">
      <c r="A18" s="130" t="s">
        <v>32</v>
      </c>
      <c r="B18" s="10"/>
      <c r="C18" s="131">
        <v>1E-4</v>
      </c>
      <c r="D18" s="131">
        <v>1E-4</v>
      </c>
      <c r="E18" s="130">
        <v>1E-4</v>
      </c>
      <c r="F18" s="11" t="s">
        <v>47</v>
      </c>
      <c r="J18" s="4"/>
    </row>
    <row r="19" spans="1:14" x14ac:dyDescent="0.25">
      <c r="A19" s="130" t="s">
        <v>35</v>
      </c>
      <c r="B19" s="131">
        <v>369400</v>
      </c>
      <c r="C19" s="131">
        <f>PIC_CH4+0.001</f>
        <v>700.00099999999998</v>
      </c>
      <c r="D19" s="131">
        <f>PIC_N2O+0.001</f>
        <v>270.00099999999998</v>
      </c>
      <c r="E19" s="130">
        <f>0.0000000001</f>
        <v>1E-10</v>
      </c>
      <c r="F19" s="11" t="str">
        <f>F12</f>
        <v>ppb</v>
      </c>
    </row>
    <row r="20" spans="1:14" x14ac:dyDescent="0.25">
      <c r="A20" s="130" t="s">
        <v>36</v>
      </c>
      <c r="B20" s="131">
        <f>1800000</f>
        <v>1800000</v>
      </c>
      <c r="C20" s="10"/>
      <c r="D20" s="9"/>
      <c r="E20" s="9"/>
      <c r="F20" s="11" t="s">
        <v>60</v>
      </c>
    </row>
    <row r="21" spans="1:14" ht="13" thickBot="1" x14ac:dyDescent="0.3">
      <c r="A21" s="130" t="s">
        <v>37</v>
      </c>
      <c r="B21" s="133">
        <v>1.529668356278562</v>
      </c>
      <c r="C21" s="133">
        <v>0</v>
      </c>
      <c r="D21" s="133">
        <v>0</v>
      </c>
      <c r="E21" s="134">
        <v>0</v>
      </c>
      <c r="F21" s="11" t="s">
        <v>51</v>
      </c>
    </row>
    <row r="22" spans="1:14" ht="13" thickTop="1" x14ac:dyDescent="0.25"/>
    <row r="23" spans="1:14" x14ac:dyDescent="0.25">
      <c r="A23" t="s">
        <v>43</v>
      </c>
      <c r="C23" t="s">
        <v>22</v>
      </c>
      <c r="D23" t="s">
        <v>23</v>
      </c>
      <c r="E23" t="s">
        <v>173</v>
      </c>
      <c r="F23" t="s">
        <v>38</v>
      </c>
      <c r="G23" t="s">
        <v>39</v>
      </c>
      <c r="H23" t="s">
        <v>183</v>
      </c>
      <c r="I23" t="s">
        <v>480</v>
      </c>
      <c r="J23" t="s">
        <v>41</v>
      </c>
      <c r="K23" t="s">
        <v>40</v>
      </c>
      <c r="L23" t="s">
        <v>103</v>
      </c>
      <c r="M23" s="3" t="s">
        <v>208</v>
      </c>
    </row>
    <row r="24" spans="1:14" x14ac:dyDescent="0.25">
      <c r="A24" s="34" t="s">
        <v>0</v>
      </c>
      <c r="B24" s="25" t="s">
        <v>0</v>
      </c>
      <c r="C24" s="31">
        <v>4500000</v>
      </c>
      <c r="D24" s="135">
        <v>9951014.6951500475</v>
      </c>
      <c r="E24" s="141">
        <v>542.26326511697175</v>
      </c>
      <c r="F24" s="141">
        <v>4554.2665373738573</v>
      </c>
      <c r="G24" s="141">
        <v>1E-3</v>
      </c>
      <c r="H24" s="141">
        <v>1E-3</v>
      </c>
      <c r="I24" s="141">
        <v>1E-3</v>
      </c>
      <c r="J24" s="138">
        <v>6.1</v>
      </c>
      <c r="K24" s="31">
        <v>7.0000000000000005E-8</v>
      </c>
      <c r="L24" s="28">
        <v>1</v>
      </c>
      <c r="M24" s="28">
        <v>45</v>
      </c>
      <c r="N24" t="s">
        <v>148</v>
      </c>
    </row>
    <row r="25" spans="1:14" x14ac:dyDescent="0.25">
      <c r="A25" s="34" t="s">
        <v>3</v>
      </c>
      <c r="B25" s="25" t="s">
        <v>2</v>
      </c>
      <c r="C25" s="32">
        <v>9363000</v>
      </c>
      <c r="D25" s="136">
        <v>9691134.6837654058</v>
      </c>
      <c r="E25" s="142">
        <v>288.93292437115696</v>
      </c>
      <c r="F25" s="142">
        <v>9884.0352897677694</v>
      </c>
      <c r="G25" s="142">
        <v>1E-3</v>
      </c>
      <c r="H25" s="142">
        <v>1E-3</v>
      </c>
      <c r="I25" s="142">
        <v>1E-3</v>
      </c>
      <c r="J25" s="139">
        <v>8.3000000000000007</v>
      </c>
      <c r="K25" s="32">
        <v>7.0000000000000005E-8</v>
      </c>
      <c r="L25" s="29">
        <v>1</v>
      </c>
      <c r="M25" s="29">
        <v>40</v>
      </c>
    </row>
    <row r="26" spans="1:14" x14ac:dyDescent="0.25">
      <c r="A26" s="34" t="s">
        <v>13</v>
      </c>
      <c r="B26" s="25" t="s">
        <v>12</v>
      </c>
      <c r="C26" s="32">
        <v>14207000</v>
      </c>
      <c r="D26" s="136">
        <v>3335815.1355378567</v>
      </c>
      <c r="E26" s="142">
        <v>193.83313893635838</v>
      </c>
      <c r="F26" s="142">
        <v>1671.2300802454265</v>
      </c>
      <c r="G26" s="142">
        <v>1E-3</v>
      </c>
      <c r="H26" s="142">
        <v>1E-3</v>
      </c>
      <c r="I26" s="142">
        <v>1E-3</v>
      </c>
      <c r="J26" s="139">
        <v>2.6</v>
      </c>
      <c r="K26" s="32">
        <v>7.0000000000000005E-8</v>
      </c>
      <c r="L26" s="29">
        <v>1.2</v>
      </c>
      <c r="M26" s="29">
        <v>40</v>
      </c>
    </row>
    <row r="27" spans="1:14" x14ac:dyDescent="0.25">
      <c r="A27" s="34" t="s">
        <v>481</v>
      </c>
      <c r="B27" s="25" t="s">
        <v>1</v>
      </c>
      <c r="C27" s="32">
        <v>22900000</v>
      </c>
      <c r="D27" s="136">
        <v>1334326.0542151425</v>
      </c>
      <c r="E27" s="142">
        <v>581.49941680907511</v>
      </c>
      <c r="F27" s="142">
        <v>2211.3716421807485</v>
      </c>
      <c r="G27" s="142">
        <v>1E-3</v>
      </c>
      <c r="H27" s="142">
        <v>1E-3</v>
      </c>
      <c r="I27" s="142">
        <v>1E-3</v>
      </c>
      <c r="J27" s="139">
        <v>11</v>
      </c>
      <c r="K27" s="32">
        <v>7.0000000000000005E-8</v>
      </c>
      <c r="L27" s="29">
        <v>1.4</v>
      </c>
      <c r="M27" s="29">
        <v>55</v>
      </c>
    </row>
    <row r="28" spans="1:14" x14ac:dyDescent="0.25">
      <c r="A28" s="34" t="s">
        <v>5</v>
      </c>
      <c r="B28" s="25" t="s">
        <v>4</v>
      </c>
      <c r="C28" s="32">
        <v>11729000</v>
      </c>
      <c r="D28" s="136">
        <v>2668652.108430285</v>
      </c>
      <c r="E28" s="142">
        <v>1259.9154030863294</v>
      </c>
      <c r="F28" s="142">
        <v>2486.7903594051945</v>
      </c>
      <c r="G28" s="142">
        <v>1E-3</v>
      </c>
      <c r="H28" s="142">
        <v>1E-3</v>
      </c>
      <c r="I28" s="142">
        <v>1E-3</v>
      </c>
      <c r="J28" s="139">
        <v>21</v>
      </c>
      <c r="K28" s="32">
        <v>7.0000000000000005E-8</v>
      </c>
      <c r="L28" s="29">
        <v>0.6</v>
      </c>
      <c r="M28" s="29">
        <v>30</v>
      </c>
    </row>
    <row r="29" spans="1:14" x14ac:dyDescent="0.25">
      <c r="A29" s="34" t="s">
        <v>7</v>
      </c>
      <c r="B29" s="25" t="s">
        <v>6</v>
      </c>
      <c r="C29" s="32">
        <v>8899000</v>
      </c>
      <c r="D29" s="136">
        <v>2223876.7570252372</v>
      </c>
      <c r="E29" s="142">
        <v>1938.3313893635836</v>
      </c>
      <c r="F29" s="142">
        <v>4088.4972683124106</v>
      </c>
      <c r="G29" s="142">
        <v>1E-3</v>
      </c>
      <c r="H29" s="142">
        <v>1E-3</v>
      </c>
      <c r="I29" s="142">
        <v>1E-3</v>
      </c>
      <c r="J29" s="139">
        <v>4.3</v>
      </c>
      <c r="K29" s="32">
        <v>7.0000000000000005E-8</v>
      </c>
      <c r="L29" s="29">
        <v>0.8</v>
      </c>
      <c r="M29" s="29">
        <v>15</v>
      </c>
    </row>
    <row r="30" spans="1:14" x14ac:dyDescent="0.25">
      <c r="A30" s="34" t="s">
        <v>9</v>
      </c>
      <c r="B30" s="25" t="s">
        <v>8</v>
      </c>
      <c r="C30" s="32">
        <v>36337000</v>
      </c>
      <c r="D30" s="136">
        <v>1556713.7299176662</v>
      </c>
      <c r="E30" s="142">
        <v>775.33255574543352</v>
      </c>
      <c r="F30" s="142">
        <v>2291.5906860325294</v>
      </c>
      <c r="G30" s="142">
        <v>1E-3</v>
      </c>
      <c r="H30" s="142">
        <v>1E-3</v>
      </c>
      <c r="I30" s="142">
        <v>1E-3</v>
      </c>
      <c r="J30" s="139">
        <v>7.7</v>
      </c>
      <c r="K30" s="32">
        <v>7.0000000000000005E-8</v>
      </c>
      <c r="L30" s="29">
        <v>0.7</v>
      </c>
      <c r="M30" s="29">
        <v>20</v>
      </c>
    </row>
    <row r="31" spans="1:14" ht="13" thickBot="1" x14ac:dyDescent="0.3">
      <c r="A31" s="34" t="s">
        <v>11</v>
      </c>
      <c r="B31" s="25" t="s">
        <v>10</v>
      </c>
      <c r="C31" s="33">
        <v>34747000</v>
      </c>
      <c r="D31" s="137">
        <v>1779101.4056201898</v>
      </c>
      <c r="E31" s="143">
        <v>484.58284734089591</v>
      </c>
      <c r="F31" s="143">
        <v>1954.6707018550505</v>
      </c>
      <c r="G31" s="143">
        <v>1E-3</v>
      </c>
      <c r="H31" s="143">
        <v>1E-3</v>
      </c>
      <c r="I31" s="143">
        <v>1E-3</v>
      </c>
      <c r="J31" s="140">
        <v>5.0999999999999996</v>
      </c>
      <c r="K31" s="33">
        <v>7.0000000000000005E-8</v>
      </c>
      <c r="L31" s="30">
        <v>0.85</v>
      </c>
      <c r="M31" s="30">
        <v>20</v>
      </c>
    </row>
    <row r="32" spans="1:14" ht="13" thickTop="1" x14ac:dyDescent="0.25">
      <c r="C32" s="12" t="s">
        <v>61</v>
      </c>
      <c r="D32" s="26" t="s">
        <v>62</v>
      </c>
      <c r="E32" s="26" t="s">
        <v>174</v>
      </c>
      <c r="F32" s="26" t="s">
        <v>326</v>
      </c>
      <c r="G32" s="12" t="str">
        <f>EMIT_NAME</f>
        <v>Mtonne</v>
      </c>
      <c r="H32" s="12" t="str">
        <f>EMIT_NAME</f>
        <v>Mtonne</v>
      </c>
      <c r="I32" s="12" t="str">
        <f>EMIT_NAME</f>
        <v>Mtonne</v>
      </c>
      <c r="J32" s="12" t="s">
        <v>63</v>
      </c>
      <c r="K32" s="13" t="s">
        <v>143</v>
      </c>
      <c r="L32" s="12" t="s">
        <v>49</v>
      </c>
    </row>
    <row r="33" spans="1:13" x14ac:dyDescent="0.25">
      <c r="C33" s="1"/>
    </row>
    <row r="34" spans="1:13" x14ac:dyDescent="0.25">
      <c r="A34" t="s">
        <v>24</v>
      </c>
      <c r="B34" t="s">
        <v>25</v>
      </c>
      <c r="C34">
        <f>Y_0</f>
        <v>2000</v>
      </c>
      <c r="D34">
        <f t="array" ref="D34:L34">Y</f>
        <v>2010</v>
      </c>
      <c r="E34">
        <v>2020</v>
      </c>
      <c r="F34">
        <v>2030</v>
      </c>
      <c r="G34">
        <v>2040</v>
      </c>
      <c r="H34">
        <v>2050</v>
      </c>
      <c r="I34">
        <v>2060</v>
      </c>
      <c r="J34">
        <v>2080</v>
      </c>
      <c r="K34">
        <v>2100</v>
      </c>
      <c r="L34">
        <v>2200</v>
      </c>
    </row>
    <row r="35" spans="1:13" x14ac:dyDescent="0.25">
      <c r="B35" t="s">
        <v>26</v>
      </c>
      <c r="C35">
        <f t="array" ref="C35:L35">Y</f>
        <v>2010</v>
      </c>
      <c r="D35">
        <v>2020</v>
      </c>
      <c r="E35">
        <v>2030</v>
      </c>
      <c r="F35">
        <v>2040</v>
      </c>
      <c r="G35">
        <v>2050</v>
      </c>
      <c r="H35">
        <v>2060</v>
      </c>
      <c r="I35">
        <v>2080</v>
      </c>
      <c r="J35">
        <v>2100</v>
      </c>
      <c r="K35">
        <v>2200</v>
      </c>
      <c r="L35">
        <v>2300</v>
      </c>
    </row>
    <row r="36" spans="1:13" x14ac:dyDescent="0.25">
      <c r="B36" t="str">
        <f t="array" ref="B36:B43">R_CODE</f>
        <v>EU</v>
      </c>
      <c r="C36" s="138">
        <v>1.8395396289647343</v>
      </c>
      <c r="D36" s="138">
        <v>1.8553197077234942</v>
      </c>
      <c r="E36" s="138">
        <v>1.5827216932628327</v>
      </c>
      <c r="F36" s="138">
        <v>1.228211399787924</v>
      </c>
      <c r="G36" s="138">
        <v>1.0317990369636298</v>
      </c>
      <c r="H36" s="138">
        <v>0.9601262868233833</v>
      </c>
      <c r="I36" s="138">
        <v>0.94399385271901903</v>
      </c>
      <c r="J36" s="138">
        <v>1.0141577775824782</v>
      </c>
      <c r="K36" s="138">
        <v>1.100310349642927</v>
      </c>
      <c r="L36" s="138">
        <v>0.34755838021983654</v>
      </c>
      <c r="M36" s="3" t="s">
        <v>489</v>
      </c>
    </row>
    <row r="37" spans="1:13" x14ac:dyDescent="0.25">
      <c r="B37" t="str">
        <v>US</v>
      </c>
      <c r="C37" s="139">
        <v>2.4242296566938464</v>
      </c>
      <c r="D37" s="139">
        <v>2.0754606439765113</v>
      </c>
      <c r="E37" s="139">
        <v>1.7626040972745372</v>
      </c>
      <c r="F37" s="139">
        <v>1.6531789692598178</v>
      </c>
      <c r="G37" s="139">
        <v>1.4776527246065927</v>
      </c>
      <c r="H37" s="139">
        <v>1.3531468383963818</v>
      </c>
      <c r="I37" s="139">
        <v>1.319204579334575</v>
      </c>
      <c r="J37" s="139">
        <v>1.2507031759379952</v>
      </c>
      <c r="K37" s="139">
        <v>1.100310349642927</v>
      </c>
      <c r="L37" s="139">
        <v>0.3475583802198367</v>
      </c>
      <c r="M37" s="3" t="s">
        <v>489</v>
      </c>
    </row>
    <row r="38" spans="1:13" x14ac:dyDescent="0.25">
      <c r="B38" t="str">
        <v>OT</v>
      </c>
      <c r="C38" s="139">
        <v>3.8807249971911753</v>
      </c>
      <c r="D38" s="139">
        <v>3.7664893277608242</v>
      </c>
      <c r="E38" s="139">
        <v>3.5823594025318584</v>
      </c>
      <c r="F38" s="139">
        <v>3.3132200218077168</v>
      </c>
      <c r="G38" s="139">
        <v>2.9320492535149603</v>
      </c>
      <c r="H38" s="139">
        <v>2.6650544129018727</v>
      </c>
      <c r="I38" s="139">
        <v>2.1917396280103656</v>
      </c>
      <c r="J38" s="139">
        <v>1.7624122495767995</v>
      </c>
      <c r="K38" s="139">
        <v>1.1003103496429267</v>
      </c>
      <c r="L38" s="139">
        <v>0.3475583802198367</v>
      </c>
      <c r="M38" s="3" t="s">
        <v>489</v>
      </c>
    </row>
    <row r="39" spans="1:13" x14ac:dyDescent="0.25">
      <c r="B39" t="str">
        <v>EE</v>
      </c>
      <c r="C39" s="139">
        <v>3.8807249971911753</v>
      </c>
      <c r="D39" s="139">
        <v>3.7664893277608242</v>
      </c>
      <c r="E39" s="139">
        <v>3.5823594025318592</v>
      </c>
      <c r="F39" s="139">
        <v>3.3132200218077168</v>
      </c>
      <c r="G39" s="139">
        <v>2.9320492535149603</v>
      </c>
      <c r="H39" s="139">
        <v>2.6650544129018727</v>
      </c>
      <c r="I39" s="139">
        <v>2.1917396280103647</v>
      </c>
      <c r="J39" s="139">
        <v>1.7624122495767995</v>
      </c>
      <c r="K39" s="139">
        <v>1.100310349642927</v>
      </c>
      <c r="L39" s="139">
        <v>0.34755838021983654</v>
      </c>
      <c r="M39" s="3" t="s">
        <v>489</v>
      </c>
    </row>
    <row r="40" spans="1:13" x14ac:dyDescent="0.25">
      <c r="B40" t="str">
        <v>CA</v>
      </c>
      <c r="C40" s="139">
        <v>3.8807249971911753</v>
      </c>
      <c r="D40" s="139">
        <v>3.7664893277608242</v>
      </c>
      <c r="E40" s="139">
        <v>3.5823594025318592</v>
      </c>
      <c r="F40" s="139">
        <v>3.3132200218077168</v>
      </c>
      <c r="G40" s="139">
        <v>2.9320492535149603</v>
      </c>
      <c r="H40" s="139">
        <v>2.6650544129018727</v>
      </c>
      <c r="I40" s="139">
        <v>2.1917396280103647</v>
      </c>
      <c r="J40" s="139">
        <v>1.7624122495767995</v>
      </c>
      <c r="K40" s="139">
        <v>1.100310349642927</v>
      </c>
      <c r="L40" s="139">
        <v>0.34755838021983654</v>
      </c>
      <c r="M40" s="3" t="s">
        <v>489</v>
      </c>
    </row>
    <row r="41" spans="1:13" x14ac:dyDescent="0.25">
      <c r="B41" t="str">
        <v>IA</v>
      </c>
      <c r="C41" s="139">
        <v>3.8807249971911753</v>
      </c>
      <c r="D41" s="139">
        <v>3.7664893277608229</v>
      </c>
      <c r="E41" s="139">
        <v>3.5823594025318584</v>
      </c>
      <c r="F41" s="139">
        <v>3.3132200218077168</v>
      </c>
      <c r="G41" s="139">
        <v>2.932049253514962</v>
      </c>
      <c r="H41" s="139">
        <v>2.6650544129018714</v>
      </c>
      <c r="I41" s="139">
        <v>2.1917396280103656</v>
      </c>
      <c r="J41" s="139">
        <v>1.7624122495767995</v>
      </c>
      <c r="K41" s="139">
        <v>1.100310349642927</v>
      </c>
      <c r="L41" s="139">
        <v>0.3475583802198367</v>
      </c>
      <c r="M41" s="3" t="s">
        <v>489</v>
      </c>
    </row>
    <row r="42" spans="1:13" x14ac:dyDescent="0.25">
      <c r="B42" t="str">
        <v>AF</v>
      </c>
      <c r="C42" s="139">
        <v>3.8807249971911753</v>
      </c>
      <c r="D42" s="139">
        <v>3.7664893277608229</v>
      </c>
      <c r="E42" s="139">
        <v>3.5823594025318584</v>
      </c>
      <c r="F42" s="139">
        <v>3.3132200218077168</v>
      </c>
      <c r="G42" s="139">
        <v>2.932049253514962</v>
      </c>
      <c r="H42" s="139">
        <v>2.6650544129018714</v>
      </c>
      <c r="I42" s="139">
        <v>2.1917396280103656</v>
      </c>
      <c r="J42" s="139">
        <v>1.7624122495767995</v>
      </c>
      <c r="K42" s="139">
        <v>1.100310349642927</v>
      </c>
      <c r="L42" s="139">
        <v>0.34755838021983654</v>
      </c>
      <c r="M42" s="3" t="s">
        <v>489</v>
      </c>
    </row>
    <row r="43" spans="1:13" ht="13" thickBot="1" x14ac:dyDescent="0.3">
      <c r="B43" t="str">
        <v>LA</v>
      </c>
      <c r="C43" s="140">
        <v>3.8807249971911753</v>
      </c>
      <c r="D43" s="140">
        <v>3.7664893277608242</v>
      </c>
      <c r="E43" s="140">
        <v>3.5823594025318584</v>
      </c>
      <c r="F43" s="140">
        <v>3.3132200218077168</v>
      </c>
      <c r="G43" s="140">
        <v>2.932049253514962</v>
      </c>
      <c r="H43" s="140">
        <v>2.6650544129018714</v>
      </c>
      <c r="I43" s="140">
        <v>2.1917396280103656</v>
      </c>
      <c r="J43" s="140">
        <v>1.7624122495767989</v>
      </c>
      <c r="K43" s="140">
        <v>1.100310349642927</v>
      </c>
      <c r="L43" s="140">
        <v>0.34755838021983654</v>
      </c>
      <c r="M43" s="3" t="s">
        <v>489</v>
      </c>
    </row>
    <row r="44" spans="1:13" ht="13" thickTop="1" x14ac:dyDescent="0.25"/>
    <row r="45" spans="1:13" x14ac:dyDescent="0.25">
      <c r="A45" t="s">
        <v>175</v>
      </c>
      <c r="B45" t="s">
        <v>25</v>
      </c>
      <c r="C45">
        <f>Y_0</f>
        <v>2000</v>
      </c>
      <c r="D45">
        <f t="array" ref="D45:L45">Y</f>
        <v>2010</v>
      </c>
      <c r="E45">
        <v>2020</v>
      </c>
      <c r="F45">
        <v>2030</v>
      </c>
      <c r="G45">
        <v>2040</v>
      </c>
      <c r="H45">
        <v>2050</v>
      </c>
      <c r="I45">
        <v>2060</v>
      </c>
      <c r="J45">
        <v>2080</v>
      </c>
      <c r="K45">
        <v>2100</v>
      </c>
      <c r="L45">
        <v>2200</v>
      </c>
    </row>
    <row r="46" spans="1:13" x14ac:dyDescent="0.25">
      <c r="B46" t="s">
        <v>26</v>
      </c>
      <c r="C46">
        <f t="array" ref="C46:L46">Y</f>
        <v>2010</v>
      </c>
      <c r="D46">
        <v>2020</v>
      </c>
      <c r="E46">
        <v>2030</v>
      </c>
      <c r="F46">
        <v>2040</v>
      </c>
      <c r="G46">
        <v>2050</v>
      </c>
      <c r="H46">
        <v>2060</v>
      </c>
      <c r="I46">
        <v>2080</v>
      </c>
      <c r="J46">
        <v>2100</v>
      </c>
      <c r="K46">
        <v>2200</v>
      </c>
      <c r="L46">
        <v>2300</v>
      </c>
    </row>
    <row r="47" spans="1:13" x14ac:dyDescent="0.25">
      <c r="B47" t="str">
        <f t="array" ref="B47:B54">R_CODE</f>
        <v>EU</v>
      </c>
      <c r="C47" s="138">
        <v>0.24548019950186792</v>
      </c>
      <c r="D47" s="138">
        <v>7.7164687083209796E-2</v>
      </c>
      <c r="E47" s="138">
        <v>-3.7435237549088854E-2</v>
      </c>
      <c r="F47" s="138">
        <v>-0.14790729143144241</v>
      </c>
      <c r="G47" s="138">
        <v>-0.23773311056772611</v>
      </c>
      <c r="H47" s="138">
        <v>-0.26350538776132681</v>
      </c>
      <c r="I47" s="138">
        <v>-0.2318935803819116</v>
      </c>
      <c r="J47" s="138">
        <v>-0.11395214248853502</v>
      </c>
      <c r="K47" s="144">
        <v>-4.5395395129042469E-2</v>
      </c>
      <c r="L47" s="144">
        <v>0</v>
      </c>
      <c r="M47" s="3" t="s">
        <v>489</v>
      </c>
    </row>
    <row r="48" spans="1:13" x14ac:dyDescent="0.25">
      <c r="B48" t="str">
        <v>US</v>
      </c>
      <c r="C48" s="139">
        <v>0.90911590741736692</v>
      </c>
      <c r="D48" s="139">
        <v>0.82206955527447012</v>
      </c>
      <c r="E48" s="139">
        <v>0.65689683964741419</v>
      </c>
      <c r="F48" s="139">
        <v>0.49131158025335964</v>
      </c>
      <c r="G48" s="139">
        <v>0.41546659655528906</v>
      </c>
      <c r="H48" s="139">
        <v>0.29744437508306909</v>
      </c>
      <c r="I48" s="139">
        <v>0.23362965514302067</v>
      </c>
      <c r="J48" s="139">
        <v>0.15410657544366033</v>
      </c>
      <c r="K48" s="145">
        <v>6.6626358290641841E-2</v>
      </c>
      <c r="L48" s="145">
        <v>0</v>
      </c>
      <c r="M48" s="3" t="s">
        <v>489</v>
      </c>
    </row>
    <row r="49" spans="1:13" x14ac:dyDescent="0.25">
      <c r="B49" t="str">
        <v>OT</v>
      </c>
      <c r="C49" s="139">
        <v>1.3232707870162652</v>
      </c>
      <c r="D49" s="139">
        <v>1.1245600969048064</v>
      </c>
      <c r="E49" s="139">
        <v>0.85454583852578381</v>
      </c>
      <c r="F49" s="139">
        <v>0.63305917738297057</v>
      </c>
      <c r="G49" s="139">
        <v>0.44757936367359485</v>
      </c>
      <c r="H49" s="139">
        <v>0.30353658509104131</v>
      </c>
      <c r="I49" s="139">
        <v>0.13816768908754429</v>
      </c>
      <c r="J49" s="139">
        <v>-3.4486421520477331E-2</v>
      </c>
      <c r="K49" s="145">
        <v>-2.2866772174189268E-2</v>
      </c>
      <c r="L49" s="145">
        <v>0</v>
      </c>
      <c r="M49" s="3" t="s">
        <v>489</v>
      </c>
    </row>
    <row r="50" spans="1:13" x14ac:dyDescent="0.25">
      <c r="B50" t="str">
        <v>EE</v>
      </c>
      <c r="C50" s="139">
        <v>1.3232707870162652</v>
      </c>
      <c r="D50" s="139">
        <v>1.1245600969048064</v>
      </c>
      <c r="E50" s="139">
        <v>0.85454583852578592</v>
      </c>
      <c r="F50" s="139">
        <v>0.63305917738297057</v>
      </c>
      <c r="G50" s="139">
        <v>0.44757936367359286</v>
      </c>
      <c r="H50" s="139">
        <v>0.30353658509104131</v>
      </c>
      <c r="I50" s="139">
        <v>0.13816768908754537</v>
      </c>
      <c r="J50" s="139">
        <v>-3.4486421520477331E-2</v>
      </c>
      <c r="K50" s="145">
        <v>-2.2866772174189386E-2</v>
      </c>
      <c r="L50" s="145">
        <v>0</v>
      </c>
      <c r="M50" s="3" t="s">
        <v>489</v>
      </c>
    </row>
    <row r="51" spans="1:13" x14ac:dyDescent="0.25">
      <c r="B51" t="str">
        <v>CA</v>
      </c>
      <c r="C51" s="139">
        <v>1.3232707870162652</v>
      </c>
      <c r="D51" s="139">
        <v>1.1245600969048064</v>
      </c>
      <c r="E51" s="139">
        <v>0.85454583852578381</v>
      </c>
      <c r="F51" s="139">
        <v>0.63305917738297257</v>
      </c>
      <c r="G51" s="139">
        <v>0.44757936367359286</v>
      </c>
      <c r="H51" s="139">
        <v>0.30353658509104131</v>
      </c>
      <c r="I51" s="139">
        <v>0.13816768908754429</v>
      </c>
      <c r="J51" s="139">
        <v>-3.4486421520476776E-2</v>
      </c>
      <c r="K51" s="145">
        <v>-2.28667721741895E-2</v>
      </c>
      <c r="L51" s="145">
        <v>0</v>
      </c>
      <c r="M51" s="3" t="s">
        <v>489</v>
      </c>
    </row>
    <row r="52" spans="1:13" x14ac:dyDescent="0.25">
      <c r="B52" t="str">
        <v>IA</v>
      </c>
      <c r="C52" s="139">
        <v>1.3232707870162672</v>
      </c>
      <c r="D52" s="139">
        <v>1.1245600969048064</v>
      </c>
      <c r="E52" s="139">
        <v>0.85454583852578381</v>
      </c>
      <c r="F52" s="139">
        <v>0.63305917738297057</v>
      </c>
      <c r="G52" s="139">
        <v>0.44757936367359485</v>
      </c>
      <c r="H52" s="139">
        <v>0.30353658509104131</v>
      </c>
      <c r="I52" s="139">
        <v>0.13816768908754429</v>
      </c>
      <c r="J52" s="139">
        <v>-3.4486421520476776E-2</v>
      </c>
      <c r="K52" s="145">
        <v>-2.2866772174189386E-2</v>
      </c>
      <c r="L52" s="145">
        <v>0</v>
      </c>
      <c r="M52" s="3" t="s">
        <v>489</v>
      </c>
    </row>
    <row r="53" spans="1:13" x14ac:dyDescent="0.25">
      <c r="B53" t="str">
        <v>AF</v>
      </c>
      <c r="C53" s="139">
        <v>1.3232707870162652</v>
      </c>
      <c r="D53" s="139">
        <v>1.1245600969048064</v>
      </c>
      <c r="E53" s="139">
        <v>0.85454583852578381</v>
      </c>
      <c r="F53" s="139">
        <v>0.63305917738297057</v>
      </c>
      <c r="G53" s="139">
        <v>0.44757936367359485</v>
      </c>
      <c r="H53" s="139">
        <v>0.30353658509104131</v>
      </c>
      <c r="I53" s="139">
        <v>0.13816768908754429</v>
      </c>
      <c r="J53" s="139">
        <v>-3.4486421520477331E-2</v>
      </c>
      <c r="K53" s="145">
        <v>-2.2866772174189268E-2</v>
      </c>
      <c r="L53" s="145">
        <v>0</v>
      </c>
      <c r="M53" s="3" t="s">
        <v>489</v>
      </c>
    </row>
    <row r="54" spans="1:13" ht="13" thickBot="1" x14ac:dyDescent="0.3">
      <c r="B54" t="str">
        <v>LA</v>
      </c>
      <c r="C54" s="140">
        <v>1.3232707870162672</v>
      </c>
      <c r="D54" s="140">
        <v>1.1245600969048064</v>
      </c>
      <c r="E54" s="140">
        <v>0.85454583852578381</v>
      </c>
      <c r="F54" s="140">
        <v>0.63305917738297057</v>
      </c>
      <c r="G54" s="140">
        <v>0.44757936367359485</v>
      </c>
      <c r="H54" s="140">
        <v>0.30353658509104131</v>
      </c>
      <c r="I54" s="140">
        <v>0.13816768908754429</v>
      </c>
      <c r="J54" s="140">
        <v>-3.4486421520476776E-2</v>
      </c>
      <c r="K54" s="146">
        <v>-2.2866772174189386E-2</v>
      </c>
      <c r="L54" s="146">
        <v>0</v>
      </c>
      <c r="M54" s="3" t="s">
        <v>489</v>
      </c>
    </row>
    <row r="55" spans="1:13" ht="13" thickTop="1" x14ac:dyDescent="0.25"/>
    <row r="56" spans="1:13" x14ac:dyDescent="0.25">
      <c r="A56" s="12" t="s">
        <v>27</v>
      </c>
      <c r="B56" s="12" t="s">
        <v>25</v>
      </c>
      <c r="C56" s="12">
        <f>Y_0</f>
        <v>2000</v>
      </c>
      <c r="D56" s="12">
        <f t="array" ref="D56:L56">Y</f>
        <v>2010</v>
      </c>
      <c r="E56" s="12">
        <v>2020</v>
      </c>
      <c r="F56" s="12">
        <v>2030</v>
      </c>
      <c r="G56" s="12">
        <v>2040</v>
      </c>
      <c r="H56" s="12">
        <v>2050</v>
      </c>
      <c r="I56" s="12">
        <v>2060</v>
      </c>
      <c r="J56" s="12">
        <v>2080</v>
      </c>
      <c r="K56" s="12">
        <v>2100</v>
      </c>
      <c r="L56" s="12">
        <v>2200</v>
      </c>
      <c r="M56" s="12"/>
    </row>
    <row r="57" spans="1:13" x14ac:dyDescent="0.25">
      <c r="A57" s="12"/>
      <c r="B57" s="12" t="s">
        <v>26</v>
      </c>
      <c r="C57" s="12">
        <f t="array" ref="C57:L57">Y</f>
        <v>2010</v>
      </c>
      <c r="D57" s="12">
        <v>2020</v>
      </c>
      <c r="E57" s="12">
        <v>2030</v>
      </c>
      <c r="F57" s="12">
        <v>2040</v>
      </c>
      <c r="G57" s="12">
        <v>2050</v>
      </c>
      <c r="H57" s="12">
        <v>2060</v>
      </c>
      <c r="I57" s="12">
        <v>2080</v>
      </c>
      <c r="J57" s="12">
        <v>2100</v>
      </c>
      <c r="K57" s="12">
        <v>2200</v>
      </c>
      <c r="L57" s="12">
        <v>2300</v>
      </c>
      <c r="M57" s="12"/>
    </row>
    <row r="58" spans="1:13" x14ac:dyDescent="0.25">
      <c r="A58" s="12"/>
      <c r="B58" s="12" t="str">
        <f t="array" ref="B58:B65">R_CODE</f>
        <v>EU</v>
      </c>
      <c r="C58" s="39">
        <f t="array" ref="C58:L65">PTP+(EMUC*(GRW-POP_GRW))</f>
        <v>3</v>
      </c>
      <c r="D58" s="39">
        <v>3</v>
      </c>
      <c r="E58" s="39">
        <v>3</v>
      </c>
      <c r="F58" s="39">
        <v>3</v>
      </c>
      <c r="G58" s="39">
        <v>3</v>
      </c>
      <c r="H58" s="39">
        <v>3</v>
      </c>
      <c r="I58" s="39">
        <v>3</v>
      </c>
      <c r="J58" s="39">
        <v>3</v>
      </c>
      <c r="K58" s="39">
        <v>3</v>
      </c>
      <c r="L58" s="39">
        <v>3</v>
      </c>
      <c r="M58" s="3" t="s">
        <v>489</v>
      </c>
    </row>
    <row r="59" spans="1:13" x14ac:dyDescent="0.25">
      <c r="A59" s="12"/>
      <c r="B59" s="12" t="str">
        <v>US</v>
      </c>
      <c r="C59" s="35">
        <v>3</v>
      </c>
      <c r="D59" s="35">
        <v>3</v>
      </c>
      <c r="E59" s="35">
        <v>3</v>
      </c>
      <c r="F59" s="35">
        <v>3</v>
      </c>
      <c r="G59" s="35">
        <v>3</v>
      </c>
      <c r="H59" s="35">
        <v>3</v>
      </c>
      <c r="I59" s="35">
        <v>3</v>
      </c>
      <c r="J59" s="35">
        <v>3</v>
      </c>
      <c r="K59" s="35">
        <v>3</v>
      </c>
      <c r="L59" s="35">
        <v>3</v>
      </c>
      <c r="M59" s="3" t="s">
        <v>489</v>
      </c>
    </row>
    <row r="60" spans="1:13" x14ac:dyDescent="0.25">
      <c r="A60" s="12"/>
      <c r="B60" s="12" t="str">
        <v>OT</v>
      </c>
      <c r="C60" s="35">
        <v>3</v>
      </c>
      <c r="D60" s="35">
        <v>3</v>
      </c>
      <c r="E60" s="35">
        <v>3</v>
      </c>
      <c r="F60" s="35">
        <v>3</v>
      </c>
      <c r="G60" s="35">
        <v>3</v>
      </c>
      <c r="H60" s="35">
        <v>3</v>
      </c>
      <c r="I60" s="35">
        <v>3</v>
      </c>
      <c r="J60" s="35">
        <v>3</v>
      </c>
      <c r="K60" s="35">
        <v>3</v>
      </c>
      <c r="L60" s="35">
        <v>3</v>
      </c>
      <c r="M60" s="3" t="s">
        <v>489</v>
      </c>
    </row>
    <row r="61" spans="1:13" x14ac:dyDescent="0.25">
      <c r="A61" s="12"/>
      <c r="B61" s="12" t="str">
        <v>EE</v>
      </c>
      <c r="C61" s="35">
        <v>3</v>
      </c>
      <c r="D61" s="35">
        <v>3</v>
      </c>
      <c r="E61" s="35">
        <v>3</v>
      </c>
      <c r="F61" s="35">
        <v>3</v>
      </c>
      <c r="G61" s="35">
        <v>3</v>
      </c>
      <c r="H61" s="35">
        <v>3</v>
      </c>
      <c r="I61" s="35">
        <v>3</v>
      </c>
      <c r="J61" s="35">
        <v>3</v>
      </c>
      <c r="K61" s="35">
        <v>3</v>
      </c>
      <c r="L61" s="35">
        <v>3</v>
      </c>
      <c r="M61" s="3" t="s">
        <v>489</v>
      </c>
    </row>
    <row r="62" spans="1:13" x14ac:dyDescent="0.25">
      <c r="A62" s="12"/>
      <c r="B62" s="12" t="str">
        <v>CA</v>
      </c>
      <c r="C62" s="35">
        <v>3</v>
      </c>
      <c r="D62" s="35">
        <v>3</v>
      </c>
      <c r="E62" s="35">
        <v>3</v>
      </c>
      <c r="F62" s="35">
        <v>3</v>
      </c>
      <c r="G62" s="35">
        <v>3</v>
      </c>
      <c r="H62" s="35">
        <v>3</v>
      </c>
      <c r="I62" s="35">
        <v>3</v>
      </c>
      <c r="J62" s="35">
        <v>3</v>
      </c>
      <c r="K62" s="35">
        <v>3</v>
      </c>
      <c r="L62" s="35">
        <v>3</v>
      </c>
      <c r="M62" s="3" t="s">
        <v>489</v>
      </c>
    </row>
    <row r="63" spans="1:13" x14ac:dyDescent="0.25">
      <c r="A63" s="12"/>
      <c r="B63" s="12" t="str">
        <v>IA</v>
      </c>
      <c r="C63" s="35">
        <v>3</v>
      </c>
      <c r="D63" s="35">
        <v>3</v>
      </c>
      <c r="E63" s="35">
        <v>3</v>
      </c>
      <c r="F63" s="35">
        <v>3</v>
      </c>
      <c r="G63" s="35">
        <v>3</v>
      </c>
      <c r="H63" s="35">
        <v>3</v>
      </c>
      <c r="I63" s="35">
        <v>3</v>
      </c>
      <c r="J63" s="35">
        <v>3</v>
      </c>
      <c r="K63" s="35">
        <v>3</v>
      </c>
      <c r="L63" s="35">
        <v>3</v>
      </c>
      <c r="M63" s="3" t="s">
        <v>489</v>
      </c>
    </row>
    <row r="64" spans="1:13" x14ac:dyDescent="0.25">
      <c r="A64" s="12"/>
      <c r="B64" s="12" t="str">
        <v>AF</v>
      </c>
      <c r="C64" s="35">
        <v>3</v>
      </c>
      <c r="D64" s="35">
        <v>3</v>
      </c>
      <c r="E64" s="35">
        <v>3</v>
      </c>
      <c r="F64" s="35">
        <v>3</v>
      </c>
      <c r="G64" s="35">
        <v>3</v>
      </c>
      <c r="H64" s="35">
        <v>3</v>
      </c>
      <c r="I64" s="35">
        <v>3</v>
      </c>
      <c r="J64" s="35">
        <v>3</v>
      </c>
      <c r="K64" s="35">
        <v>3</v>
      </c>
      <c r="L64" s="35">
        <v>3</v>
      </c>
      <c r="M64" s="3" t="s">
        <v>489</v>
      </c>
    </row>
    <row r="65" spans="1:13" ht="13" thickBot="1" x14ac:dyDescent="0.3">
      <c r="A65" s="12"/>
      <c r="B65" s="12" t="str">
        <v>LA</v>
      </c>
      <c r="C65" s="49">
        <v>3</v>
      </c>
      <c r="D65" s="49">
        <v>3</v>
      </c>
      <c r="E65" s="49">
        <v>3</v>
      </c>
      <c r="F65" s="49">
        <v>3</v>
      </c>
      <c r="G65" s="49">
        <v>3</v>
      </c>
      <c r="H65" s="49">
        <v>3</v>
      </c>
      <c r="I65" s="49">
        <v>3</v>
      </c>
      <c r="J65" s="49">
        <v>3</v>
      </c>
      <c r="K65" s="49">
        <v>3</v>
      </c>
      <c r="L65" s="49">
        <v>3</v>
      </c>
      <c r="M65" s="3" t="s">
        <v>489</v>
      </c>
    </row>
    <row r="66" spans="1:13" ht="13" thickTop="1" x14ac:dyDescent="0.25"/>
    <row r="67" spans="1:13" x14ac:dyDescent="0.25">
      <c r="A67" s="3" t="s">
        <v>327</v>
      </c>
      <c r="C67">
        <f t="array" ref="C67:L67">Y</f>
        <v>2010</v>
      </c>
      <c r="D67">
        <v>2020</v>
      </c>
      <c r="E67">
        <v>2030</v>
      </c>
      <c r="F67">
        <v>2040</v>
      </c>
      <c r="G67">
        <v>2050</v>
      </c>
      <c r="H67">
        <v>2060</v>
      </c>
      <c r="I67">
        <v>2080</v>
      </c>
      <c r="J67">
        <v>2100</v>
      </c>
      <c r="K67">
        <v>2200</v>
      </c>
      <c r="L67">
        <v>2300</v>
      </c>
    </row>
    <row r="68" spans="1:13" x14ac:dyDescent="0.25">
      <c r="A68" t="s">
        <v>14</v>
      </c>
      <c r="B68" t="str">
        <f t="array" ref="B68:B75">R_CODE</f>
        <v>EU</v>
      </c>
      <c r="C68" s="114">
        <v>100.75120139415134</v>
      </c>
      <c r="D68" s="114">
        <v>101.50240278830266</v>
      </c>
      <c r="E68" s="114">
        <v>104.11875648448671</v>
      </c>
      <c r="F68" s="114">
        <v>102.25388606547672</v>
      </c>
      <c r="G68" s="114">
        <v>100.38901564646673</v>
      </c>
      <c r="H68" s="114">
        <v>95.209798413626288</v>
      </c>
      <c r="I68" s="114">
        <v>81.392767487572911</v>
      </c>
      <c r="J68" s="114">
        <v>67.96190412149717</v>
      </c>
      <c r="K68" s="114">
        <v>67.96190412149717</v>
      </c>
      <c r="L68" s="114">
        <v>67.96190412149717</v>
      </c>
      <c r="M68" t="s">
        <v>46</v>
      </c>
    </row>
    <row r="69" spans="1:13" x14ac:dyDescent="0.25">
      <c r="A69" t="s">
        <v>14</v>
      </c>
      <c r="B69" t="str">
        <v>US</v>
      </c>
      <c r="C69" s="115">
        <v>100.75120139415134</v>
      </c>
      <c r="D69" s="115">
        <v>101.50240278830266</v>
      </c>
      <c r="E69" s="115">
        <v>104.11875648448671</v>
      </c>
      <c r="F69" s="115">
        <v>102.25388606547672</v>
      </c>
      <c r="G69" s="115">
        <v>100.38901564646673</v>
      </c>
      <c r="H69" s="115">
        <v>95.209798413626288</v>
      </c>
      <c r="I69" s="115">
        <v>81.392767487572911</v>
      </c>
      <c r="J69" s="115">
        <v>67.96190412149717</v>
      </c>
      <c r="K69" s="115">
        <v>67.96190412149717</v>
      </c>
      <c r="L69" s="115">
        <v>67.96190412149717</v>
      </c>
      <c r="M69" t="s">
        <v>46</v>
      </c>
    </row>
    <row r="70" spans="1:13" x14ac:dyDescent="0.25">
      <c r="A70" t="s">
        <v>14</v>
      </c>
      <c r="B70" t="str">
        <v>OT</v>
      </c>
      <c r="C70" s="115">
        <v>100.75120139415134</v>
      </c>
      <c r="D70" s="115">
        <v>101.50240278830266</v>
      </c>
      <c r="E70" s="115">
        <v>104.11875648448671</v>
      </c>
      <c r="F70" s="115">
        <v>102.25388606547672</v>
      </c>
      <c r="G70" s="115">
        <v>100.38901564646673</v>
      </c>
      <c r="H70" s="115">
        <v>95.209798413626288</v>
      </c>
      <c r="I70" s="115">
        <v>81.392767487572911</v>
      </c>
      <c r="J70" s="115">
        <v>67.96190412149717</v>
      </c>
      <c r="K70" s="115">
        <v>67.96190412149717</v>
      </c>
      <c r="L70" s="115">
        <v>67.96190412149717</v>
      </c>
      <c r="M70" t="s">
        <v>46</v>
      </c>
    </row>
    <row r="71" spans="1:13" x14ac:dyDescent="0.25">
      <c r="A71" t="s">
        <v>14</v>
      </c>
      <c r="B71" t="str">
        <v>EE</v>
      </c>
      <c r="C71" s="115">
        <v>102.83658866874177</v>
      </c>
      <c r="D71" s="115">
        <v>105.67317733748352</v>
      </c>
      <c r="E71" s="115">
        <v>96.996525549176525</v>
      </c>
      <c r="F71" s="115">
        <v>95.152328079829829</v>
      </c>
      <c r="G71" s="115">
        <v>93.308130610483147</v>
      </c>
      <c r="H71" s="115">
        <v>87.874803661718744</v>
      </c>
      <c r="I71" s="115">
        <v>73.886382392038996</v>
      </c>
      <c r="J71" s="115">
        <v>63.382504377840718</v>
      </c>
      <c r="K71" s="115">
        <v>63.382504377840718</v>
      </c>
      <c r="L71" s="115">
        <v>63.382504377840718</v>
      </c>
      <c r="M71" t="s">
        <v>46</v>
      </c>
    </row>
    <row r="72" spans="1:13" x14ac:dyDescent="0.25">
      <c r="A72" t="s">
        <v>14</v>
      </c>
      <c r="B72" t="str">
        <v>CA</v>
      </c>
      <c r="C72" s="115">
        <v>104.04252601724329</v>
      </c>
      <c r="D72" s="115">
        <v>108.08505203448657</v>
      </c>
      <c r="E72" s="115">
        <v>138.18598950461634</v>
      </c>
      <c r="F72" s="115">
        <v>162.82776158362981</v>
      </c>
      <c r="G72" s="115">
        <v>187.46953366264327</v>
      </c>
      <c r="H72" s="115">
        <v>193.90050747829099</v>
      </c>
      <c r="I72" s="115">
        <v>199.56883693984733</v>
      </c>
      <c r="J72" s="115">
        <v>181.59989420551611</v>
      </c>
      <c r="K72" s="115">
        <v>181.59989420551611</v>
      </c>
      <c r="L72" s="115">
        <v>181.59989420551611</v>
      </c>
      <c r="M72" t="s">
        <v>46</v>
      </c>
    </row>
    <row r="73" spans="1:13" x14ac:dyDescent="0.25">
      <c r="A73" t="s">
        <v>14</v>
      </c>
      <c r="B73" t="str">
        <v>IA</v>
      </c>
      <c r="C73" s="115">
        <v>104.04252601724329</v>
      </c>
      <c r="D73" s="115">
        <v>108.08505203448657</v>
      </c>
      <c r="E73" s="115">
        <v>138.18598950461634</v>
      </c>
      <c r="F73" s="115">
        <v>162.82776158362981</v>
      </c>
      <c r="G73" s="115">
        <v>187.46953366264327</v>
      </c>
      <c r="H73" s="115">
        <v>193.9005074782911</v>
      </c>
      <c r="I73" s="115">
        <v>199.56883693984736</v>
      </c>
      <c r="J73" s="115">
        <v>181.59989420551611</v>
      </c>
      <c r="K73" s="115">
        <v>181.59989420551611</v>
      </c>
      <c r="L73" s="115">
        <v>181.59989420551611</v>
      </c>
      <c r="M73" t="s">
        <v>46</v>
      </c>
    </row>
    <row r="74" spans="1:13" x14ac:dyDescent="0.25">
      <c r="A74" t="s">
        <v>14</v>
      </c>
      <c r="B74" t="str">
        <v>AF</v>
      </c>
      <c r="C74" s="115">
        <v>104.06312052288641</v>
      </c>
      <c r="D74" s="115">
        <v>108.12624104577282</v>
      </c>
      <c r="E74" s="115">
        <v>140.21547313586919</v>
      </c>
      <c r="F74" s="115">
        <v>166.03514703490356</v>
      </c>
      <c r="G74" s="115">
        <v>191.8548209339379</v>
      </c>
      <c r="H74" s="115">
        <v>205.64195140049364</v>
      </c>
      <c r="I74" s="115">
        <v>212.19803433500977</v>
      </c>
      <c r="J74" s="115">
        <v>183.38031698429779</v>
      </c>
      <c r="K74" s="115">
        <v>183.38031698429779</v>
      </c>
      <c r="L74" s="115">
        <v>183.38031698429779</v>
      </c>
      <c r="M74" t="s">
        <v>46</v>
      </c>
    </row>
    <row r="75" spans="1:13" ht="13" thickBot="1" x14ac:dyDescent="0.3">
      <c r="A75" t="s">
        <v>14</v>
      </c>
      <c r="B75" t="str">
        <v>LA</v>
      </c>
      <c r="C75" s="116">
        <v>104.06312052288641</v>
      </c>
      <c r="D75" s="116">
        <v>108.12624104577282</v>
      </c>
      <c r="E75" s="116">
        <v>140.21547313586919</v>
      </c>
      <c r="F75" s="116">
        <v>166.03514703490356</v>
      </c>
      <c r="G75" s="116">
        <v>191.8548209339379</v>
      </c>
      <c r="H75" s="116">
        <v>205.64195140049364</v>
      </c>
      <c r="I75" s="116">
        <v>212.19803433500977</v>
      </c>
      <c r="J75" s="116">
        <v>183.38031698429779</v>
      </c>
      <c r="K75" s="116">
        <v>183.38031698429779</v>
      </c>
      <c r="L75" s="116">
        <v>183.38031698429779</v>
      </c>
      <c r="M75" t="s">
        <v>46</v>
      </c>
    </row>
    <row r="76" spans="1:13" ht="13" thickTop="1" x14ac:dyDescent="0.25"/>
    <row r="77" spans="1:13" x14ac:dyDescent="0.25">
      <c r="A77" t="s">
        <v>15</v>
      </c>
      <c r="B77" t="str">
        <f t="array" ref="B77:B84">R_CODE</f>
        <v>EU</v>
      </c>
      <c r="C77" s="114">
        <v>99.668263174751601</v>
      </c>
      <c r="D77" s="114">
        <v>99.336526349503202</v>
      </c>
      <c r="E77" s="114">
        <v>96.238709086664755</v>
      </c>
      <c r="F77" s="114">
        <v>88.79666006805104</v>
      </c>
      <c r="G77" s="114">
        <v>81.354611049437324</v>
      </c>
      <c r="H77" s="114">
        <v>75.19477320656037</v>
      </c>
      <c r="I77" s="114">
        <v>65.030214665588844</v>
      </c>
      <c r="J77" s="114">
        <v>59.169476012226632</v>
      </c>
      <c r="K77" s="114">
        <v>59.169476012226632</v>
      </c>
      <c r="L77" s="114">
        <v>59.169476012226632</v>
      </c>
      <c r="M77" t="s">
        <v>46</v>
      </c>
    </row>
    <row r="78" spans="1:13" x14ac:dyDescent="0.25">
      <c r="A78" t="s">
        <v>15</v>
      </c>
      <c r="B78" t="str">
        <v>US</v>
      </c>
      <c r="C78" s="115">
        <v>99.668263174751601</v>
      </c>
      <c r="D78" s="115">
        <v>99.336526349503202</v>
      </c>
      <c r="E78" s="115">
        <v>96.238709086664755</v>
      </c>
      <c r="F78" s="115">
        <v>88.79666006805104</v>
      </c>
      <c r="G78" s="115">
        <v>81.354611049437324</v>
      </c>
      <c r="H78" s="115">
        <v>75.19477320656037</v>
      </c>
      <c r="I78" s="115">
        <v>65.030214665588844</v>
      </c>
      <c r="J78" s="115">
        <v>59.169476012226632</v>
      </c>
      <c r="K78" s="115">
        <v>59.169476012226632</v>
      </c>
      <c r="L78" s="115">
        <v>59.169476012226632</v>
      </c>
      <c r="M78" t="s">
        <v>46</v>
      </c>
    </row>
    <row r="79" spans="1:13" x14ac:dyDescent="0.25">
      <c r="A79" t="s">
        <v>15</v>
      </c>
      <c r="B79" t="str">
        <v>OT</v>
      </c>
      <c r="C79" s="115">
        <v>99.668263174751601</v>
      </c>
      <c r="D79" s="115">
        <v>99.336526349503202</v>
      </c>
      <c r="E79" s="115">
        <v>96.238709086664755</v>
      </c>
      <c r="F79" s="115">
        <v>88.79666006805104</v>
      </c>
      <c r="G79" s="115">
        <v>81.354611049437324</v>
      </c>
      <c r="H79" s="115">
        <v>75.19477320656037</v>
      </c>
      <c r="I79" s="115">
        <v>65.030214665588844</v>
      </c>
      <c r="J79" s="115">
        <v>59.169476012226632</v>
      </c>
      <c r="K79" s="115">
        <v>59.169476012226632</v>
      </c>
      <c r="L79" s="115">
        <v>59.169476012226632</v>
      </c>
      <c r="M79" t="s">
        <v>46</v>
      </c>
    </row>
    <row r="80" spans="1:13" x14ac:dyDescent="0.25">
      <c r="A80" t="s">
        <v>15</v>
      </c>
      <c r="B80" t="str">
        <v>EE</v>
      </c>
      <c r="C80" s="115">
        <v>103.51575159718371</v>
      </c>
      <c r="D80" s="115">
        <v>107.03150319436742</v>
      </c>
      <c r="E80" s="115">
        <v>113.35101209426924</v>
      </c>
      <c r="F80" s="115">
        <v>103.39075556049434</v>
      </c>
      <c r="G80" s="115">
        <v>93.430499026719431</v>
      </c>
      <c r="H80" s="115">
        <v>84.49990746124007</v>
      </c>
      <c r="I80" s="115">
        <v>71.243408784677229</v>
      </c>
      <c r="J80" s="115">
        <v>63.182147473174417</v>
      </c>
      <c r="K80" s="115">
        <v>63.182147473174417</v>
      </c>
      <c r="L80" s="115">
        <v>63.182147473174417</v>
      </c>
      <c r="M80" t="s">
        <v>46</v>
      </c>
    </row>
    <row r="81" spans="1:13" x14ac:dyDescent="0.25">
      <c r="A81" t="s">
        <v>15</v>
      </c>
      <c r="B81" t="str">
        <v>CA</v>
      </c>
      <c r="C81" s="115">
        <v>101.37748171209955</v>
      </c>
      <c r="D81" s="115">
        <v>102.75496342419909</v>
      </c>
      <c r="E81" s="115">
        <v>121.14541454658428</v>
      </c>
      <c r="F81" s="115">
        <v>135.21154443865478</v>
      </c>
      <c r="G81" s="115">
        <v>149.27767433072529</v>
      </c>
      <c r="H81" s="115">
        <v>139.54877058268303</v>
      </c>
      <c r="I81" s="115">
        <v>106.13019968960872</v>
      </c>
      <c r="J81" s="115">
        <v>83.266098785204321</v>
      </c>
      <c r="K81" s="115">
        <v>83.266098785204321</v>
      </c>
      <c r="L81" s="115">
        <v>83.266098785204321</v>
      </c>
      <c r="M81" t="s">
        <v>46</v>
      </c>
    </row>
    <row r="82" spans="1:13" x14ac:dyDescent="0.25">
      <c r="A82" t="s">
        <v>15</v>
      </c>
      <c r="B82" t="str">
        <v>IA</v>
      </c>
      <c r="C82" s="115">
        <v>101.37748171209955</v>
      </c>
      <c r="D82" s="115">
        <v>102.75496342419909</v>
      </c>
      <c r="E82" s="115">
        <v>121.14541454658428</v>
      </c>
      <c r="F82" s="115">
        <v>135.21154443865478</v>
      </c>
      <c r="G82" s="115">
        <v>149.27767433072529</v>
      </c>
      <c r="H82" s="115">
        <v>139.54877058268303</v>
      </c>
      <c r="I82" s="115">
        <v>106.13019968960872</v>
      </c>
      <c r="J82" s="115">
        <v>83.266098785204321</v>
      </c>
      <c r="K82" s="115">
        <v>83.266098785204321</v>
      </c>
      <c r="L82" s="115">
        <v>83.266098785204321</v>
      </c>
      <c r="M82" t="s">
        <v>46</v>
      </c>
    </row>
    <row r="83" spans="1:13" x14ac:dyDescent="0.25">
      <c r="A83" t="s">
        <v>15</v>
      </c>
      <c r="B83" t="str">
        <v>AF</v>
      </c>
      <c r="C83" s="115">
        <v>101.45894069586697</v>
      </c>
      <c r="D83" s="115">
        <v>102.91788139173394</v>
      </c>
      <c r="E83" s="115">
        <v>124.30018904045988</v>
      </c>
      <c r="F83" s="115">
        <v>134.24899793041101</v>
      </c>
      <c r="G83" s="115">
        <v>144.1978068203621</v>
      </c>
      <c r="H83" s="115">
        <v>143.13304983366208</v>
      </c>
      <c r="I83" s="115">
        <v>128.62006152356051</v>
      </c>
      <c r="J83" s="115">
        <v>98.85596861363706</v>
      </c>
      <c r="K83" s="115">
        <v>98.85596861363706</v>
      </c>
      <c r="L83" s="115">
        <v>98.85596861363706</v>
      </c>
      <c r="M83" t="s">
        <v>46</v>
      </c>
    </row>
    <row r="84" spans="1:13" ht="13" thickBot="1" x14ac:dyDescent="0.3">
      <c r="A84" t="s">
        <v>15</v>
      </c>
      <c r="B84" t="str">
        <v>LA</v>
      </c>
      <c r="C84" s="116">
        <v>101.45894069586697</v>
      </c>
      <c r="D84" s="116">
        <v>102.91788139173394</v>
      </c>
      <c r="E84" s="116">
        <v>124.30018904045988</v>
      </c>
      <c r="F84" s="116">
        <v>134.24899793041101</v>
      </c>
      <c r="G84" s="116">
        <v>144.1978068203621</v>
      </c>
      <c r="H84" s="116">
        <v>143.13304983366208</v>
      </c>
      <c r="I84" s="116">
        <v>128.62006152356051</v>
      </c>
      <c r="J84" s="116">
        <v>98.85596861363706</v>
      </c>
      <c r="K84" s="116">
        <v>98.85596861363706</v>
      </c>
      <c r="L84" s="116">
        <v>98.85596861363706</v>
      </c>
      <c r="M84" t="s">
        <v>46</v>
      </c>
    </row>
    <row r="85" spans="1:13" ht="13" thickTop="1" x14ac:dyDescent="0.25"/>
    <row r="86" spans="1:13" x14ac:dyDescent="0.25">
      <c r="A86" s="3" t="s">
        <v>182</v>
      </c>
      <c r="B86" t="str">
        <f t="array" ref="B86:B93">R_CODE</f>
        <v>EU</v>
      </c>
      <c r="C86" s="114">
        <v>99.833509194992871</v>
      </c>
      <c r="D86" s="114">
        <v>99.667018389985728</v>
      </c>
      <c r="E86" s="114">
        <v>102.76504498212294</v>
      </c>
      <c r="F86" s="114">
        <v>100.69239064879683</v>
      </c>
      <c r="G86" s="114">
        <v>98.619736315470718</v>
      </c>
      <c r="H86" s="114">
        <v>96.290523882116133</v>
      </c>
      <c r="I86" s="114">
        <v>90.435125847484542</v>
      </c>
      <c r="J86" s="114">
        <v>85.774869065301957</v>
      </c>
      <c r="K86" s="114">
        <v>85.774869065301957</v>
      </c>
      <c r="L86" s="114">
        <v>85.774869065301957</v>
      </c>
      <c r="M86" t="s">
        <v>46</v>
      </c>
    </row>
    <row r="87" spans="1:13" x14ac:dyDescent="0.25">
      <c r="A87" s="3" t="s">
        <v>182</v>
      </c>
      <c r="B87" t="str">
        <v>US</v>
      </c>
      <c r="C87" s="115">
        <v>99.833509194992871</v>
      </c>
      <c r="D87" s="115">
        <v>99.667018389985728</v>
      </c>
      <c r="E87" s="115">
        <v>102.76504498212294</v>
      </c>
      <c r="F87" s="115">
        <v>100.69239064879683</v>
      </c>
      <c r="G87" s="115">
        <v>98.619736315470718</v>
      </c>
      <c r="H87" s="115">
        <v>96.290523882116133</v>
      </c>
      <c r="I87" s="115">
        <v>90.435125847484542</v>
      </c>
      <c r="J87" s="115">
        <v>85.774869065301957</v>
      </c>
      <c r="K87" s="115">
        <v>85.774869065301957</v>
      </c>
      <c r="L87" s="115">
        <v>85.774869065301957</v>
      </c>
      <c r="M87" t="s">
        <v>46</v>
      </c>
    </row>
    <row r="88" spans="1:13" x14ac:dyDescent="0.25">
      <c r="A88" s="3" t="s">
        <v>182</v>
      </c>
      <c r="B88" t="str">
        <v>OT</v>
      </c>
      <c r="C88" s="115">
        <v>99.833509194992871</v>
      </c>
      <c r="D88" s="115">
        <v>99.667018389985728</v>
      </c>
      <c r="E88" s="115">
        <v>102.76504498212294</v>
      </c>
      <c r="F88" s="115">
        <v>100.69239064879683</v>
      </c>
      <c r="G88" s="115">
        <v>98.619736315470718</v>
      </c>
      <c r="H88" s="115">
        <v>96.290523882116133</v>
      </c>
      <c r="I88" s="115">
        <v>90.435125847484542</v>
      </c>
      <c r="J88" s="115">
        <v>85.774869065301957</v>
      </c>
      <c r="K88" s="115">
        <v>85.774869065301957</v>
      </c>
      <c r="L88" s="115">
        <v>85.774869065301957</v>
      </c>
      <c r="M88" t="s">
        <v>46</v>
      </c>
    </row>
    <row r="89" spans="1:13" x14ac:dyDescent="0.25">
      <c r="A89" s="3" t="s">
        <v>182</v>
      </c>
      <c r="B89" t="str">
        <v>EE</v>
      </c>
      <c r="C89" s="115">
        <v>100.191208470253</v>
      </c>
      <c r="D89" s="115">
        <v>100.38241694050602</v>
      </c>
      <c r="E89" s="115">
        <v>102.98338758736169</v>
      </c>
      <c r="F89" s="115">
        <v>102.78428091863782</v>
      </c>
      <c r="G89" s="115">
        <v>102.58517424991393</v>
      </c>
      <c r="H89" s="115">
        <v>99.686560807057987</v>
      </c>
      <c r="I89" s="115">
        <v>92.836335382981318</v>
      </c>
      <c r="J89" s="115">
        <v>89.452452419291191</v>
      </c>
      <c r="K89" s="115">
        <v>89.452452419291191</v>
      </c>
      <c r="L89" s="115">
        <v>89.452452419291191</v>
      </c>
      <c r="M89" t="s">
        <v>46</v>
      </c>
    </row>
    <row r="90" spans="1:13" x14ac:dyDescent="0.25">
      <c r="A90" s="3" t="s">
        <v>182</v>
      </c>
      <c r="B90" t="str">
        <v>CA</v>
      </c>
      <c r="C90" s="115">
        <v>100.28713025991391</v>
      </c>
      <c r="D90" s="115">
        <v>100.5742605198278</v>
      </c>
      <c r="E90" s="115">
        <v>101.6249235885288</v>
      </c>
      <c r="F90" s="115">
        <v>106.08144944182257</v>
      </c>
      <c r="G90" s="115">
        <v>110.53797529511633</v>
      </c>
      <c r="H90" s="115">
        <v>111.05204261502043</v>
      </c>
      <c r="I90" s="115">
        <v>110.39658695559311</v>
      </c>
      <c r="J90" s="115">
        <v>110.47441305822622</v>
      </c>
      <c r="K90" s="115">
        <v>110.47441305822622</v>
      </c>
      <c r="L90" s="115">
        <v>110.47441305822622</v>
      </c>
      <c r="M90" t="s">
        <v>46</v>
      </c>
    </row>
    <row r="91" spans="1:13" x14ac:dyDescent="0.25">
      <c r="A91" s="3" t="s">
        <v>182</v>
      </c>
      <c r="B91" t="str">
        <v>IA</v>
      </c>
      <c r="C91" s="115">
        <v>100.28713025991391</v>
      </c>
      <c r="D91" s="115">
        <v>100.5742605198278</v>
      </c>
      <c r="E91" s="115">
        <v>101.6249235885288</v>
      </c>
      <c r="F91" s="115">
        <v>106.08144944182257</v>
      </c>
      <c r="G91" s="115">
        <v>110.53797529511633</v>
      </c>
      <c r="H91" s="115">
        <v>111.05204261502043</v>
      </c>
      <c r="I91" s="115">
        <v>110.39658695559311</v>
      </c>
      <c r="J91" s="115">
        <v>110.47441305822622</v>
      </c>
      <c r="K91" s="115">
        <v>110.47441305822622</v>
      </c>
      <c r="L91" s="115">
        <v>110.47441305822622</v>
      </c>
      <c r="M91" t="s">
        <v>46</v>
      </c>
    </row>
    <row r="92" spans="1:13" x14ac:dyDescent="0.25">
      <c r="A92" s="3" t="s">
        <v>182</v>
      </c>
      <c r="B92" t="str">
        <v>AF</v>
      </c>
      <c r="C92" s="115">
        <v>99.864866006912308</v>
      </c>
      <c r="D92" s="115">
        <v>99.729732013824616</v>
      </c>
      <c r="E92" s="115">
        <v>100.45374398066953</v>
      </c>
      <c r="F92" s="115">
        <v>103.70510067976102</v>
      </c>
      <c r="G92" s="115">
        <v>106.95645737885252</v>
      </c>
      <c r="H92" s="115">
        <v>108.9032967269227</v>
      </c>
      <c r="I92" s="115">
        <v>110.88057053055684</v>
      </c>
      <c r="J92" s="115">
        <v>111.76981889816032</v>
      </c>
      <c r="K92" s="115">
        <v>111.76981889816032</v>
      </c>
      <c r="L92" s="115">
        <v>111.76981889816032</v>
      </c>
      <c r="M92" t="s">
        <v>46</v>
      </c>
    </row>
    <row r="93" spans="1:13" ht="13" thickBot="1" x14ac:dyDescent="0.3">
      <c r="A93" s="3" t="s">
        <v>182</v>
      </c>
      <c r="B93" t="str">
        <v>LA</v>
      </c>
      <c r="C93" s="116">
        <v>99.864866006912308</v>
      </c>
      <c r="D93" s="116">
        <v>99.729732013824616</v>
      </c>
      <c r="E93" s="116">
        <v>100.45374398066953</v>
      </c>
      <c r="F93" s="116">
        <v>103.70510067976102</v>
      </c>
      <c r="G93" s="116">
        <v>106.95645737885252</v>
      </c>
      <c r="H93" s="116">
        <v>108.9032967269227</v>
      </c>
      <c r="I93" s="116">
        <v>110.88057053055684</v>
      </c>
      <c r="J93" s="116">
        <v>111.76981889816032</v>
      </c>
      <c r="K93" s="116">
        <v>111.76981889816032</v>
      </c>
      <c r="L93" s="116">
        <v>111.76981889816032</v>
      </c>
      <c r="M93" t="s">
        <v>46</v>
      </c>
    </row>
    <row r="94" spans="1:13" ht="13" thickTop="1" x14ac:dyDescent="0.25"/>
    <row r="95" spans="1:13" x14ac:dyDescent="0.25">
      <c r="A95" t="str">
        <f t="array" ref="A95:A102">GLIN_NAME</f>
        <v>Lin</v>
      </c>
      <c r="B95" t="str">
        <f t="array" ref="B95:B102">R_CODE</f>
        <v>EU</v>
      </c>
      <c r="C95" s="114">
        <v>103.34352169441709</v>
      </c>
      <c r="D95" s="114">
        <v>106.68704338883418</v>
      </c>
      <c r="E95" s="114">
        <v>96.875896168722903</v>
      </c>
      <c r="F95" s="114">
        <v>100.85034234321378</v>
      </c>
      <c r="G95" s="114">
        <v>104.82478851770465</v>
      </c>
      <c r="H95" s="114">
        <v>108.75556191500952</v>
      </c>
      <c r="I95" s="114">
        <v>117.47684926713201</v>
      </c>
      <c r="J95" s="114">
        <v>126.29835263284434</v>
      </c>
      <c r="K95" s="114">
        <v>126.29835263284434</v>
      </c>
      <c r="L95" s="114">
        <v>126.29835263284434</v>
      </c>
      <c r="M95" t="s">
        <v>46</v>
      </c>
    </row>
    <row r="96" spans="1:13" x14ac:dyDescent="0.25">
      <c r="A96" t="str">
        <v>Lin</v>
      </c>
      <c r="B96" t="str">
        <v>US</v>
      </c>
      <c r="C96" s="115">
        <v>103.34352169441709</v>
      </c>
      <c r="D96" s="115">
        <v>106.68704338883418</v>
      </c>
      <c r="E96" s="115">
        <v>96.875896168722903</v>
      </c>
      <c r="F96" s="115">
        <v>100.85034234321378</v>
      </c>
      <c r="G96" s="115">
        <v>104.82478851770465</v>
      </c>
      <c r="H96" s="115">
        <v>108.75556191500952</v>
      </c>
      <c r="I96" s="115">
        <v>117.47684926713201</v>
      </c>
      <c r="J96" s="115">
        <v>126.29835263284434</v>
      </c>
      <c r="K96" s="115">
        <v>126.29835263284434</v>
      </c>
      <c r="L96" s="115">
        <v>126.29835263284434</v>
      </c>
      <c r="M96" t="s">
        <v>46</v>
      </c>
    </row>
    <row r="97" spans="1:13" x14ac:dyDescent="0.25">
      <c r="A97" t="str">
        <v>Lin</v>
      </c>
      <c r="B97" t="str">
        <v>OT</v>
      </c>
      <c r="C97" s="115">
        <v>103.34352169441709</v>
      </c>
      <c r="D97" s="115">
        <v>106.68704338883418</v>
      </c>
      <c r="E97" s="115">
        <v>96.875896168722903</v>
      </c>
      <c r="F97" s="115">
        <v>100.85034234321378</v>
      </c>
      <c r="G97" s="115">
        <v>104.82478851770465</v>
      </c>
      <c r="H97" s="115">
        <v>108.75556191500952</v>
      </c>
      <c r="I97" s="115">
        <v>117.47684926713201</v>
      </c>
      <c r="J97" s="115">
        <v>126.29835263284434</v>
      </c>
      <c r="K97" s="115">
        <v>126.29835263284434</v>
      </c>
      <c r="L97" s="115">
        <v>126.29835263284434</v>
      </c>
      <c r="M97" t="s">
        <v>46</v>
      </c>
    </row>
    <row r="98" spans="1:13" x14ac:dyDescent="0.25">
      <c r="A98" t="str">
        <v>Lin</v>
      </c>
      <c r="B98" t="str">
        <v>EE</v>
      </c>
      <c r="C98" s="115">
        <v>103.6765487994021</v>
      </c>
      <c r="D98" s="115">
        <v>107.3530975988042</v>
      </c>
      <c r="E98" s="115">
        <v>184.17706299250798</v>
      </c>
      <c r="F98" s="115">
        <v>266.46567829543955</v>
      </c>
      <c r="G98" s="115">
        <v>348.75429359837113</v>
      </c>
      <c r="H98" s="115">
        <v>361.20122188912922</v>
      </c>
      <c r="I98" s="115">
        <v>368.18074777942832</v>
      </c>
      <c r="J98" s="115">
        <v>334.18264302438598</v>
      </c>
      <c r="K98" s="115">
        <v>334.18264302438598</v>
      </c>
      <c r="L98" s="115">
        <v>334.18264302438598</v>
      </c>
      <c r="M98" t="s">
        <v>46</v>
      </c>
    </row>
    <row r="99" spans="1:13" x14ac:dyDescent="0.25">
      <c r="A99" t="str">
        <v>Lin</v>
      </c>
      <c r="B99" t="str">
        <v>CA</v>
      </c>
      <c r="C99" s="115">
        <v>106.35467939271511</v>
      </c>
      <c r="D99" s="115">
        <v>112.70935878543023</v>
      </c>
      <c r="E99" s="115">
        <v>234.43739996280388</v>
      </c>
      <c r="F99" s="115">
        <v>451.9110124172696</v>
      </c>
      <c r="G99" s="115">
        <v>669.38462487173535</v>
      </c>
      <c r="H99" s="115">
        <v>909.99452298125948</v>
      </c>
      <c r="I99" s="115">
        <v>1108.0138156849926</v>
      </c>
      <c r="J99" s="115">
        <v>1029.2620872302932</v>
      </c>
      <c r="K99" s="115">
        <v>1029.2620872302932</v>
      </c>
      <c r="L99" s="115">
        <v>1029.2620872302932</v>
      </c>
      <c r="M99" t="s">
        <v>46</v>
      </c>
    </row>
    <row r="100" spans="1:13" x14ac:dyDescent="0.25">
      <c r="A100" t="str">
        <v>Lin</v>
      </c>
      <c r="B100" t="str">
        <v>IA</v>
      </c>
      <c r="C100" s="115">
        <v>106.35467939271511</v>
      </c>
      <c r="D100" s="115">
        <v>112.70935878543023</v>
      </c>
      <c r="E100" s="115">
        <v>234.43739996280388</v>
      </c>
      <c r="F100" s="115">
        <v>451.9110124172696</v>
      </c>
      <c r="G100" s="115">
        <v>669.38462487173535</v>
      </c>
      <c r="H100" s="115">
        <v>909.99452298125948</v>
      </c>
      <c r="I100" s="115">
        <v>1108.0138156849926</v>
      </c>
      <c r="J100" s="115">
        <v>1029.2620872302932</v>
      </c>
      <c r="K100" s="115">
        <v>1029.2620872302932</v>
      </c>
      <c r="L100" s="115">
        <v>1029.2620872302932</v>
      </c>
      <c r="M100" t="s">
        <v>46</v>
      </c>
    </row>
    <row r="101" spans="1:13" x14ac:dyDescent="0.25">
      <c r="A101" t="str">
        <v>Lin</v>
      </c>
      <c r="B101" t="str">
        <v>AF</v>
      </c>
      <c r="C101" s="115">
        <v>107.61971843407929</v>
      </c>
      <c r="D101" s="115">
        <v>115.23943686815859</v>
      </c>
      <c r="E101" s="115">
        <v>236.19594623922265</v>
      </c>
      <c r="F101" s="115">
        <v>478.85717300527426</v>
      </c>
      <c r="G101" s="115">
        <v>721.5183997713259</v>
      </c>
      <c r="H101" s="115">
        <v>877.77616411943734</v>
      </c>
      <c r="I101" s="115">
        <v>1006.929628071476</v>
      </c>
      <c r="J101" s="115">
        <v>952.49948602985285</v>
      </c>
      <c r="K101" s="115">
        <v>952.49948602985285</v>
      </c>
      <c r="L101" s="115">
        <v>952.49948602985285</v>
      </c>
      <c r="M101" t="s">
        <v>46</v>
      </c>
    </row>
    <row r="102" spans="1:13" ht="13" thickBot="1" x14ac:dyDescent="0.3">
      <c r="A102" t="str">
        <v>Lin</v>
      </c>
      <c r="B102" t="str">
        <v>LA</v>
      </c>
      <c r="C102" s="116">
        <v>107.61971843407929</v>
      </c>
      <c r="D102" s="116">
        <v>115.23943686815859</v>
      </c>
      <c r="E102" s="116">
        <v>236.19594623922265</v>
      </c>
      <c r="F102" s="116">
        <v>478.85717300527426</v>
      </c>
      <c r="G102" s="116">
        <v>721.5183997713259</v>
      </c>
      <c r="H102" s="116">
        <v>877.77616411943734</v>
      </c>
      <c r="I102" s="116">
        <v>1006.929628071476</v>
      </c>
      <c r="J102" s="116">
        <v>952.49948602985285</v>
      </c>
      <c r="K102" s="116">
        <v>952.49948602985285</v>
      </c>
      <c r="L102" s="116">
        <v>952.49948602985285</v>
      </c>
      <c r="M102" t="s">
        <v>46</v>
      </c>
    </row>
    <row r="103" spans="1:13" ht="13" thickTop="1" x14ac:dyDescent="0.25"/>
    <row r="104" spans="1:13" x14ac:dyDescent="0.25">
      <c r="A104" t="s">
        <v>42</v>
      </c>
      <c r="B104" s="147">
        <v>1.3061169235708958</v>
      </c>
      <c r="M104" s="12" t="s">
        <v>51</v>
      </c>
    </row>
  </sheetData>
  <phoneticPr fontId="0" type="noConversion"/>
  <pageMargins left="0.75" right="0.75" top="1" bottom="1" header="0.5" footer="0.5"/>
  <pageSetup paperSize="9"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001"/>
  <sheetViews>
    <sheetView workbookViewId="0"/>
  </sheetViews>
  <sheetFormatPr defaultRowHeight="12.5" x14ac:dyDescent="0.25"/>
  <cols>
    <col min="1" max="1" width="21.54296875" bestFit="1" customWidth="1"/>
    <col min="2" max="2" width="44.81640625" bestFit="1" customWidth="1"/>
    <col min="3" max="3" width="12.54296875" bestFit="1" customWidth="1"/>
    <col min="4" max="6" width="9" bestFit="1" customWidth="1"/>
    <col min="7" max="7" width="21.7265625" bestFit="1" customWidth="1"/>
    <col min="8" max="8" width="10.26953125" bestFit="1" customWidth="1"/>
    <col min="9" max="9" width="4" customWidth="1"/>
    <col min="10" max="10" width="5" bestFit="1" customWidth="1"/>
    <col min="11" max="11" width="11" bestFit="1" customWidth="1"/>
    <col min="12" max="12" width="5" customWidth="1"/>
  </cols>
  <sheetData>
    <row r="1" spans="1:11" ht="13" x14ac:dyDescent="0.3">
      <c r="A1" s="2" t="str">
        <f>MODEL_NAME</f>
        <v>PAGE09</v>
      </c>
      <c r="B1" t="s">
        <v>44</v>
      </c>
      <c r="C1" s="71">
        <f>VERSION</f>
        <v>1.7</v>
      </c>
      <c r="J1" s="148" t="s">
        <v>2161</v>
      </c>
      <c r="K1" s="148" t="s">
        <v>2162</v>
      </c>
    </row>
    <row r="2" spans="1:11" x14ac:dyDescent="0.25">
      <c r="J2" s="148">
        <v>0.01</v>
      </c>
      <c r="K2" s="148">
        <v>0</v>
      </c>
    </row>
    <row r="3" spans="1:11" s="2" customFormat="1" ht="13" x14ac:dyDescent="0.3">
      <c r="A3" s="2" t="s">
        <v>467</v>
      </c>
      <c r="B3" s="68"/>
      <c r="C3" s="68"/>
      <c r="D3" s="2" t="s">
        <v>464</v>
      </c>
      <c r="E3" s="2" t="s">
        <v>465</v>
      </c>
      <c r="F3" s="2" t="s">
        <v>466</v>
      </c>
      <c r="J3" s="148">
        <v>0.02</v>
      </c>
      <c r="K3" s="148">
        <v>0</v>
      </c>
    </row>
    <row r="4" spans="1:11" x14ac:dyDescent="0.25">
      <c r="B4" t="s">
        <v>470</v>
      </c>
      <c r="C4" s="86">
        <f>62</f>
        <v>62</v>
      </c>
      <c r="D4" s="14">
        <v>57</v>
      </c>
      <c r="E4" s="14">
        <v>62</v>
      </c>
      <c r="F4" s="14">
        <v>67</v>
      </c>
      <c r="G4" s="12" t="s">
        <v>46</v>
      </c>
      <c r="J4" s="148">
        <v>0.03</v>
      </c>
      <c r="K4" s="148">
        <v>0</v>
      </c>
    </row>
    <row r="5" spans="1:11" x14ac:dyDescent="0.25">
      <c r="B5" t="s">
        <v>45</v>
      </c>
      <c r="C5" s="86">
        <f>73.33333333</f>
        <v>73.333333330000002</v>
      </c>
      <c r="D5" s="15">
        <v>50</v>
      </c>
      <c r="E5" s="15">
        <v>70</v>
      </c>
      <c r="F5" s="15">
        <v>100</v>
      </c>
      <c r="G5" s="12" t="s">
        <v>47</v>
      </c>
      <c r="J5" s="148">
        <v>0.04</v>
      </c>
      <c r="K5" s="148">
        <v>0</v>
      </c>
    </row>
    <row r="6" spans="1:11" x14ac:dyDescent="0.25">
      <c r="B6" s="3" t="s">
        <v>243</v>
      </c>
      <c r="C6" s="86">
        <f>1.7</f>
        <v>1.7</v>
      </c>
      <c r="D6" s="15">
        <v>1</v>
      </c>
      <c r="E6" s="15">
        <v>1.3</v>
      </c>
      <c r="F6" s="15">
        <v>2.8</v>
      </c>
      <c r="G6" s="79" t="s">
        <v>49</v>
      </c>
      <c r="J6" s="148">
        <v>0.05</v>
      </c>
      <c r="K6" s="148">
        <v>0</v>
      </c>
    </row>
    <row r="7" spans="1:11" x14ac:dyDescent="0.25">
      <c r="B7" s="3" t="s">
        <v>197</v>
      </c>
      <c r="C7" s="86">
        <f>9.666666667</f>
        <v>9.6666666669999994</v>
      </c>
      <c r="D7" s="15">
        <v>4</v>
      </c>
      <c r="E7" s="15">
        <v>10</v>
      </c>
      <c r="F7" s="15">
        <v>15</v>
      </c>
      <c r="G7" s="79" t="s">
        <v>198</v>
      </c>
      <c r="J7" s="148">
        <v>0.06</v>
      </c>
      <c r="K7" s="148">
        <v>0</v>
      </c>
    </row>
    <row r="8" spans="1:11" x14ac:dyDescent="0.25">
      <c r="B8" s="3" t="s">
        <v>199</v>
      </c>
      <c r="C8" s="86">
        <f>53.33333333</f>
        <v>53.333333330000002</v>
      </c>
      <c r="D8" s="15">
        <v>30</v>
      </c>
      <c r="E8" s="15">
        <v>50</v>
      </c>
      <c r="F8" s="15">
        <v>80</v>
      </c>
      <c r="G8" s="79" t="s">
        <v>46</v>
      </c>
      <c r="J8" s="148">
        <v>7.0000000000000007E-2</v>
      </c>
      <c r="K8" s="148">
        <v>0</v>
      </c>
    </row>
    <row r="9" spans="1:11" x14ac:dyDescent="0.25">
      <c r="B9" s="3" t="s">
        <v>493</v>
      </c>
      <c r="C9" s="86">
        <f>1.4</f>
        <v>1.4</v>
      </c>
      <c r="D9" s="15">
        <v>1.2</v>
      </c>
      <c r="E9" s="15">
        <v>1.4</v>
      </c>
      <c r="F9" s="15">
        <v>1.6</v>
      </c>
      <c r="G9" s="82"/>
      <c r="J9" s="148">
        <v>0.08</v>
      </c>
      <c r="K9" s="148">
        <v>0</v>
      </c>
    </row>
    <row r="10" spans="1:11" x14ac:dyDescent="0.25">
      <c r="B10" s="3" t="s">
        <v>210</v>
      </c>
      <c r="C10" s="86">
        <f>1.5</f>
        <v>1.5</v>
      </c>
      <c r="D10" s="15">
        <v>1</v>
      </c>
      <c r="E10" s="15">
        <v>1.5</v>
      </c>
      <c r="F10" s="15">
        <v>2</v>
      </c>
      <c r="G10" s="82" t="s">
        <v>49</v>
      </c>
      <c r="J10" s="148">
        <v>0.09</v>
      </c>
      <c r="K10" s="148">
        <v>0</v>
      </c>
    </row>
    <row r="11" spans="1:11" x14ac:dyDescent="0.25">
      <c r="B11" t="str">
        <f>"Sulfate direct (linear) effect in "&amp;Y_0</f>
        <v>Sulfate direct (linear) effect in 2000</v>
      </c>
      <c r="C11" s="86">
        <f>-0.4666666667</f>
        <v>-0.46666666670000001</v>
      </c>
      <c r="D11" s="15">
        <v>-0.8</v>
      </c>
      <c r="E11" s="15">
        <v>-0.4</v>
      </c>
      <c r="F11" s="15">
        <v>-0.2</v>
      </c>
      <c r="G11" s="79" t="s">
        <v>51</v>
      </c>
      <c r="J11" s="148">
        <v>0.1</v>
      </c>
      <c r="K11" s="148">
        <v>0</v>
      </c>
    </row>
    <row r="12" spans="1:11" x14ac:dyDescent="0.25">
      <c r="B12" s="3" t="s">
        <v>242</v>
      </c>
      <c r="C12" s="86">
        <f>-0.4</f>
        <v>-0.4</v>
      </c>
      <c r="D12" s="15">
        <v>-0.8</v>
      </c>
      <c r="E12" s="15">
        <v>-0.4</v>
      </c>
      <c r="F12" s="15">
        <v>0</v>
      </c>
      <c r="G12" s="12" t="s">
        <v>51</v>
      </c>
      <c r="J12" s="148">
        <v>0.11</v>
      </c>
      <c r="K12" s="148">
        <v>0</v>
      </c>
    </row>
    <row r="13" spans="1:11" x14ac:dyDescent="0.25">
      <c r="B13" t="str">
        <f>"Sea level rise in "&amp;Y_0</f>
        <v>Sea level rise in 2000</v>
      </c>
      <c r="C13" s="86">
        <f>0.15</f>
        <v>0.15</v>
      </c>
      <c r="D13" s="15">
        <v>0.1</v>
      </c>
      <c r="E13" s="15">
        <v>0.15</v>
      </c>
      <c r="F13" s="15">
        <v>0.2</v>
      </c>
      <c r="G13" s="82" t="s">
        <v>228</v>
      </c>
      <c r="J13" s="148">
        <v>0.12</v>
      </c>
      <c r="K13" s="148">
        <v>0</v>
      </c>
    </row>
    <row r="14" spans="1:11" x14ac:dyDescent="0.25">
      <c r="B14" s="3" t="s">
        <v>229</v>
      </c>
      <c r="C14" s="86">
        <f>1.733333333</f>
        <v>1.733333333</v>
      </c>
      <c r="D14" s="15">
        <v>0.7</v>
      </c>
      <c r="E14" s="15">
        <v>1.5</v>
      </c>
      <c r="F14" s="15">
        <v>3</v>
      </c>
      <c r="G14" s="82" t="s">
        <v>230</v>
      </c>
      <c r="J14" s="148">
        <v>0.13</v>
      </c>
      <c r="K14" s="148">
        <v>0</v>
      </c>
    </row>
    <row r="15" spans="1:11" x14ac:dyDescent="0.25">
      <c r="B15" s="3" t="s">
        <v>231</v>
      </c>
      <c r="C15" s="86">
        <f>1</f>
        <v>1</v>
      </c>
      <c r="D15" s="15">
        <v>0.5</v>
      </c>
      <c r="E15" s="15">
        <v>1</v>
      </c>
      <c r="F15" s="15">
        <v>1.5</v>
      </c>
      <c r="G15" s="82" t="s">
        <v>228</v>
      </c>
      <c r="J15" s="148">
        <v>0.14000000000000001</v>
      </c>
      <c r="K15" s="148">
        <v>0</v>
      </c>
    </row>
    <row r="16" spans="1:11" x14ac:dyDescent="0.25">
      <c r="B16" s="3" t="s">
        <v>232</v>
      </c>
      <c r="C16" s="86">
        <f>1000</f>
        <v>1000</v>
      </c>
      <c r="D16" s="15">
        <v>500</v>
      </c>
      <c r="E16" s="15">
        <v>1000</v>
      </c>
      <c r="F16" s="15">
        <v>1500</v>
      </c>
      <c r="G16" s="82" t="s">
        <v>47</v>
      </c>
      <c r="J16" s="148">
        <v>0.15</v>
      </c>
      <c r="K16" s="148">
        <v>0</v>
      </c>
    </row>
    <row r="17" spans="1:11" x14ac:dyDescent="0.25">
      <c r="B17" t="s">
        <v>50</v>
      </c>
      <c r="C17" s="86">
        <f>35</f>
        <v>35</v>
      </c>
      <c r="D17" s="15">
        <v>10</v>
      </c>
      <c r="E17" s="15">
        <v>30</v>
      </c>
      <c r="F17" s="15">
        <v>65</v>
      </c>
      <c r="G17" s="12" t="s">
        <v>47</v>
      </c>
      <c r="J17" s="148">
        <v>0.16</v>
      </c>
      <c r="K17" s="148">
        <v>0</v>
      </c>
    </row>
    <row r="18" spans="1:11" ht="13" thickBot="1" x14ac:dyDescent="0.3">
      <c r="B18" s="128" t="s">
        <v>48</v>
      </c>
      <c r="C18" s="150">
        <f>3.5</f>
        <v>3.5</v>
      </c>
      <c r="D18" s="16"/>
      <c r="E18" s="16"/>
      <c r="F18" s="16"/>
      <c r="G18" s="12" t="s">
        <v>49</v>
      </c>
      <c r="J18" s="148">
        <v>0.17</v>
      </c>
      <c r="K18" s="149">
        <v>1.3572E-286</v>
      </c>
    </row>
    <row r="19" spans="1:11" ht="13" thickTop="1" x14ac:dyDescent="0.25">
      <c r="J19" s="148">
        <v>0.18</v>
      </c>
      <c r="K19" s="149">
        <v>4.6503999999999999E-254</v>
      </c>
    </row>
    <row r="20" spans="1:11" s="2" customFormat="1" ht="13" x14ac:dyDescent="0.3">
      <c r="A20" s="2" t="s">
        <v>52</v>
      </c>
      <c r="B20" s="68"/>
      <c r="C20" s="68"/>
      <c r="J20" s="148">
        <v>0.19</v>
      </c>
      <c r="K20" s="149">
        <v>1.2712000000000001E-226</v>
      </c>
    </row>
    <row r="21" spans="1:11" x14ac:dyDescent="0.25">
      <c r="B21" t="s">
        <v>164</v>
      </c>
      <c r="C21" s="86">
        <f>3</f>
        <v>3</v>
      </c>
      <c r="D21" s="15">
        <v>2</v>
      </c>
      <c r="E21" s="15">
        <v>3</v>
      </c>
      <c r="F21" s="15">
        <v>4</v>
      </c>
      <c r="G21" s="13" t="s">
        <v>49</v>
      </c>
      <c r="J21" s="148">
        <v>0.2</v>
      </c>
      <c r="K21" s="149">
        <v>2.7910999999999999E-203</v>
      </c>
    </row>
    <row r="22" spans="1:11" ht="13" thickBot="1" x14ac:dyDescent="0.3">
      <c r="B22" t="s">
        <v>165</v>
      </c>
      <c r="C22" s="86">
        <f>20</f>
        <v>20</v>
      </c>
      <c r="D22" s="16">
        <v>10</v>
      </c>
      <c r="E22" s="16">
        <v>20</v>
      </c>
      <c r="F22" s="16">
        <v>30</v>
      </c>
      <c r="G22" s="13" t="s">
        <v>166</v>
      </c>
      <c r="J22" s="148">
        <v>0.21</v>
      </c>
      <c r="K22" s="149">
        <v>2.8896999999999999E-183</v>
      </c>
    </row>
    <row r="23" spans="1:11" ht="13" thickTop="1" x14ac:dyDescent="0.25">
      <c r="J23" s="148">
        <v>0.22</v>
      </c>
      <c r="K23" s="149">
        <v>5.5785000000000002E-166</v>
      </c>
    </row>
    <row r="24" spans="1:11" s="2" customFormat="1" ht="13" x14ac:dyDescent="0.3">
      <c r="A24" s="2" t="s">
        <v>53</v>
      </c>
      <c r="B24" s="68"/>
      <c r="C24" s="68"/>
      <c r="J24" s="148">
        <v>0.23</v>
      </c>
      <c r="K24" s="149">
        <v>5.9175999999999999E-151</v>
      </c>
    </row>
    <row r="25" spans="1:11" x14ac:dyDescent="0.25">
      <c r="B25" t="s">
        <v>259</v>
      </c>
      <c r="C25" s="86">
        <f>15</f>
        <v>15</v>
      </c>
      <c r="D25" s="15">
        <v>10</v>
      </c>
      <c r="E25" s="15">
        <v>15</v>
      </c>
      <c r="F25" s="15">
        <v>20</v>
      </c>
      <c r="G25" t="s">
        <v>46</v>
      </c>
      <c r="J25" s="148">
        <v>0.24</v>
      </c>
      <c r="K25" s="149">
        <v>8.1430000000000006E-138</v>
      </c>
    </row>
    <row r="26" spans="1:11" x14ac:dyDescent="0.25">
      <c r="B26" t="s">
        <v>262</v>
      </c>
      <c r="C26" s="86">
        <f>0.5</f>
        <v>0.5</v>
      </c>
      <c r="D26" s="15">
        <v>0.45</v>
      </c>
      <c r="E26" s="15">
        <v>0.5</v>
      </c>
      <c r="F26" s="15">
        <v>0.55000000000000004</v>
      </c>
      <c r="G26" t="s">
        <v>228</v>
      </c>
      <c r="J26" s="148">
        <v>0.25</v>
      </c>
      <c r="K26" s="149">
        <v>2.8965999999999999E-126</v>
      </c>
    </row>
    <row r="27" spans="1:11" x14ac:dyDescent="0.25">
      <c r="B27" t="s">
        <v>260</v>
      </c>
      <c r="C27" s="86">
        <f>3</f>
        <v>3</v>
      </c>
      <c r="D27" s="15">
        <v>2.5</v>
      </c>
      <c r="E27" s="15">
        <v>3</v>
      </c>
      <c r="F27" s="15">
        <v>3.5</v>
      </c>
      <c r="G27" t="s">
        <v>49</v>
      </c>
      <c r="J27" s="148">
        <v>0.26</v>
      </c>
      <c r="K27" s="149">
        <v>4.6564000000000001E-116</v>
      </c>
    </row>
    <row r="28" spans="1:11" x14ac:dyDescent="0.25">
      <c r="B28" t="s">
        <v>265</v>
      </c>
      <c r="C28" s="86">
        <f>0</f>
        <v>0</v>
      </c>
      <c r="D28" s="15">
        <v>0</v>
      </c>
      <c r="E28" s="15">
        <v>0</v>
      </c>
      <c r="F28" s="15">
        <v>0</v>
      </c>
      <c r="G28" t="s">
        <v>263</v>
      </c>
      <c r="J28" s="148">
        <v>0.27</v>
      </c>
      <c r="K28" s="149">
        <v>5.3388E-107</v>
      </c>
    </row>
    <row r="29" spans="1:11" x14ac:dyDescent="0.25">
      <c r="B29" t="s">
        <v>261</v>
      </c>
      <c r="C29" s="86">
        <f>1</f>
        <v>1</v>
      </c>
      <c r="D29" s="15">
        <v>0.5</v>
      </c>
      <c r="E29" s="15">
        <v>1</v>
      </c>
      <c r="F29" s="15">
        <v>1.5</v>
      </c>
      <c r="G29" s="12" t="s">
        <v>168</v>
      </c>
      <c r="J29" s="148">
        <v>0.28000000000000003</v>
      </c>
      <c r="K29" s="149">
        <v>6.3566000000000001E-99</v>
      </c>
    </row>
    <row r="30" spans="1:11" x14ac:dyDescent="0.25">
      <c r="B30" t="s">
        <v>270</v>
      </c>
      <c r="C30" s="86">
        <f>0.7333333333</f>
        <v>0.73333333329999995</v>
      </c>
      <c r="D30" s="15">
        <v>0.5</v>
      </c>
      <c r="E30" s="15">
        <v>0.7</v>
      </c>
      <c r="F30" s="15">
        <v>1</v>
      </c>
      <c r="G30" s="12"/>
      <c r="J30" s="148">
        <v>0.28999999999999998</v>
      </c>
      <c r="K30" s="149">
        <v>1.0732E-91</v>
      </c>
    </row>
    <row r="31" spans="1:11" x14ac:dyDescent="0.25">
      <c r="B31" t="s">
        <v>264</v>
      </c>
      <c r="C31" s="86">
        <f>-0.3</f>
        <v>-0.3</v>
      </c>
      <c r="D31" s="15">
        <v>-0.4</v>
      </c>
      <c r="E31" s="15">
        <v>-0.3</v>
      </c>
      <c r="F31" s="15">
        <v>-0.2</v>
      </c>
      <c r="G31" s="12"/>
      <c r="J31" s="148">
        <v>0.3</v>
      </c>
      <c r="K31" s="149">
        <v>3.3323000000000003E-85</v>
      </c>
    </row>
    <row r="32" spans="1:11" x14ac:dyDescent="0.25">
      <c r="B32" t="str">
        <f>I_1_NAME&amp;" initial benefit"</f>
        <v>Economic initial benefit</v>
      </c>
      <c r="C32" s="86">
        <f>0.1333333333</f>
        <v>0.1333333333</v>
      </c>
      <c r="D32" s="15">
        <v>0</v>
      </c>
      <c r="E32" s="15">
        <v>0.1</v>
      </c>
      <c r="F32" s="15">
        <v>0.3</v>
      </c>
      <c r="G32" t="s">
        <v>266</v>
      </c>
      <c r="J32" s="148">
        <v>0.31</v>
      </c>
      <c r="K32" s="149">
        <v>2.3673999999999999E-79</v>
      </c>
    </row>
    <row r="33" spans="2:11" x14ac:dyDescent="0.25">
      <c r="B33" t="str">
        <f>I_1_NAME&amp;" impact at calibration temperature"</f>
        <v>Economic impact at calibration temperature</v>
      </c>
      <c r="C33" s="86">
        <f>0.5</f>
        <v>0.5</v>
      </c>
      <c r="D33" s="15">
        <v>0.2</v>
      </c>
      <c r="E33" s="15">
        <v>0.5</v>
      </c>
      <c r="F33" s="15">
        <v>0.8</v>
      </c>
      <c r="G33" s="12" t="s">
        <v>168</v>
      </c>
      <c r="J33" s="148">
        <v>0.32</v>
      </c>
      <c r="K33" s="149">
        <v>4.628E-74</v>
      </c>
    </row>
    <row r="34" spans="2:11" x14ac:dyDescent="0.25">
      <c r="B34" t="str">
        <f>I_1_NAME&amp;" impact function exponent"</f>
        <v>Economic impact function exponent</v>
      </c>
      <c r="C34" s="86">
        <f>2.166666667</f>
        <v>2.1666666669999999</v>
      </c>
      <c r="D34" s="15">
        <v>1.5</v>
      </c>
      <c r="E34" s="15">
        <v>2</v>
      </c>
      <c r="F34" s="15">
        <v>3</v>
      </c>
      <c r="G34" s="12"/>
      <c r="J34" s="148">
        <v>0.33</v>
      </c>
      <c r="K34" s="149">
        <v>2.9118E-69</v>
      </c>
    </row>
    <row r="35" spans="2:11" x14ac:dyDescent="0.25">
      <c r="B35" t="str">
        <f>I_1_NAME&amp;" exponent with income"</f>
        <v>Economic exponent with income</v>
      </c>
      <c r="C35" s="86">
        <f>-0.1333333333</f>
        <v>-0.1333333333</v>
      </c>
      <c r="D35" s="15">
        <v>-0.3</v>
      </c>
      <c r="E35" s="15">
        <v>-0.1</v>
      </c>
      <c r="F35" s="15">
        <v>0</v>
      </c>
      <c r="G35" s="12"/>
      <c r="J35" s="148">
        <v>0.34</v>
      </c>
      <c r="K35" s="149">
        <v>6.7400999999999998E-65</v>
      </c>
    </row>
    <row r="36" spans="2:11" x14ac:dyDescent="0.25">
      <c r="B36" t="str">
        <f>I_2_NAME&amp;" initial benefit"</f>
        <v>Non-econ initial benefit</v>
      </c>
      <c r="C36" s="86">
        <f>0.08333333333</f>
        <v>8.3333333329999995E-2</v>
      </c>
      <c r="D36" s="15">
        <v>0</v>
      </c>
      <c r="E36" s="15">
        <v>0.05</v>
      </c>
      <c r="F36" s="15">
        <v>0.2</v>
      </c>
      <c r="G36" t="s">
        <v>266</v>
      </c>
      <c r="J36" s="148">
        <v>0.35</v>
      </c>
      <c r="K36" s="149">
        <v>6.4381000000000004E-61</v>
      </c>
    </row>
    <row r="37" spans="2:11" x14ac:dyDescent="0.25">
      <c r="B37" t="str">
        <f>I_2_NAME&amp;" impact at calibration temperature"</f>
        <v>Non-econ impact at calibration temperature</v>
      </c>
      <c r="C37" s="86">
        <f>0.5333333333</f>
        <v>0.53333333329999999</v>
      </c>
      <c r="D37" s="15">
        <v>0.1</v>
      </c>
      <c r="E37" s="15">
        <v>0.5</v>
      </c>
      <c r="F37" s="15">
        <v>1</v>
      </c>
      <c r="G37" s="12" t="s">
        <v>168</v>
      </c>
      <c r="J37" s="148">
        <v>0.36</v>
      </c>
      <c r="K37" s="149">
        <v>2.8013E-57</v>
      </c>
    </row>
    <row r="38" spans="2:11" x14ac:dyDescent="0.25">
      <c r="B38" t="str">
        <f>I_2_NAME&amp;" impact function exponent"</f>
        <v>Non-econ impact function exponent</v>
      </c>
      <c r="C38" s="86">
        <f>2.166666667</f>
        <v>2.1666666669999999</v>
      </c>
      <c r="D38" s="15">
        <v>1.5</v>
      </c>
      <c r="E38" s="15">
        <v>2</v>
      </c>
      <c r="F38" s="15">
        <v>3</v>
      </c>
      <c r="G38" s="12"/>
      <c r="J38" s="148">
        <v>0.37</v>
      </c>
      <c r="K38" s="149">
        <v>6.0483000000000002E-54</v>
      </c>
    </row>
    <row r="39" spans="2:11" x14ac:dyDescent="0.25">
      <c r="B39" t="str">
        <f>I_2_NAME&amp;" exponent with income"</f>
        <v>Non-econ exponent with income</v>
      </c>
      <c r="C39" s="86">
        <f>0</f>
        <v>0</v>
      </c>
      <c r="D39" s="15">
        <v>-0.2</v>
      </c>
      <c r="E39" s="15">
        <v>0</v>
      </c>
      <c r="F39" s="15">
        <v>0.2</v>
      </c>
      <c r="G39" s="12"/>
      <c r="J39" s="148">
        <v>0.38</v>
      </c>
      <c r="K39" s="149">
        <v>6.9797000000000003E-51</v>
      </c>
    </row>
    <row r="40" spans="2:11" x14ac:dyDescent="0.25">
      <c r="B40" t="s">
        <v>167</v>
      </c>
      <c r="C40" s="86">
        <f>15</f>
        <v>15</v>
      </c>
      <c r="D40" s="15">
        <v>5</v>
      </c>
      <c r="E40" s="15">
        <v>15</v>
      </c>
      <c r="F40" s="15">
        <v>25</v>
      </c>
      <c r="G40" s="12" t="s">
        <v>168</v>
      </c>
      <c r="J40" s="148">
        <v>0.39</v>
      </c>
      <c r="K40" s="149">
        <v>4.5930999999999997E-48</v>
      </c>
    </row>
    <row r="41" spans="2:11" x14ac:dyDescent="0.25">
      <c r="B41" t="s">
        <v>268</v>
      </c>
      <c r="C41" s="86">
        <f>-0.1333333333</f>
        <v>-0.1333333333</v>
      </c>
      <c r="D41" s="15">
        <v>-0.3</v>
      </c>
      <c r="E41" s="15">
        <v>-0.1</v>
      </c>
      <c r="F41" s="15">
        <v>0</v>
      </c>
      <c r="G41" s="12"/>
      <c r="J41" s="148">
        <v>0.4</v>
      </c>
      <c r="K41" s="149">
        <v>1.8242E-45</v>
      </c>
    </row>
    <row r="42" spans="2:11" x14ac:dyDescent="0.25">
      <c r="B42" t="s">
        <v>269</v>
      </c>
      <c r="C42" s="86">
        <f>90</f>
        <v>90</v>
      </c>
      <c r="D42" s="15">
        <v>20</v>
      </c>
      <c r="E42" s="15">
        <v>50</v>
      </c>
      <c r="F42" s="15">
        <v>200</v>
      </c>
      <c r="G42" s="12" t="s">
        <v>47</v>
      </c>
      <c r="J42" s="148">
        <v>0.41</v>
      </c>
      <c r="K42" s="149">
        <v>4.5956E-43</v>
      </c>
    </row>
    <row r="43" spans="2:11" x14ac:dyDescent="0.25">
      <c r="B43" t="s">
        <v>267</v>
      </c>
      <c r="C43" s="86">
        <f>33.33333333</f>
        <v>33.333333330000002</v>
      </c>
      <c r="D43" s="15">
        <v>20</v>
      </c>
      <c r="E43" s="15">
        <v>30</v>
      </c>
      <c r="F43" s="15">
        <v>50</v>
      </c>
      <c r="G43" s="12" t="s">
        <v>315</v>
      </c>
      <c r="J43" s="148">
        <v>0.42</v>
      </c>
      <c r="K43" s="149">
        <v>7.6728000000000001E-41</v>
      </c>
    </row>
    <row r="44" spans="2:11" x14ac:dyDescent="0.25">
      <c r="B44" t="s">
        <v>474</v>
      </c>
      <c r="C44" s="111">
        <f>53333333330</f>
        <v>53333333330</v>
      </c>
      <c r="D44" s="112">
        <v>10000000000</v>
      </c>
      <c r="E44" s="112">
        <v>50000000000</v>
      </c>
      <c r="F44" s="112">
        <v>100000000000</v>
      </c>
      <c r="G44" s="12" t="str">
        <f>CURRENCY_NAME</f>
        <v>$million</v>
      </c>
      <c r="J44" s="148">
        <v>0.43</v>
      </c>
      <c r="K44" s="149">
        <v>8.8255999999999995E-39</v>
      </c>
    </row>
    <row r="45" spans="2:11" x14ac:dyDescent="0.25">
      <c r="B45" t="str">
        <f t="array" ref="B45:B51">R_CODE_NOT_1&amp;" weights factor"</f>
        <v>US weights factor</v>
      </c>
      <c r="C45" s="86">
        <f>0.8</f>
        <v>0.8</v>
      </c>
      <c r="D45" s="15">
        <v>0.6</v>
      </c>
      <c r="E45" s="15">
        <v>0.8</v>
      </c>
      <c r="F45" s="15">
        <v>1</v>
      </c>
      <c r="J45" s="148">
        <v>0.44</v>
      </c>
      <c r="K45" s="149">
        <v>7.2379000000000002E-37</v>
      </c>
    </row>
    <row r="46" spans="2:11" x14ac:dyDescent="0.25">
      <c r="B46" t="str">
        <v>OT weights factor</v>
      </c>
      <c r="C46" s="86">
        <f>0.8</f>
        <v>0.8</v>
      </c>
      <c r="D46" s="15">
        <v>0.4</v>
      </c>
      <c r="E46" s="15">
        <v>0.8</v>
      </c>
      <c r="F46" s="15">
        <v>1.2</v>
      </c>
      <c r="J46" s="148">
        <v>0.45</v>
      </c>
      <c r="K46" s="149">
        <v>4.3631999999999998E-35</v>
      </c>
    </row>
    <row r="47" spans="2:11" x14ac:dyDescent="0.25">
      <c r="B47" t="str">
        <v>EE weights factor</v>
      </c>
      <c r="C47" s="86">
        <f>0.4</f>
        <v>0.4</v>
      </c>
      <c r="D47" s="15">
        <v>0.2</v>
      </c>
      <c r="E47" s="15">
        <v>0.4</v>
      </c>
      <c r="F47" s="15">
        <v>0.6</v>
      </c>
      <c r="J47" s="148">
        <v>0.46</v>
      </c>
      <c r="K47" s="149">
        <v>1.9867000000000001E-33</v>
      </c>
    </row>
    <row r="48" spans="2:11" x14ac:dyDescent="0.25">
      <c r="B48" t="str">
        <v>CA weights factor</v>
      </c>
      <c r="C48" s="86">
        <f>0.8</f>
        <v>0.8</v>
      </c>
      <c r="D48" s="15">
        <v>0.4</v>
      </c>
      <c r="E48" s="15">
        <v>0.8</v>
      </c>
      <c r="F48" s="15">
        <v>1.2</v>
      </c>
      <c r="J48" s="148">
        <v>0.47</v>
      </c>
      <c r="K48" s="149">
        <v>7.0003000000000002E-32</v>
      </c>
    </row>
    <row r="49" spans="1:12" x14ac:dyDescent="0.25">
      <c r="B49" t="str">
        <v>IA weights factor</v>
      </c>
      <c r="C49" s="86">
        <f>0.8</f>
        <v>0.8</v>
      </c>
      <c r="D49" s="15">
        <v>0.4</v>
      </c>
      <c r="E49" s="15">
        <v>0.8</v>
      </c>
      <c r="F49" s="15">
        <v>1.2</v>
      </c>
      <c r="J49" s="148">
        <v>0.48</v>
      </c>
      <c r="K49" s="149">
        <v>1.9508E-30</v>
      </c>
    </row>
    <row r="50" spans="1:12" x14ac:dyDescent="0.25">
      <c r="B50" t="str">
        <v>AF weights factor</v>
      </c>
      <c r="C50" s="86">
        <f>0.6</f>
        <v>0.6</v>
      </c>
      <c r="D50" s="15">
        <v>0.4</v>
      </c>
      <c r="E50" s="15">
        <v>0.6</v>
      </c>
      <c r="F50" s="15">
        <v>0.8</v>
      </c>
      <c r="J50" s="148">
        <v>0.49</v>
      </c>
      <c r="K50" s="149">
        <v>4.3839999999999999E-29</v>
      </c>
    </row>
    <row r="51" spans="1:12" ht="13" thickBot="1" x14ac:dyDescent="0.3">
      <c r="B51" t="str">
        <v>LA weights factor</v>
      </c>
      <c r="C51" s="86">
        <f>0.6</f>
        <v>0.6</v>
      </c>
      <c r="D51" s="16">
        <v>0.4</v>
      </c>
      <c r="E51" s="16">
        <v>0.6</v>
      </c>
      <c r="F51" s="16">
        <v>0.8</v>
      </c>
      <c r="J51" s="148">
        <v>0.5</v>
      </c>
      <c r="K51" s="149">
        <v>8.0858000000000003E-28</v>
      </c>
    </row>
    <row r="52" spans="1:12" ht="13" thickTop="1" x14ac:dyDescent="0.25">
      <c r="J52" s="148">
        <v>0.51</v>
      </c>
      <c r="K52" s="149">
        <v>1.2435E-26</v>
      </c>
    </row>
    <row r="53" spans="1:12" s="2" customFormat="1" ht="13" x14ac:dyDescent="0.3">
      <c r="A53" s="2" t="s">
        <v>54</v>
      </c>
      <c r="B53" s="68"/>
      <c r="C53" s="68"/>
      <c r="J53" s="148">
        <v>0.52</v>
      </c>
      <c r="K53" s="149">
        <v>1.6172999999999999E-25</v>
      </c>
    </row>
    <row r="54" spans="1:12" x14ac:dyDescent="0.25">
      <c r="B54" t="str">
        <f>$A$53&amp;" sea level plateau"</f>
        <v>Adaptive costs sea level plateau</v>
      </c>
      <c r="C54" s="96">
        <f>0.02333333333</f>
        <v>2.3333333330000001E-2</v>
      </c>
      <c r="D54" s="15">
        <v>0.01</v>
      </c>
      <c r="E54" s="15">
        <v>0.02</v>
      </c>
      <c r="F54" s="15">
        <v>0.04</v>
      </c>
      <c r="G54" s="79" t="s">
        <v>429</v>
      </c>
      <c r="H54" s="1"/>
      <c r="I54" s="1"/>
      <c r="J54" s="148">
        <v>0.53</v>
      </c>
      <c r="K54" s="149">
        <v>1.8021999999999999E-24</v>
      </c>
    </row>
    <row r="55" spans="1:12" x14ac:dyDescent="0.25">
      <c r="B55" t="str">
        <f>$A$53&amp;" sea level impact"</f>
        <v>Adaptive costs sea level impact</v>
      </c>
      <c r="C55" s="96">
        <f>0.001166666667</f>
        <v>1.166666667E-3</v>
      </c>
      <c r="D55" s="15">
        <v>5.0000000000000001E-4</v>
      </c>
      <c r="E55" s="15">
        <v>1E-3</v>
      </c>
      <c r="F55" s="15">
        <v>2E-3</v>
      </c>
      <c r="G55" s="79" t="s">
        <v>476</v>
      </c>
      <c r="J55" s="148">
        <v>0.54</v>
      </c>
      <c r="K55" s="149">
        <v>1.7410000000000001E-23</v>
      </c>
    </row>
    <row r="56" spans="1:12" x14ac:dyDescent="0.25">
      <c r="B56" t="str">
        <f>$A$53&amp;" "&amp;I_1_NAME&amp;" plateau"</f>
        <v>Adaptive costs Economic plateau</v>
      </c>
      <c r="C56" s="96">
        <f>0.01166666667</f>
        <v>1.1666666670000001E-2</v>
      </c>
      <c r="D56" s="15">
        <v>5.0000000000000001E-3</v>
      </c>
      <c r="E56" s="15">
        <v>0.01</v>
      </c>
      <c r="F56" s="15">
        <v>0.02</v>
      </c>
      <c r="G56" s="79" t="s">
        <v>266</v>
      </c>
      <c r="H56" s="1"/>
      <c r="I56" s="1"/>
      <c r="J56" s="148">
        <v>0.55000000000000004</v>
      </c>
      <c r="K56" s="149">
        <v>1.4734999999999999E-22</v>
      </c>
    </row>
    <row r="57" spans="1:12" x14ac:dyDescent="0.25">
      <c r="B57" t="str">
        <f>$A$53&amp;" "&amp;I_1_NAME&amp;" impact"</f>
        <v>Adaptive costs Economic impact</v>
      </c>
      <c r="C57" s="96">
        <f>0.004</f>
        <v>4.0000000000000001E-3</v>
      </c>
      <c r="D57" s="15">
        <v>1E-3</v>
      </c>
      <c r="E57" s="15">
        <v>3.0000000000000001E-3</v>
      </c>
      <c r="F57" s="15">
        <v>8.0000000000000002E-3</v>
      </c>
      <c r="G57" s="79" t="s">
        <v>477</v>
      </c>
      <c r="H57" s="1"/>
      <c r="I57" s="1"/>
      <c r="J57" s="148">
        <v>0.56000000000000005</v>
      </c>
      <c r="K57" s="149">
        <v>1.1032E-21</v>
      </c>
    </row>
    <row r="58" spans="1:12" x14ac:dyDescent="0.25">
      <c r="B58" t="str">
        <f>$A$53&amp;" "&amp;I_2_NAME&amp;" plateau"</f>
        <v>Adaptive costs Non-econ plateau</v>
      </c>
      <c r="C58" s="96">
        <f>0.02333333333</f>
        <v>2.3333333330000001E-2</v>
      </c>
      <c r="D58" s="15">
        <v>0.01</v>
      </c>
      <c r="E58" s="15">
        <v>0.02</v>
      </c>
      <c r="F58" s="15">
        <v>0.04</v>
      </c>
      <c r="G58" s="79" t="s">
        <v>266</v>
      </c>
      <c r="H58" s="1"/>
      <c r="I58" s="1"/>
      <c r="J58" s="148">
        <v>0.56999999999999995</v>
      </c>
      <c r="K58" s="149">
        <v>7.3719000000000005E-21</v>
      </c>
      <c r="L58" s="1"/>
    </row>
    <row r="59" spans="1:12" x14ac:dyDescent="0.25">
      <c r="B59" t="str">
        <f>$A$53&amp;" "&amp;I_2_NAME&amp;" impact"</f>
        <v>Adaptive costs Non-econ impact</v>
      </c>
      <c r="C59" s="96">
        <f>0.005666666667</f>
        <v>5.6666666670000003E-3</v>
      </c>
      <c r="D59" s="15">
        <v>2E-3</v>
      </c>
      <c r="E59" s="15">
        <v>5.0000000000000001E-3</v>
      </c>
      <c r="F59" s="15">
        <v>0.01</v>
      </c>
      <c r="G59" s="79" t="s">
        <v>477</v>
      </c>
      <c r="H59" s="1"/>
      <c r="I59" s="1"/>
      <c r="J59" s="148">
        <v>0.57999999999999996</v>
      </c>
      <c r="K59" s="149">
        <v>4.4321E-20</v>
      </c>
      <c r="L59" s="1"/>
    </row>
    <row r="60" spans="1:12" x14ac:dyDescent="0.25">
      <c r="B60" t="str">
        <f t="array" ref="B60:B66">R_CODE_NOT_1&amp;" "&amp;$A$53&amp;" factor"</f>
        <v>US Adaptive costs factor</v>
      </c>
      <c r="C60" s="86">
        <f>0.8</f>
        <v>0.8</v>
      </c>
      <c r="D60" s="15">
        <v>0.6</v>
      </c>
      <c r="E60" s="15">
        <v>0.8</v>
      </c>
      <c r="F60" s="15">
        <v>1</v>
      </c>
      <c r="J60" s="148">
        <v>0.59</v>
      </c>
      <c r="K60" s="149">
        <v>2.4151000000000001E-19</v>
      </c>
    </row>
    <row r="61" spans="1:12" x14ac:dyDescent="0.25">
      <c r="B61" t="str">
        <v>OT Adaptive costs factor</v>
      </c>
      <c r="C61" s="86">
        <f>0.8</f>
        <v>0.8</v>
      </c>
      <c r="D61" s="15">
        <v>0.4</v>
      </c>
      <c r="E61" s="15">
        <v>0.8</v>
      </c>
      <c r="F61" s="15">
        <v>1.2</v>
      </c>
      <c r="J61" s="148">
        <v>0.6</v>
      </c>
      <c r="K61" s="149">
        <v>1.2008999999999999E-18</v>
      </c>
    </row>
    <row r="62" spans="1:12" x14ac:dyDescent="0.25">
      <c r="B62" t="str">
        <v>EE Adaptive costs factor</v>
      </c>
      <c r="C62" s="86">
        <f>0.4</f>
        <v>0.4</v>
      </c>
      <c r="D62" s="15">
        <v>0.2</v>
      </c>
      <c r="E62" s="15">
        <v>0.4</v>
      </c>
      <c r="F62" s="15">
        <v>0.6</v>
      </c>
      <c r="J62" s="148">
        <v>0.61</v>
      </c>
      <c r="K62" s="149">
        <v>5.4822999999999997E-18</v>
      </c>
    </row>
    <row r="63" spans="1:12" x14ac:dyDescent="0.25">
      <c r="B63" t="str">
        <v>CA Adaptive costs factor</v>
      </c>
      <c r="C63" s="86">
        <f>0.8</f>
        <v>0.8</v>
      </c>
      <c r="D63" s="15">
        <v>0.4</v>
      </c>
      <c r="E63" s="15">
        <v>0.8</v>
      </c>
      <c r="F63" s="15">
        <v>1.2</v>
      </c>
      <c r="J63" s="148">
        <v>0.62</v>
      </c>
      <c r="K63" s="149">
        <v>2.3111E-17</v>
      </c>
    </row>
    <row r="64" spans="1:12" x14ac:dyDescent="0.25">
      <c r="B64" t="str">
        <v>IA Adaptive costs factor</v>
      </c>
      <c r="C64" s="86">
        <f>0.8</f>
        <v>0.8</v>
      </c>
      <c r="D64" s="15">
        <v>0.4</v>
      </c>
      <c r="E64" s="15">
        <v>0.8</v>
      </c>
      <c r="F64" s="15">
        <v>1.2</v>
      </c>
      <c r="J64" s="148">
        <v>0.63</v>
      </c>
      <c r="K64" s="149">
        <v>9.0428E-17</v>
      </c>
    </row>
    <row r="65" spans="1:11" x14ac:dyDescent="0.25">
      <c r="B65" t="str">
        <v>AF Adaptive costs factor</v>
      </c>
      <c r="C65" s="86">
        <f>0.6</f>
        <v>0.6</v>
      </c>
      <c r="D65" s="15">
        <v>0.4</v>
      </c>
      <c r="E65" s="15">
        <v>0.6</v>
      </c>
      <c r="F65" s="15">
        <v>0.8</v>
      </c>
      <c r="J65" s="148">
        <v>0.64</v>
      </c>
      <c r="K65" s="149">
        <v>3.3001000000000001E-16</v>
      </c>
    </row>
    <row r="66" spans="1:11" ht="13" thickBot="1" x14ac:dyDescent="0.3">
      <c r="B66" t="str">
        <v>LA Adaptive costs factor</v>
      </c>
      <c r="C66" s="86">
        <f>0.6</f>
        <v>0.6</v>
      </c>
      <c r="D66" s="16">
        <v>0.4</v>
      </c>
      <c r="E66" s="16">
        <v>0.6</v>
      </c>
      <c r="F66" s="16">
        <v>0.8</v>
      </c>
      <c r="J66" s="148">
        <v>0.65</v>
      </c>
      <c r="K66" s="149">
        <v>1.1283E-15</v>
      </c>
    </row>
    <row r="67" spans="1:11" ht="13" thickTop="1" x14ac:dyDescent="0.25">
      <c r="J67" s="148">
        <v>0.66</v>
      </c>
      <c r="K67" s="149">
        <v>3.6284999999999997E-15</v>
      </c>
    </row>
    <row r="68" spans="1:11" s="2" customFormat="1" ht="13" x14ac:dyDescent="0.3">
      <c r="A68" s="2" t="s">
        <v>55</v>
      </c>
      <c r="B68" s="68"/>
      <c r="C68" s="68"/>
      <c r="J68" s="148">
        <v>0.67</v>
      </c>
      <c r="K68" s="149">
        <v>1.1018E-14</v>
      </c>
    </row>
    <row r="69" spans="1:11" ht="13" x14ac:dyDescent="0.3">
      <c r="B69" s="57" t="s">
        <v>14</v>
      </c>
      <c r="C69" s="83"/>
      <c r="D69" s="90"/>
      <c r="E69" s="90"/>
      <c r="F69" s="90"/>
      <c r="J69" s="148">
        <v>0.68</v>
      </c>
      <c r="K69" s="149">
        <v>3.1703000000000003E-14</v>
      </c>
    </row>
    <row r="70" spans="1:11" x14ac:dyDescent="0.25">
      <c r="B70" t="str">
        <f>"Uncertainty in BAU emissions in "&amp;Y_LAST</f>
        <v>Uncertainty in BAU emissions in 2300</v>
      </c>
      <c r="C70" s="86">
        <f>8.333333333</f>
        <v>8.3333333330000006</v>
      </c>
      <c r="D70" s="15">
        <v>-50</v>
      </c>
      <c r="E70" s="15">
        <v>0</v>
      </c>
      <c r="F70" s="15">
        <v>75</v>
      </c>
      <c r="G70" t="s">
        <v>46</v>
      </c>
      <c r="J70" s="148">
        <v>0.69</v>
      </c>
      <c r="K70" s="149">
        <v>8.6714000000000003E-14</v>
      </c>
    </row>
    <row r="71" spans="1:11" x14ac:dyDescent="0.25">
      <c r="B71" s="3" t="s">
        <v>320</v>
      </c>
      <c r="C71" s="86">
        <f>20</f>
        <v>20</v>
      </c>
      <c r="D71" s="15">
        <v>0</v>
      </c>
      <c r="E71" s="15">
        <v>20</v>
      </c>
      <c r="F71" s="15">
        <v>40</v>
      </c>
      <c r="G71" s="3" t="s">
        <v>321</v>
      </c>
      <c r="J71" s="148">
        <v>0.7</v>
      </c>
      <c r="K71" s="149">
        <v>2.2614000000000001E-13</v>
      </c>
    </row>
    <row r="72" spans="1:11" x14ac:dyDescent="0.25">
      <c r="B72" s="3" t="s">
        <v>322</v>
      </c>
      <c r="C72" s="86">
        <f>-233.3333333</f>
        <v>-233.33333329999999</v>
      </c>
      <c r="D72" s="15">
        <v>-400</v>
      </c>
      <c r="E72" s="15">
        <v>-200</v>
      </c>
      <c r="F72" s="15">
        <v>-100</v>
      </c>
      <c r="G72" s="3" t="str">
        <f>CURRENCY_NAME&amp;" per "&amp;EMIT_NAME</f>
        <v>$million per Mtonne</v>
      </c>
      <c r="J72" s="148">
        <v>0.71</v>
      </c>
      <c r="K72" s="149">
        <v>5.6389000000000003E-13</v>
      </c>
    </row>
    <row r="73" spans="1:11" x14ac:dyDescent="0.25">
      <c r="B73" s="3" t="s">
        <v>323</v>
      </c>
      <c r="C73" s="86">
        <f>70</f>
        <v>70</v>
      </c>
      <c r="D73" s="15">
        <v>60</v>
      </c>
      <c r="E73" s="15">
        <v>70</v>
      </c>
      <c r="F73" s="15">
        <v>80</v>
      </c>
      <c r="G73" s="3" t="s">
        <v>321</v>
      </c>
      <c r="J73" s="148">
        <v>0.72</v>
      </c>
      <c r="K73" s="149">
        <v>1.3478999999999999E-12</v>
      </c>
    </row>
    <row r="74" spans="1:11" x14ac:dyDescent="0.25">
      <c r="B74" s="3" t="s">
        <v>324</v>
      </c>
      <c r="C74" s="86">
        <f>400</f>
        <v>400</v>
      </c>
      <c r="D74" s="15">
        <v>100</v>
      </c>
      <c r="E74" s="15">
        <v>400</v>
      </c>
      <c r="F74" s="15">
        <v>700</v>
      </c>
      <c r="G74" s="3" t="str">
        <f>CURRENCY_NAME&amp;" per "&amp;EMIT_NAME</f>
        <v>$million per Mtonne</v>
      </c>
      <c r="J74" s="148">
        <v>0.73</v>
      </c>
      <c r="K74" s="149">
        <v>3.0960000000000001E-12</v>
      </c>
    </row>
    <row r="75" spans="1:11" x14ac:dyDescent="0.25">
      <c r="B75" s="3" t="s">
        <v>325</v>
      </c>
      <c r="C75" s="86">
        <f>150000</f>
        <v>150000</v>
      </c>
      <c r="D75" s="15">
        <v>100000</v>
      </c>
      <c r="E75" s="15">
        <v>150000</v>
      </c>
      <c r="F75" s="15">
        <v>200000</v>
      </c>
      <c r="G75" s="3" t="str">
        <f>EMIT_NAME</f>
        <v>Mtonne</v>
      </c>
      <c r="J75" s="148">
        <v>0.74</v>
      </c>
      <c r="K75" s="149">
        <v>6.8487000000000001E-12</v>
      </c>
    </row>
    <row r="76" spans="1:11" ht="13" x14ac:dyDescent="0.3">
      <c r="B76" s="57" t="s">
        <v>15</v>
      </c>
      <c r="C76" s="83"/>
      <c r="D76" s="90"/>
      <c r="E76" s="90"/>
      <c r="F76" s="90"/>
      <c r="J76" s="148">
        <v>0.75</v>
      </c>
      <c r="K76" s="149">
        <v>1.4622000000000001E-11</v>
      </c>
    </row>
    <row r="77" spans="1:11" x14ac:dyDescent="0.25">
      <c r="B77" t="str">
        <f>"Uncertainty in BAU emissions in "&amp;Y_LAST</f>
        <v>Uncertainty in BAU emissions in 2300</v>
      </c>
      <c r="C77" s="86">
        <f>25</f>
        <v>25</v>
      </c>
      <c r="D77" s="15">
        <v>-25</v>
      </c>
      <c r="E77" s="15">
        <v>0</v>
      </c>
      <c r="F77" s="15">
        <v>100</v>
      </c>
      <c r="G77" t="s">
        <v>46</v>
      </c>
      <c r="J77" s="148">
        <v>0.76</v>
      </c>
      <c r="K77" s="149">
        <v>3.0185999999999999E-11</v>
      </c>
    </row>
    <row r="78" spans="1:11" x14ac:dyDescent="0.25">
      <c r="B78" s="3" t="s">
        <v>320</v>
      </c>
      <c r="C78" s="86">
        <f>10</f>
        <v>10</v>
      </c>
      <c r="D78" s="15">
        <v>0</v>
      </c>
      <c r="E78" s="15">
        <v>10</v>
      </c>
      <c r="F78" s="15">
        <v>20</v>
      </c>
      <c r="G78" s="3" t="s">
        <v>321</v>
      </c>
      <c r="J78" s="148">
        <v>0.77</v>
      </c>
      <c r="K78" s="149">
        <v>6.0369999999999994E-11</v>
      </c>
    </row>
    <row r="79" spans="1:11" x14ac:dyDescent="0.25">
      <c r="B79" s="3" t="s">
        <v>322</v>
      </c>
      <c r="C79" s="86">
        <f>-4333.333333</f>
        <v>-4333.3333329999996</v>
      </c>
      <c r="D79" s="15">
        <v>-8000</v>
      </c>
      <c r="E79" s="15">
        <v>-4000</v>
      </c>
      <c r="F79" s="15">
        <v>-1000</v>
      </c>
      <c r="G79" s="3" t="str">
        <f>CURRENCY_NAME&amp;" per "&amp;EMIT_NAME</f>
        <v>$million per Mtonne</v>
      </c>
      <c r="J79" s="148">
        <v>0.78</v>
      </c>
      <c r="K79" s="149">
        <v>1.1716000000000001E-10</v>
      </c>
    </row>
    <row r="80" spans="1:11" x14ac:dyDescent="0.25">
      <c r="B80" s="3" t="s">
        <v>323</v>
      </c>
      <c r="C80" s="86">
        <f>51.66666667</f>
        <v>51.666666669999998</v>
      </c>
      <c r="D80" s="15">
        <v>35</v>
      </c>
      <c r="E80" s="15">
        <v>50</v>
      </c>
      <c r="F80" s="15">
        <v>70</v>
      </c>
      <c r="G80" s="3" t="s">
        <v>321</v>
      </c>
      <c r="J80" s="148">
        <v>0.79</v>
      </c>
      <c r="K80" s="149">
        <v>2.2100999999999999E-10</v>
      </c>
    </row>
    <row r="81" spans="2:11" x14ac:dyDescent="0.25">
      <c r="B81" s="3" t="s">
        <v>324</v>
      </c>
      <c r="C81" s="86">
        <f>6333.333333</f>
        <v>6333.3333329999996</v>
      </c>
      <c r="D81" s="15">
        <v>3000</v>
      </c>
      <c r="E81" s="15">
        <v>6000</v>
      </c>
      <c r="F81" s="15">
        <v>10000</v>
      </c>
      <c r="G81" s="3" t="str">
        <f>CURRENCY_NAME&amp;" per "&amp;EMIT_NAME</f>
        <v>$million per Mtonne</v>
      </c>
      <c r="J81" s="148">
        <v>0.8</v>
      </c>
      <c r="K81" s="149">
        <v>4.0581000000000002E-10</v>
      </c>
    </row>
    <row r="82" spans="2:11" x14ac:dyDescent="0.25">
      <c r="B82" s="3" t="s">
        <v>325</v>
      </c>
      <c r="C82" s="86">
        <f>2000</f>
        <v>2000</v>
      </c>
      <c r="D82" s="15">
        <v>1500</v>
      </c>
      <c r="E82" s="15">
        <v>2000</v>
      </c>
      <c r="F82" s="15">
        <v>2500</v>
      </c>
      <c r="G82" s="3" t="str">
        <f>EMIT_NAME</f>
        <v>Mtonne</v>
      </c>
      <c r="J82" s="148">
        <v>0.81</v>
      </c>
      <c r="K82" s="149">
        <v>7.2633000000000001E-10</v>
      </c>
    </row>
    <row r="83" spans="2:11" ht="13" x14ac:dyDescent="0.3">
      <c r="B83" s="57" t="s">
        <v>182</v>
      </c>
      <c r="C83" s="83"/>
      <c r="D83" s="90"/>
      <c r="E83" s="90"/>
      <c r="F83" s="90"/>
      <c r="J83" s="148">
        <v>0.82</v>
      </c>
      <c r="K83" s="149">
        <v>1.2688E-9</v>
      </c>
    </row>
    <row r="84" spans="2:11" x14ac:dyDescent="0.25">
      <c r="B84" t="str">
        <f>"Uncertainty in BAU emissions in "&amp;Y_LAST</f>
        <v>Uncertainty in BAU emissions in 2300</v>
      </c>
      <c r="C84" s="86">
        <f>0</f>
        <v>0</v>
      </c>
      <c r="D84" s="15">
        <v>-50</v>
      </c>
      <c r="E84" s="15">
        <v>0</v>
      </c>
      <c r="F84" s="15">
        <v>50</v>
      </c>
      <c r="G84" t="s">
        <v>46</v>
      </c>
      <c r="J84" s="148">
        <v>0.83</v>
      </c>
      <c r="K84" s="149">
        <v>2.1661000000000002E-9</v>
      </c>
    </row>
    <row r="85" spans="2:11" x14ac:dyDescent="0.25">
      <c r="B85" s="3" t="s">
        <v>320</v>
      </c>
      <c r="C85" s="86">
        <f>10</f>
        <v>10</v>
      </c>
      <c r="D85" s="15">
        <v>0</v>
      </c>
      <c r="E85" s="15">
        <v>10</v>
      </c>
      <c r="F85" s="15">
        <v>20</v>
      </c>
      <c r="G85" s="3" t="s">
        <v>321</v>
      </c>
      <c r="J85" s="148">
        <v>0.84</v>
      </c>
      <c r="K85" s="149">
        <v>3.6180000000000001E-9</v>
      </c>
    </row>
    <row r="86" spans="2:11" x14ac:dyDescent="0.25">
      <c r="B86" s="3" t="s">
        <v>322</v>
      </c>
      <c r="C86" s="86">
        <f>-7333.333333</f>
        <v>-7333.3333329999996</v>
      </c>
      <c r="D86" s="15">
        <v>-15000</v>
      </c>
      <c r="E86" s="15">
        <v>-7000</v>
      </c>
      <c r="F86" s="15">
        <v>0</v>
      </c>
      <c r="G86" s="3" t="str">
        <f>CURRENCY_NAME&amp;" per "&amp;EMIT_NAME</f>
        <v>$million per Mtonne</v>
      </c>
      <c r="J86" s="148">
        <v>0.85</v>
      </c>
      <c r="K86" s="149">
        <v>5.9185000000000002E-9</v>
      </c>
    </row>
    <row r="87" spans="2:11" x14ac:dyDescent="0.25">
      <c r="B87" s="3" t="s">
        <v>323</v>
      </c>
      <c r="C87" s="86">
        <f>51.66666667</f>
        <v>51.666666669999998</v>
      </c>
      <c r="D87" s="15">
        <v>35</v>
      </c>
      <c r="E87" s="15">
        <v>50</v>
      </c>
      <c r="F87" s="15">
        <v>70</v>
      </c>
      <c r="G87" s="3" t="s">
        <v>321</v>
      </c>
      <c r="J87" s="148">
        <v>0.86</v>
      </c>
      <c r="K87" s="149">
        <v>9.4925000000000005E-9</v>
      </c>
    </row>
    <row r="88" spans="2:11" x14ac:dyDescent="0.25">
      <c r="B88" s="3" t="s">
        <v>324</v>
      </c>
      <c r="C88" s="86">
        <f>27333.33333</f>
        <v>27333.333330000001</v>
      </c>
      <c r="D88" s="15">
        <v>2000</v>
      </c>
      <c r="E88" s="15">
        <v>20000</v>
      </c>
      <c r="F88" s="15">
        <v>60000</v>
      </c>
      <c r="G88" s="3" t="str">
        <f>CURRENCY_NAME&amp;" per "&amp;EMIT_NAME</f>
        <v>$million per Mtonne</v>
      </c>
      <c r="J88" s="148">
        <v>0.87</v>
      </c>
      <c r="K88" s="149">
        <v>1.4941000000000001E-8</v>
      </c>
    </row>
    <row r="89" spans="2:11" x14ac:dyDescent="0.25">
      <c r="B89" s="3" t="s">
        <v>325</v>
      </c>
      <c r="C89" s="86">
        <f>53.33333333</f>
        <v>53.333333330000002</v>
      </c>
      <c r="D89" s="15">
        <v>30</v>
      </c>
      <c r="E89" s="15">
        <v>50</v>
      </c>
      <c r="F89" s="15">
        <v>80</v>
      </c>
      <c r="G89" s="3" t="str">
        <f>EMIT_NAME</f>
        <v>Mtonne</v>
      </c>
      <c r="J89" s="148">
        <v>0.88</v>
      </c>
      <c r="K89" s="149">
        <v>2.3099000000000001E-8</v>
      </c>
    </row>
    <row r="90" spans="2:11" ht="13" x14ac:dyDescent="0.3">
      <c r="B90" s="57" t="str">
        <f>GLIN_NAME</f>
        <v>Lin</v>
      </c>
      <c r="C90" s="83"/>
      <c r="D90" s="90"/>
      <c r="E90" s="90"/>
      <c r="F90" s="90"/>
      <c r="J90" s="148">
        <v>0.89</v>
      </c>
      <c r="K90" s="149">
        <v>3.5107999999999999E-8</v>
      </c>
    </row>
    <row r="91" spans="2:11" x14ac:dyDescent="0.25">
      <c r="B91" t="str">
        <f>"Uncertainty in BAU emissions in "&amp;Y_LAST</f>
        <v>Uncertainty in BAU emissions in 2300</v>
      </c>
      <c r="C91" s="86">
        <f>0</f>
        <v>0</v>
      </c>
      <c r="D91" s="15">
        <v>-50</v>
      </c>
      <c r="E91" s="15">
        <v>0</v>
      </c>
      <c r="F91" s="15">
        <v>50</v>
      </c>
      <c r="G91" t="s">
        <v>46</v>
      </c>
      <c r="J91" s="148">
        <v>0.9</v>
      </c>
      <c r="K91" s="149">
        <v>5.2501000000000001E-8</v>
      </c>
    </row>
    <row r="92" spans="2:11" x14ac:dyDescent="0.25">
      <c r="B92" s="3" t="s">
        <v>320</v>
      </c>
      <c r="C92" s="86">
        <f>10</f>
        <v>10</v>
      </c>
      <c r="D92" s="15">
        <v>0</v>
      </c>
      <c r="E92" s="15">
        <v>10</v>
      </c>
      <c r="F92" s="15">
        <v>20</v>
      </c>
      <c r="G92" s="3" t="s">
        <v>321</v>
      </c>
      <c r="J92" s="148">
        <v>0.91</v>
      </c>
      <c r="K92" s="149">
        <v>7.7303000000000001E-8</v>
      </c>
    </row>
    <row r="93" spans="2:11" x14ac:dyDescent="0.25">
      <c r="B93" s="3" t="s">
        <v>322</v>
      </c>
      <c r="C93" s="86">
        <f>-233.3333333</f>
        <v>-233.33333329999999</v>
      </c>
      <c r="D93" s="15">
        <v>-400</v>
      </c>
      <c r="E93" s="15">
        <v>-200</v>
      </c>
      <c r="F93" s="15">
        <v>-100</v>
      </c>
      <c r="G93" s="3" t="str">
        <f>CURRENCY_NAME&amp;" per "&amp;EMIT_NAME</f>
        <v>$million per Mtonne</v>
      </c>
      <c r="J93" s="148">
        <v>0.92</v>
      </c>
      <c r="K93" s="149">
        <v>1.1215E-7</v>
      </c>
    </row>
    <row r="94" spans="2:11" x14ac:dyDescent="0.25">
      <c r="B94" s="3" t="s">
        <v>323</v>
      </c>
      <c r="C94" s="86">
        <f>70</f>
        <v>70</v>
      </c>
      <c r="D94" s="15">
        <v>60</v>
      </c>
      <c r="E94" s="15">
        <v>70</v>
      </c>
      <c r="F94" s="15">
        <v>80</v>
      </c>
      <c r="G94" s="3" t="s">
        <v>321</v>
      </c>
      <c r="J94" s="148">
        <v>0.93</v>
      </c>
      <c r="K94" s="149">
        <v>1.6042999999999999E-7</v>
      </c>
    </row>
    <row r="95" spans="2:11" x14ac:dyDescent="0.25">
      <c r="B95" s="3" t="s">
        <v>324</v>
      </c>
      <c r="C95" s="86">
        <f>333.3333333</f>
        <v>333.33333329999999</v>
      </c>
      <c r="D95" s="15">
        <v>100</v>
      </c>
      <c r="E95" s="15">
        <v>300</v>
      </c>
      <c r="F95" s="15">
        <v>600</v>
      </c>
      <c r="G95" s="3" t="str">
        <f>CURRENCY_NAME&amp;" per "&amp;EMIT_NAME</f>
        <v>$million per Mtonne</v>
      </c>
      <c r="J95" s="148">
        <v>0.94</v>
      </c>
      <c r="K95" s="149">
        <v>2.2642000000000001E-7</v>
      </c>
    </row>
    <row r="96" spans="2:11" x14ac:dyDescent="0.25">
      <c r="B96" s="3" t="s">
        <v>325</v>
      </c>
      <c r="C96" s="86">
        <f>2000</f>
        <v>2000</v>
      </c>
      <c r="D96" s="15">
        <v>1500</v>
      </c>
      <c r="E96" s="15">
        <v>2000</v>
      </c>
      <c r="F96" s="15">
        <v>2500</v>
      </c>
      <c r="G96" s="3" t="str">
        <f>EMIT_NAME</f>
        <v>Mtonne</v>
      </c>
      <c r="J96" s="148">
        <v>0.95</v>
      </c>
      <c r="K96" s="149">
        <v>3.1547000000000001E-7</v>
      </c>
    </row>
    <row r="97" spans="2:11" x14ac:dyDescent="0.25">
      <c r="C97" s="86"/>
      <c r="D97" s="15"/>
      <c r="E97" s="15"/>
      <c r="F97" s="15"/>
      <c r="J97" s="148">
        <v>0.96</v>
      </c>
      <c r="K97" s="149">
        <v>4.3417999999999999E-7</v>
      </c>
    </row>
    <row r="98" spans="2:11" x14ac:dyDescent="0.25">
      <c r="B98" t="str">
        <f t="array" ref="B98:B104">R_CODE_NOT_1&amp;" uncertainty in BAU emissions factor"</f>
        <v>US uncertainty in BAU emissions factor</v>
      </c>
      <c r="C98" s="86">
        <f>1</f>
        <v>1</v>
      </c>
      <c r="D98" s="15">
        <v>0.8</v>
      </c>
      <c r="E98" s="15">
        <v>1</v>
      </c>
      <c r="F98" s="15">
        <v>1.2</v>
      </c>
      <c r="J98" s="148">
        <v>0.97</v>
      </c>
      <c r="K98" s="149">
        <v>5.9057000000000003E-7</v>
      </c>
    </row>
    <row r="99" spans="2:11" x14ac:dyDescent="0.25">
      <c r="B99" t="str">
        <v>OT uncertainty in BAU emissions factor</v>
      </c>
      <c r="C99" s="86">
        <f>1</f>
        <v>1</v>
      </c>
      <c r="D99" s="15">
        <v>0.8</v>
      </c>
      <c r="E99" s="15">
        <v>1</v>
      </c>
      <c r="F99" s="15">
        <v>1.2</v>
      </c>
      <c r="J99" s="148">
        <v>0.98</v>
      </c>
      <c r="K99" s="149">
        <v>7.9431000000000002E-7</v>
      </c>
    </row>
    <row r="100" spans="2:11" x14ac:dyDescent="0.25">
      <c r="B100" t="str">
        <v>EE uncertainty in BAU emissions factor</v>
      </c>
      <c r="C100" s="86">
        <f>1</f>
        <v>1</v>
      </c>
      <c r="D100" s="15">
        <v>0.65</v>
      </c>
      <c r="E100" s="15">
        <v>1</v>
      </c>
      <c r="F100" s="15">
        <v>1.35</v>
      </c>
      <c r="J100" s="148">
        <v>0.99</v>
      </c>
      <c r="K100" s="149">
        <v>1.0569E-6</v>
      </c>
    </row>
    <row r="101" spans="2:11" x14ac:dyDescent="0.25">
      <c r="B101" t="str">
        <v>CA uncertainty in BAU emissions factor</v>
      </c>
      <c r="C101" s="86">
        <f>1</f>
        <v>1</v>
      </c>
      <c r="D101" s="15">
        <v>0.5</v>
      </c>
      <c r="E101" s="15">
        <v>1</v>
      </c>
      <c r="F101" s="15">
        <v>1.5</v>
      </c>
      <c r="J101" s="148">
        <v>1</v>
      </c>
      <c r="K101" s="149">
        <v>1.3919E-6</v>
      </c>
    </row>
    <row r="102" spans="2:11" x14ac:dyDescent="0.25">
      <c r="B102" t="str">
        <v>IA uncertainty in BAU emissions factor</v>
      </c>
      <c r="C102" s="86">
        <f>1</f>
        <v>1</v>
      </c>
      <c r="D102" s="15">
        <v>0.5</v>
      </c>
      <c r="E102" s="15">
        <v>1</v>
      </c>
      <c r="F102" s="15">
        <v>1.5</v>
      </c>
      <c r="J102" s="148">
        <v>1.01</v>
      </c>
      <c r="K102" s="149">
        <v>1.8152E-6</v>
      </c>
    </row>
    <row r="103" spans="2:11" x14ac:dyDescent="0.25">
      <c r="B103" t="str">
        <v>AF uncertainty in BAU emissions factor</v>
      </c>
      <c r="C103" s="86">
        <f>1</f>
        <v>1</v>
      </c>
      <c r="D103" s="15">
        <v>0.5</v>
      </c>
      <c r="E103" s="15">
        <v>1</v>
      </c>
      <c r="F103" s="15">
        <v>1.5</v>
      </c>
      <c r="J103" s="148">
        <v>1.02</v>
      </c>
      <c r="K103" s="149">
        <v>2.3448E-6</v>
      </c>
    </row>
    <row r="104" spans="2:11" ht="13" thickBot="1" x14ac:dyDescent="0.3">
      <c r="B104" t="str">
        <v>LA uncertainty in BAU emissions factor</v>
      </c>
      <c r="C104" s="86">
        <f>1</f>
        <v>1</v>
      </c>
      <c r="D104" s="16">
        <v>0.5</v>
      </c>
      <c r="E104" s="16">
        <v>1</v>
      </c>
      <c r="F104" s="16">
        <v>1.5</v>
      </c>
      <c r="J104" s="148">
        <v>1.03</v>
      </c>
      <c r="K104" s="149">
        <v>3.0018000000000002E-6</v>
      </c>
    </row>
    <row r="105" spans="2:11" ht="13" thickTop="1" x14ac:dyDescent="0.25">
      <c r="C105" s="86"/>
      <c r="D105" s="15"/>
      <c r="E105" s="15"/>
      <c r="F105" s="15"/>
      <c r="J105" s="148">
        <v>1.04</v>
      </c>
      <c r="K105" s="149">
        <v>3.8095999999999999E-6</v>
      </c>
    </row>
    <row r="106" spans="2:11" x14ac:dyDescent="0.25">
      <c r="B106" t="str">
        <f t="array" ref="B106:B112">R_CODE_NOT_1&amp;" negative cost percentage factor"</f>
        <v>US negative cost percentage factor</v>
      </c>
      <c r="C106" s="86">
        <f>1.083333333</f>
        <v>1.0833333329999999</v>
      </c>
      <c r="D106" s="15">
        <v>0.75</v>
      </c>
      <c r="E106" s="15">
        <v>1</v>
      </c>
      <c r="F106" s="15">
        <v>1.5</v>
      </c>
      <c r="J106" s="148">
        <v>1.05</v>
      </c>
      <c r="K106" s="149">
        <v>4.7945999999999998E-6</v>
      </c>
    </row>
    <row r="107" spans="2:11" x14ac:dyDescent="0.25">
      <c r="B107" t="str">
        <v>OT negative cost percentage factor</v>
      </c>
      <c r="C107" s="86">
        <f>1</f>
        <v>1</v>
      </c>
      <c r="D107" s="15">
        <v>0.75</v>
      </c>
      <c r="E107" s="15">
        <v>1</v>
      </c>
      <c r="F107" s="15">
        <v>1.25</v>
      </c>
      <c r="J107" s="148">
        <v>1.06</v>
      </c>
      <c r="K107" s="149">
        <v>5.9865000000000002E-6</v>
      </c>
    </row>
    <row r="108" spans="2:11" x14ac:dyDescent="0.25">
      <c r="B108" t="str">
        <v>EE negative cost percentage factor</v>
      </c>
      <c r="C108" s="86">
        <f>0.7</f>
        <v>0.7</v>
      </c>
      <c r="D108" s="15">
        <v>0.4</v>
      </c>
      <c r="E108" s="15">
        <v>0.7</v>
      </c>
      <c r="F108" s="15">
        <v>1</v>
      </c>
      <c r="J108" s="148">
        <v>1.07</v>
      </c>
      <c r="K108" s="149">
        <v>7.4175999999999999E-6</v>
      </c>
    </row>
    <row r="109" spans="2:11" x14ac:dyDescent="0.25">
      <c r="B109" t="str">
        <v>CA negative cost percentage factor</v>
      </c>
      <c r="C109" s="86">
        <f>0.7</f>
        <v>0.7</v>
      </c>
      <c r="D109" s="15">
        <v>0.4</v>
      </c>
      <c r="E109" s="15">
        <v>0.7</v>
      </c>
      <c r="F109" s="15">
        <v>1</v>
      </c>
      <c r="J109" s="148">
        <v>1.08</v>
      </c>
      <c r="K109" s="149">
        <v>9.1233999999999998E-6</v>
      </c>
    </row>
    <row r="110" spans="2:11" x14ac:dyDescent="0.25">
      <c r="B110" t="str">
        <v>IA negative cost percentage factor</v>
      </c>
      <c r="C110" s="86">
        <f>0.7</f>
        <v>0.7</v>
      </c>
      <c r="D110" s="15">
        <v>0.4</v>
      </c>
      <c r="E110" s="15">
        <v>0.7</v>
      </c>
      <c r="F110" s="15">
        <v>1</v>
      </c>
      <c r="J110" s="148">
        <v>1.0900000000000001</v>
      </c>
      <c r="K110" s="149">
        <v>1.1143E-5</v>
      </c>
    </row>
    <row r="111" spans="2:11" x14ac:dyDescent="0.25">
      <c r="B111" t="str">
        <v>AF negative cost percentage factor</v>
      </c>
      <c r="C111" s="86">
        <f>0.7</f>
        <v>0.7</v>
      </c>
      <c r="D111" s="15">
        <v>0.4</v>
      </c>
      <c r="E111" s="15">
        <v>0.7</v>
      </c>
      <c r="F111" s="15">
        <v>1</v>
      </c>
      <c r="J111" s="148">
        <v>1.1000000000000001</v>
      </c>
      <c r="K111" s="149">
        <v>1.3516000000000001E-5</v>
      </c>
    </row>
    <row r="112" spans="2:11" ht="13" thickBot="1" x14ac:dyDescent="0.3">
      <c r="B112" t="str">
        <v>LA negative cost percentage factor</v>
      </c>
      <c r="C112" s="86">
        <f>0.7</f>
        <v>0.7</v>
      </c>
      <c r="D112" s="16">
        <v>0.4</v>
      </c>
      <c r="E112" s="16">
        <v>0.7</v>
      </c>
      <c r="F112" s="16">
        <v>1</v>
      </c>
      <c r="H112" s="12"/>
      <c r="J112" s="148">
        <v>1.1100000000000001</v>
      </c>
      <c r="K112" s="149">
        <v>1.6290000000000002E-5</v>
      </c>
    </row>
    <row r="113" spans="2:11" ht="13" thickTop="1" x14ac:dyDescent="0.25">
      <c r="C113" s="86"/>
      <c r="D113" s="15"/>
      <c r="E113" s="15"/>
      <c r="F113" s="15"/>
      <c r="J113" s="148">
        <v>1.1200000000000001</v>
      </c>
      <c r="K113" s="149">
        <v>1.9508999999999999E-5</v>
      </c>
    </row>
    <row r="114" spans="2:11" x14ac:dyDescent="0.25">
      <c r="B114" t="str">
        <f t="array" ref="B114:B120">R_CODE_NOT_1&amp;" maximum cost factor"</f>
        <v>US maximum cost factor</v>
      </c>
      <c r="C114" s="86">
        <f>1</f>
        <v>1</v>
      </c>
      <c r="D114" s="15">
        <v>0.8</v>
      </c>
      <c r="E114" s="15">
        <v>1</v>
      </c>
      <c r="F114" s="15">
        <v>1.2</v>
      </c>
      <c r="J114" s="148">
        <v>1.1299999999999999</v>
      </c>
      <c r="K114" s="149">
        <v>2.3224E-5</v>
      </c>
    </row>
    <row r="115" spans="2:11" x14ac:dyDescent="0.25">
      <c r="B115" t="str">
        <v>OT maximum cost factor</v>
      </c>
      <c r="C115" s="86">
        <f>1.233333333</f>
        <v>1.233333333</v>
      </c>
      <c r="D115" s="15">
        <v>1</v>
      </c>
      <c r="E115" s="15">
        <v>1.2</v>
      </c>
      <c r="F115" s="15">
        <v>1.5</v>
      </c>
      <c r="J115" s="148">
        <v>1.1399999999999999</v>
      </c>
      <c r="K115" s="149">
        <v>2.7487999999999998E-5</v>
      </c>
    </row>
    <row r="116" spans="2:11" x14ac:dyDescent="0.25">
      <c r="B116" t="str">
        <v>EE maximum cost factor</v>
      </c>
      <c r="C116" s="86">
        <f>0.7</f>
        <v>0.7</v>
      </c>
      <c r="D116" s="15">
        <v>0.4</v>
      </c>
      <c r="E116" s="15">
        <v>0.7</v>
      </c>
      <c r="F116" s="15">
        <v>1</v>
      </c>
      <c r="J116" s="148">
        <v>1.1499999999999999</v>
      </c>
      <c r="K116" s="149">
        <v>3.2351999999999998E-5</v>
      </c>
    </row>
    <row r="117" spans="2:11" x14ac:dyDescent="0.25">
      <c r="B117" t="str">
        <v>CA maximum cost factor</v>
      </c>
      <c r="C117" s="86">
        <f>1</f>
        <v>1</v>
      </c>
      <c r="D117" s="15">
        <v>0.8</v>
      </c>
      <c r="E117" s="15">
        <v>1</v>
      </c>
      <c r="F117" s="15">
        <v>1.2</v>
      </c>
      <c r="J117" s="148">
        <v>1.1599999999999999</v>
      </c>
      <c r="K117" s="149">
        <v>3.7873999999999997E-5</v>
      </c>
    </row>
    <row r="118" spans="2:11" x14ac:dyDescent="0.25">
      <c r="B118" t="str">
        <v>IA maximum cost factor</v>
      </c>
      <c r="C118" s="86">
        <f>1.233333333</f>
        <v>1.233333333</v>
      </c>
      <c r="D118" s="15">
        <v>1</v>
      </c>
      <c r="E118" s="15">
        <v>1.2</v>
      </c>
      <c r="F118" s="15">
        <v>1.5</v>
      </c>
      <c r="J118" s="148">
        <v>1.17</v>
      </c>
      <c r="K118" s="149">
        <v>4.4110000000000003E-5</v>
      </c>
    </row>
    <row r="119" spans="2:11" x14ac:dyDescent="0.25">
      <c r="B119" t="str">
        <v>AF maximum cost factor</v>
      </c>
      <c r="C119" s="86">
        <f>1.233333333</f>
        <v>1.233333333</v>
      </c>
      <c r="D119" s="15">
        <v>1</v>
      </c>
      <c r="E119" s="15">
        <v>1.2</v>
      </c>
      <c r="F119" s="15">
        <v>1.5</v>
      </c>
      <c r="J119" s="148">
        <v>1.18</v>
      </c>
      <c r="K119" s="149">
        <v>5.1116999999999999E-5</v>
      </c>
    </row>
    <row r="120" spans="2:11" ht="13" thickBot="1" x14ac:dyDescent="0.3">
      <c r="B120" t="str">
        <v>LA maximum cost factor</v>
      </c>
      <c r="C120" s="86">
        <f>0.7</f>
        <v>0.7</v>
      </c>
      <c r="D120" s="16">
        <v>0.4</v>
      </c>
      <c r="E120" s="16">
        <v>0.7</v>
      </c>
      <c r="F120" s="16">
        <v>1</v>
      </c>
      <c r="J120" s="148">
        <v>1.19</v>
      </c>
      <c r="K120" s="149">
        <v>5.8953999999999998E-5</v>
      </c>
    </row>
    <row r="121" spans="2:11" ht="13" thickTop="1" x14ac:dyDescent="0.25">
      <c r="C121" s="83"/>
      <c r="D121" s="90"/>
      <c r="E121" s="90"/>
      <c r="F121" s="90"/>
      <c r="J121" s="148">
        <v>1.2</v>
      </c>
      <c r="K121" s="149">
        <v>6.7679E-5</v>
      </c>
    </row>
    <row r="122" spans="2:11" x14ac:dyDescent="0.25">
      <c r="B122" t="str">
        <f>"Cutbacks at negative cost in "&amp;Y_LAST&amp;" as multiple of "&amp;Y_0</f>
        <v>Cutbacks at negative cost in 2300 as multiple of 2000</v>
      </c>
      <c r="C122" s="86">
        <f>0.7333333333</f>
        <v>0.73333333329999995</v>
      </c>
      <c r="D122" s="15">
        <v>0.3</v>
      </c>
      <c r="E122" s="15">
        <v>0.7</v>
      </c>
      <c r="F122" s="15">
        <v>1.2</v>
      </c>
      <c r="J122" s="148">
        <v>1.21</v>
      </c>
      <c r="K122" s="149">
        <v>7.7349999999999996E-5</v>
      </c>
    </row>
    <row r="123" spans="2:11" x14ac:dyDescent="0.25">
      <c r="B123" s="3" t="s">
        <v>328</v>
      </c>
      <c r="C123" s="40">
        <f>((Q0PROPMULT)^(1/(Y_LAST-Y_0))-1)*100</f>
        <v>-0.10333155226233126</v>
      </c>
      <c r="D123" s="15"/>
      <c r="E123" s="15"/>
      <c r="F123" s="15"/>
      <c r="G123" s="3" t="s">
        <v>57</v>
      </c>
      <c r="H123" s="12"/>
      <c r="J123" s="148">
        <v>1.22</v>
      </c>
      <c r="K123" s="149">
        <v>8.8024999999999998E-5</v>
      </c>
    </row>
    <row r="124" spans="2:11" x14ac:dyDescent="0.25">
      <c r="B124" t="str">
        <f>"Maximum cutbacks in "&amp;Y_LAST&amp;" as multiple of "&amp;Y_0</f>
        <v>Maximum cutbacks in 2300 as multiple of 2000</v>
      </c>
      <c r="C124" s="86">
        <f>1.266666667</f>
        <v>1.266666667</v>
      </c>
      <c r="D124" s="15">
        <v>1</v>
      </c>
      <c r="E124" s="15">
        <v>1.3</v>
      </c>
      <c r="F124" s="15">
        <v>1.5</v>
      </c>
      <c r="G124" s="3"/>
      <c r="H124" s="12"/>
      <c r="J124" s="148">
        <v>1.23</v>
      </c>
      <c r="K124" s="149">
        <v>9.9759999999999994E-5</v>
      </c>
    </row>
    <row r="125" spans="2:11" x14ac:dyDescent="0.25">
      <c r="B125" s="3" t="s">
        <v>329</v>
      </c>
      <c r="C125" s="40">
        <f>((QMAX_MINUS_Q0_PROPMULT)^(1/(Y_LAST-Y_0))-1)*100</f>
        <v>7.8827311850493409E-2</v>
      </c>
      <c r="D125" s="15"/>
      <c r="E125" s="15"/>
      <c r="F125" s="15"/>
      <c r="G125" s="3" t="s">
        <v>57</v>
      </c>
      <c r="J125" s="148">
        <v>1.24</v>
      </c>
      <c r="K125" s="148">
        <v>1.1260999999999999E-4</v>
      </c>
    </row>
    <row r="126" spans="2:11" x14ac:dyDescent="0.25">
      <c r="B126" t="str">
        <f>"Most negative cost in "&amp;Y_LAST&amp;" as multiple of "&amp;Y_0</f>
        <v>Most negative cost in 2300 as multiple of 2000</v>
      </c>
      <c r="C126" s="86">
        <f>0.8333333333</f>
        <v>0.83333333330000003</v>
      </c>
      <c r="D126" s="15">
        <v>0.5</v>
      </c>
      <c r="E126" s="15">
        <v>0.8</v>
      </c>
      <c r="F126" s="15">
        <v>1.2</v>
      </c>
      <c r="G126" s="3"/>
      <c r="H126" s="12"/>
      <c r="J126" s="148">
        <v>1.25</v>
      </c>
      <c r="K126" s="148">
        <v>1.2662E-4</v>
      </c>
    </row>
    <row r="127" spans="2:11" x14ac:dyDescent="0.25">
      <c r="B127" s="3" t="s">
        <v>330</v>
      </c>
      <c r="C127" s="40">
        <f>((C0MULT)^(1/(Y_LAST-Y_0))-1)*100</f>
        <v>-6.0755388712907532E-2</v>
      </c>
      <c r="D127" s="15"/>
      <c r="E127" s="15"/>
      <c r="F127" s="15"/>
      <c r="G127" s="3" t="s">
        <v>57</v>
      </c>
      <c r="J127" s="148">
        <v>1.26</v>
      </c>
      <c r="K127" s="148">
        <v>1.4185000000000001E-4</v>
      </c>
    </row>
    <row r="128" spans="2:11" x14ac:dyDescent="0.25">
      <c r="B128" s="3" t="s">
        <v>331</v>
      </c>
      <c r="C128" s="86">
        <f>0.5</f>
        <v>0.5</v>
      </c>
      <c r="D128" s="15">
        <v>0.25</v>
      </c>
      <c r="E128" s="15">
        <v>0.45</v>
      </c>
      <c r="F128" s="15">
        <v>0.8</v>
      </c>
      <c r="G128" s="3"/>
      <c r="H128" s="12"/>
      <c r="J128" s="148">
        <v>1.27</v>
      </c>
      <c r="K128" s="148">
        <v>1.5835E-4</v>
      </c>
    </row>
    <row r="129" spans="1:11" x14ac:dyDescent="0.25">
      <c r="B129" s="3" t="s">
        <v>332</v>
      </c>
      <c r="C129" s="86">
        <f>0.4</f>
        <v>0.4</v>
      </c>
      <c r="D129" s="15">
        <v>0.1</v>
      </c>
      <c r="E129" s="15">
        <v>0.4</v>
      </c>
      <c r="F129" s="15">
        <v>0.7</v>
      </c>
      <c r="G129" s="3"/>
      <c r="J129" s="148">
        <v>1.28</v>
      </c>
      <c r="K129" s="148">
        <v>1.7615E-4</v>
      </c>
    </row>
    <row r="130" spans="1:11" x14ac:dyDescent="0.25">
      <c r="B130" s="3" t="s">
        <v>333</v>
      </c>
      <c r="C130" s="86">
        <f>0.2</f>
        <v>0.2</v>
      </c>
      <c r="D130" s="15">
        <v>0.1</v>
      </c>
      <c r="E130" s="15">
        <v>0.2</v>
      </c>
      <c r="F130" s="15">
        <v>0.3</v>
      </c>
      <c r="G130" s="3"/>
      <c r="H130" s="12"/>
      <c r="J130" s="148">
        <v>1.29</v>
      </c>
      <c r="K130" s="148">
        <v>1.9529000000000001E-4</v>
      </c>
    </row>
    <row r="131" spans="1:11" x14ac:dyDescent="0.25">
      <c r="B131" s="3" t="s">
        <v>459</v>
      </c>
      <c r="C131" s="86">
        <f>0.2</f>
        <v>0.2</v>
      </c>
      <c r="D131" s="15">
        <v>0.05</v>
      </c>
      <c r="E131" s="15">
        <v>0.2</v>
      </c>
      <c r="F131" s="15">
        <v>0.35</v>
      </c>
      <c r="G131" s="3"/>
      <c r="J131" s="148">
        <v>1.3</v>
      </c>
      <c r="K131" s="148">
        <v>2.1583E-4</v>
      </c>
    </row>
    <row r="132" spans="1:11" s="2" customFormat="1" ht="13" x14ac:dyDescent="0.3">
      <c r="A132" s="2" t="s">
        <v>334</v>
      </c>
      <c r="B132" s="68"/>
      <c r="C132" s="68"/>
      <c r="J132" s="148">
        <v>1.31</v>
      </c>
      <c r="K132" s="148">
        <v>2.3777E-4</v>
      </c>
    </row>
    <row r="133" spans="1:11" s="2" customFormat="1" ht="13" x14ac:dyDescent="0.3">
      <c r="B133" t="str">
        <f>"Costs in "&amp;Y_LAST&amp;" as multiple of "&amp;Y_0</f>
        <v>Costs in 2300 as multiple of 2000</v>
      </c>
      <c r="C133" s="86">
        <f>0.65</f>
        <v>0.65</v>
      </c>
      <c r="D133" s="15">
        <v>0.5</v>
      </c>
      <c r="E133" s="15">
        <v>0.65</v>
      </c>
      <c r="F133" s="15">
        <v>0.8</v>
      </c>
      <c r="J133" s="148">
        <v>1.32</v>
      </c>
      <c r="K133" s="148">
        <v>2.6115999999999997E-4</v>
      </c>
    </row>
    <row r="134" spans="1:11" x14ac:dyDescent="0.25">
      <c r="B134" s="3" t="s">
        <v>335</v>
      </c>
      <c r="C134" s="40">
        <f>(-((AUTOMULT)^(1/(Y_LAST-Y_0))-1))*100</f>
        <v>0.14349125807073815</v>
      </c>
      <c r="D134" s="15"/>
      <c r="E134" s="15"/>
      <c r="F134" s="15"/>
      <c r="G134" s="3" t="s">
        <v>57</v>
      </c>
      <c r="J134" s="148">
        <v>1.33</v>
      </c>
      <c r="K134" s="148">
        <v>2.8601000000000001E-4</v>
      </c>
    </row>
    <row r="135" spans="1:11" x14ac:dyDescent="0.25">
      <c r="B135" s="3" t="s">
        <v>336</v>
      </c>
      <c r="C135" s="86">
        <f>1</f>
        <v>1</v>
      </c>
      <c r="D135" s="15">
        <v>1</v>
      </c>
      <c r="E135" s="15">
        <v>1</v>
      </c>
      <c r="F135" s="15">
        <v>1</v>
      </c>
      <c r="G135" s="3"/>
      <c r="J135" s="148">
        <v>1.34</v>
      </c>
      <c r="K135" s="148">
        <v>3.1234999999999998E-4</v>
      </c>
    </row>
    <row r="136" spans="1:11" x14ac:dyDescent="0.25">
      <c r="J136" s="148">
        <v>1.35</v>
      </c>
      <c r="K136" s="148">
        <v>3.4018999999999998E-4</v>
      </c>
    </row>
    <row r="137" spans="1:11" x14ac:dyDescent="0.25">
      <c r="J137" s="148">
        <v>1.36</v>
      </c>
      <c r="K137" s="148">
        <v>3.6953000000000002E-4</v>
      </c>
    </row>
    <row r="138" spans="1:11" x14ac:dyDescent="0.25">
      <c r="J138" s="148">
        <v>1.37</v>
      </c>
      <c r="K138" s="148">
        <v>4.0037999999999999E-4</v>
      </c>
    </row>
    <row r="139" spans="1:11" x14ac:dyDescent="0.25">
      <c r="J139" s="148">
        <v>1.38</v>
      </c>
      <c r="K139" s="148">
        <v>4.3273999999999998E-4</v>
      </c>
    </row>
    <row r="140" spans="1:11" x14ac:dyDescent="0.25">
      <c r="J140" s="148">
        <v>1.39</v>
      </c>
      <c r="K140" s="148">
        <v>4.6660000000000001E-4</v>
      </c>
    </row>
    <row r="141" spans="1:11" x14ac:dyDescent="0.25">
      <c r="J141" s="148">
        <v>1.4</v>
      </c>
      <c r="K141" s="148">
        <v>5.0195000000000003E-4</v>
      </c>
    </row>
    <row r="142" spans="1:11" x14ac:dyDescent="0.25">
      <c r="J142" s="148">
        <v>1.41</v>
      </c>
      <c r="K142" s="148">
        <v>5.3877000000000005E-4</v>
      </c>
    </row>
    <row r="143" spans="1:11" x14ac:dyDescent="0.25">
      <c r="J143" s="148">
        <v>1.42</v>
      </c>
      <c r="K143" s="148">
        <v>5.7704000000000002E-4</v>
      </c>
    </row>
    <row r="144" spans="1:11" x14ac:dyDescent="0.25">
      <c r="J144" s="148">
        <v>1.43</v>
      </c>
      <c r="K144" s="148">
        <v>6.1673000000000001E-4</v>
      </c>
    </row>
    <row r="145" spans="10:11" x14ac:dyDescent="0.25">
      <c r="J145" s="148">
        <v>1.44</v>
      </c>
      <c r="K145" s="148">
        <v>6.5782000000000004E-4</v>
      </c>
    </row>
    <row r="146" spans="10:11" x14ac:dyDescent="0.25">
      <c r="J146" s="148">
        <v>1.45</v>
      </c>
      <c r="K146" s="148">
        <v>7.0027000000000002E-4</v>
      </c>
    </row>
    <row r="147" spans="10:11" x14ac:dyDescent="0.25">
      <c r="J147" s="148">
        <v>1.46</v>
      </c>
      <c r="K147" s="148">
        <v>7.4403000000000002E-4</v>
      </c>
    </row>
    <row r="148" spans="10:11" x14ac:dyDescent="0.25">
      <c r="J148" s="148">
        <v>1.47</v>
      </c>
      <c r="K148" s="148">
        <v>7.8907999999999995E-4</v>
      </c>
    </row>
    <row r="149" spans="10:11" x14ac:dyDescent="0.25">
      <c r="J149" s="148">
        <v>1.48</v>
      </c>
      <c r="K149" s="148">
        <v>8.3535E-4</v>
      </c>
    </row>
    <row r="150" spans="10:11" x14ac:dyDescent="0.25">
      <c r="J150" s="148">
        <v>1.49</v>
      </c>
      <c r="K150" s="148">
        <v>8.8279999999999999E-4</v>
      </c>
    </row>
    <row r="151" spans="10:11" x14ac:dyDescent="0.25">
      <c r="J151" s="148">
        <v>1.5</v>
      </c>
      <c r="K151" s="148">
        <v>9.3137999999999999E-4</v>
      </c>
    </row>
    <row r="152" spans="10:11" x14ac:dyDescent="0.25">
      <c r="J152" s="148">
        <v>1.51</v>
      </c>
      <c r="K152" s="148">
        <v>9.8102999999999992E-4</v>
      </c>
    </row>
    <row r="153" spans="10:11" x14ac:dyDescent="0.25">
      <c r="J153" s="148">
        <v>1.52</v>
      </c>
      <c r="K153" s="148">
        <v>1.0317E-3</v>
      </c>
    </row>
    <row r="154" spans="10:11" x14ac:dyDescent="0.25">
      <c r="J154" s="148">
        <v>1.53</v>
      </c>
      <c r="K154" s="148">
        <v>1.0832999999999999E-3</v>
      </c>
    </row>
    <row r="155" spans="10:11" x14ac:dyDescent="0.25">
      <c r="J155" s="148">
        <v>1.54</v>
      </c>
      <c r="K155" s="148">
        <v>1.1358E-3</v>
      </c>
    </row>
    <row r="156" spans="10:11" x14ac:dyDescent="0.25">
      <c r="J156" s="148">
        <v>1.55</v>
      </c>
      <c r="K156" s="148">
        <v>1.1891E-3</v>
      </c>
    </row>
    <row r="157" spans="10:11" x14ac:dyDescent="0.25">
      <c r="J157" s="148">
        <v>1.56</v>
      </c>
      <c r="K157" s="148">
        <v>1.2432000000000001E-3</v>
      </c>
    </row>
    <row r="158" spans="10:11" x14ac:dyDescent="0.25">
      <c r="J158" s="148">
        <v>1.57</v>
      </c>
      <c r="K158" s="148">
        <v>1.2979999999999999E-3</v>
      </c>
    </row>
    <row r="159" spans="10:11" x14ac:dyDescent="0.25">
      <c r="J159" s="148">
        <v>1.58</v>
      </c>
      <c r="K159" s="148">
        <v>1.3534E-3</v>
      </c>
    </row>
    <row r="160" spans="10:11" x14ac:dyDescent="0.25">
      <c r="J160" s="148">
        <v>1.59</v>
      </c>
      <c r="K160" s="148">
        <v>1.4094000000000001E-3</v>
      </c>
    </row>
    <row r="161" spans="10:11" x14ac:dyDescent="0.25">
      <c r="J161" s="148">
        <v>1.6</v>
      </c>
      <c r="K161" s="148">
        <v>1.4658E-3</v>
      </c>
    </row>
    <row r="162" spans="10:11" x14ac:dyDescent="0.25">
      <c r="J162" s="148">
        <v>1.61</v>
      </c>
      <c r="K162" s="148">
        <v>1.5227000000000001E-3</v>
      </c>
    </row>
    <row r="163" spans="10:11" x14ac:dyDescent="0.25">
      <c r="J163" s="148">
        <v>1.62</v>
      </c>
      <c r="K163" s="148">
        <v>1.5799E-3</v>
      </c>
    </row>
    <row r="164" spans="10:11" x14ac:dyDescent="0.25">
      <c r="J164" s="148">
        <v>1.63</v>
      </c>
      <c r="K164" s="148">
        <v>1.6374E-3</v>
      </c>
    </row>
    <row r="165" spans="10:11" x14ac:dyDescent="0.25">
      <c r="J165" s="148">
        <v>1.64</v>
      </c>
      <c r="K165" s="148">
        <v>1.6950999999999999E-3</v>
      </c>
    </row>
    <row r="166" spans="10:11" x14ac:dyDescent="0.25">
      <c r="J166" s="148">
        <v>1.65</v>
      </c>
      <c r="K166" s="148">
        <v>1.7528999999999999E-3</v>
      </c>
    </row>
    <row r="167" spans="10:11" x14ac:dyDescent="0.25">
      <c r="J167" s="148">
        <v>1.66</v>
      </c>
      <c r="K167" s="148">
        <v>1.8109000000000001E-3</v>
      </c>
    </row>
    <row r="168" spans="10:11" x14ac:dyDescent="0.25">
      <c r="J168" s="148">
        <v>1.67</v>
      </c>
      <c r="K168" s="148">
        <v>1.8688000000000001E-3</v>
      </c>
    </row>
    <row r="169" spans="10:11" x14ac:dyDescent="0.25">
      <c r="J169" s="148">
        <v>1.68</v>
      </c>
      <c r="K169" s="148">
        <v>1.9266999999999999E-3</v>
      </c>
    </row>
    <row r="170" spans="10:11" x14ac:dyDescent="0.25">
      <c r="J170" s="148">
        <v>1.69</v>
      </c>
      <c r="K170" s="148">
        <v>1.9843999999999999E-3</v>
      </c>
    </row>
    <row r="171" spans="10:11" x14ac:dyDescent="0.25">
      <c r="J171" s="148">
        <v>1.7</v>
      </c>
      <c r="K171" s="148">
        <v>2.042E-3</v>
      </c>
    </row>
    <row r="172" spans="10:11" x14ac:dyDescent="0.25">
      <c r="J172" s="148">
        <v>1.71</v>
      </c>
      <c r="K172" s="148">
        <v>2.0994E-3</v>
      </c>
    </row>
    <row r="173" spans="10:11" x14ac:dyDescent="0.25">
      <c r="J173" s="148">
        <v>1.72</v>
      </c>
      <c r="K173" s="148">
        <v>2.1564000000000002E-3</v>
      </c>
    </row>
    <row r="174" spans="10:11" x14ac:dyDescent="0.25">
      <c r="J174" s="148">
        <v>1.73</v>
      </c>
      <c r="K174" s="148">
        <v>2.2131E-3</v>
      </c>
    </row>
    <row r="175" spans="10:11" x14ac:dyDescent="0.25">
      <c r="J175" s="148">
        <v>1.74</v>
      </c>
      <c r="K175" s="148">
        <v>2.2694E-3</v>
      </c>
    </row>
    <row r="176" spans="10:11" x14ac:dyDescent="0.25">
      <c r="J176" s="148">
        <v>1.75</v>
      </c>
      <c r="K176" s="148">
        <v>2.3251999999999999E-3</v>
      </c>
    </row>
    <row r="177" spans="10:11" x14ac:dyDescent="0.25">
      <c r="J177" s="148">
        <v>1.76</v>
      </c>
      <c r="K177" s="148">
        <v>2.3804999999999998E-3</v>
      </c>
    </row>
    <row r="178" spans="10:11" x14ac:dyDescent="0.25">
      <c r="J178" s="148">
        <v>1.77</v>
      </c>
      <c r="K178" s="148">
        <v>2.4353000000000001E-3</v>
      </c>
    </row>
    <row r="179" spans="10:11" x14ac:dyDescent="0.25">
      <c r="J179" s="148">
        <v>1.78</v>
      </c>
      <c r="K179" s="148">
        <v>2.4894000000000001E-3</v>
      </c>
    </row>
    <row r="180" spans="10:11" x14ac:dyDescent="0.25">
      <c r="J180" s="148">
        <v>1.79</v>
      </c>
      <c r="K180" s="148">
        <v>2.5428999999999998E-3</v>
      </c>
    </row>
    <row r="181" spans="10:11" x14ac:dyDescent="0.25">
      <c r="J181" s="148">
        <v>1.8</v>
      </c>
      <c r="K181" s="148">
        <v>2.5956999999999998E-3</v>
      </c>
    </row>
    <row r="182" spans="10:11" x14ac:dyDescent="0.25">
      <c r="J182" s="148">
        <v>1.81</v>
      </c>
      <c r="K182" s="148">
        <v>2.6478000000000001E-3</v>
      </c>
    </row>
    <row r="183" spans="10:11" x14ac:dyDescent="0.25">
      <c r="J183" s="148">
        <v>1.82</v>
      </c>
      <c r="K183" s="148">
        <v>2.6990999999999999E-3</v>
      </c>
    </row>
    <row r="184" spans="10:11" x14ac:dyDescent="0.25">
      <c r="J184" s="148">
        <v>1.83</v>
      </c>
      <c r="K184" s="148">
        <v>2.7496E-3</v>
      </c>
    </row>
    <row r="185" spans="10:11" x14ac:dyDescent="0.25">
      <c r="J185" s="148">
        <v>1.84</v>
      </c>
      <c r="K185" s="148">
        <v>2.7992E-3</v>
      </c>
    </row>
    <row r="186" spans="10:11" x14ac:dyDescent="0.25">
      <c r="J186" s="148">
        <v>1.85</v>
      </c>
      <c r="K186" s="148">
        <v>2.8479999999999998E-3</v>
      </c>
    </row>
    <row r="187" spans="10:11" x14ac:dyDescent="0.25">
      <c r="J187" s="148">
        <v>1.86</v>
      </c>
      <c r="K187" s="148">
        <v>2.8958E-3</v>
      </c>
    </row>
    <row r="188" spans="10:11" x14ac:dyDescent="0.25">
      <c r="J188" s="148">
        <v>1.87</v>
      </c>
      <c r="K188" s="148">
        <v>2.9428000000000002E-3</v>
      </c>
    </row>
    <row r="189" spans="10:11" x14ac:dyDescent="0.25">
      <c r="J189" s="148">
        <v>1.88</v>
      </c>
      <c r="K189" s="148">
        <v>2.9887999999999998E-3</v>
      </c>
    </row>
    <row r="190" spans="10:11" x14ac:dyDescent="0.25">
      <c r="J190" s="148">
        <v>1.89</v>
      </c>
      <c r="K190" s="148">
        <v>3.0338000000000001E-3</v>
      </c>
    </row>
    <row r="191" spans="10:11" x14ac:dyDescent="0.25">
      <c r="J191" s="148">
        <v>1.9</v>
      </c>
      <c r="K191" s="148">
        <v>3.0777999999999999E-3</v>
      </c>
    </row>
    <row r="192" spans="10:11" x14ac:dyDescent="0.25">
      <c r="J192" s="148">
        <v>1.91</v>
      </c>
      <c r="K192" s="148">
        <v>3.1208E-3</v>
      </c>
    </row>
    <row r="193" spans="10:11" x14ac:dyDescent="0.25">
      <c r="J193" s="148">
        <v>1.92</v>
      </c>
      <c r="K193" s="148">
        <v>3.1627000000000001E-3</v>
      </c>
    </row>
    <row r="194" spans="10:11" x14ac:dyDescent="0.25">
      <c r="J194" s="148">
        <v>1.93</v>
      </c>
      <c r="K194" s="148">
        <v>3.2036E-3</v>
      </c>
    </row>
    <row r="195" spans="10:11" x14ac:dyDescent="0.25">
      <c r="J195" s="148">
        <v>1.94</v>
      </c>
      <c r="K195" s="148">
        <v>3.2434999999999999E-3</v>
      </c>
    </row>
    <row r="196" spans="10:11" x14ac:dyDescent="0.25">
      <c r="J196" s="148">
        <v>1.95</v>
      </c>
      <c r="K196" s="148">
        <v>3.2823000000000001E-3</v>
      </c>
    </row>
    <row r="197" spans="10:11" x14ac:dyDescent="0.25">
      <c r="J197" s="148">
        <v>1.96</v>
      </c>
      <c r="K197" s="148">
        <v>3.3199000000000002E-3</v>
      </c>
    </row>
    <row r="198" spans="10:11" x14ac:dyDescent="0.25">
      <c r="J198" s="148">
        <v>1.97</v>
      </c>
      <c r="K198" s="148">
        <v>3.3565000000000001E-3</v>
      </c>
    </row>
    <row r="199" spans="10:11" x14ac:dyDescent="0.25">
      <c r="J199" s="148">
        <v>1.98</v>
      </c>
      <c r="K199" s="148">
        <v>3.392E-3</v>
      </c>
    </row>
    <row r="200" spans="10:11" x14ac:dyDescent="0.25">
      <c r="J200" s="148">
        <v>1.99</v>
      </c>
      <c r="K200" s="148">
        <v>3.4264E-3</v>
      </c>
    </row>
    <row r="201" spans="10:11" x14ac:dyDescent="0.25">
      <c r="J201" s="148">
        <v>2</v>
      </c>
      <c r="K201" s="148">
        <v>3.4597E-3</v>
      </c>
    </row>
    <row r="202" spans="10:11" x14ac:dyDescent="0.25">
      <c r="J202" s="148">
        <v>2.0099999999999998</v>
      </c>
      <c r="K202" s="148">
        <v>3.4919E-3</v>
      </c>
    </row>
    <row r="203" spans="10:11" x14ac:dyDescent="0.25">
      <c r="J203" s="148">
        <v>2.02</v>
      </c>
      <c r="K203" s="148">
        <v>3.5228999999999998E-3</v>
      </c>
    </row>
    <row r="204" spans="10:11" x14ac:dyDescent="0.25">
      <c r="J204" s="148">
        <v>2.0299999999999998</v>
      </c>
      <c r="K204" s="148">
        <v>3.5528999999999999E-3</v>
      </c>
    </row>
    <row r="205" spans="10:11" x14ac:dyDescent="0.25">
      <c r="J205" s="148">
        <v>2.04</v>
      </c>
      <c r="K205" s="148">
        <v>3.5818E-3</v>
      </c>
    </row>
    <row r="206" spans="10:11" x14ac:dyDescent="0.25">
      <c r="J206" s="148">
        <v>2.0499999999999998</v>
      </c>
      <c r="K206" s="148">
        <v>3.6094999999999999E-3</v>
      </c>
    </row>
    <row r="207" spans="10:11" x14ac:dyDescent="0.25">
      <c r="J207" s="148">
        <v>2.06</v>
      </c>
      <c r="K207" s="148">
        <v>3.6361000000000002E-3</v>
      </c>
    </row>
    <row r="208" spans="10:11" x14ac:dyDescent="0.25">
      <c r="J208" s="148">
        <v>2.0699999999999998</v>
      </c>
      <c r="K208" s="148">
        <v>3.6616999999999999E-3</v>
      </c>
    </row>
    <row r="209" spans="10:11" x14ac:dyDescent="0.25">
      <c r="J209" s="148">
        <v>2.08</v>
      </c>
      <c r="K209" s="148">
        <v>3.6860999999999999E-3</v>
      </c>
    </row>
    <row r="210" spans="10:11" x14ac:dyDescent="0.25">
      <c r="J210" s="148">
        <v>2.09</v>
      </c>
      <c r="K210" s="148">
        <v>3.7095000000000001E-3</v>
      </c>
    </row>
    <row r="211" spans="10:11" x14ac:dyDescent="0.25">
      <c r="J211" s="148">
        <v>2.1</v>
      </c>
      <c r="K211" s="148">
        <v>3.7318E-3</v>
      </c>
    </row>
    <row r="212" spans="10:11" x14ac:dyDescent="0.25">
      <c r="J212" s="148">
        <v>2.11</v>
      </c>
      <c r="K212" s="148">
        <v>3.7531000000000001E-3</v>
      </c>
    </row>
    <row r="213" spans="10:11" x14ac:dyDescent="0.25">
      <c r="J213" s="148">
        <v>2.12</v>
      </c>
      <c r="K213" s="148">
        <v>3.7732E-3</v>
      </c>
    </row>
    <row r="214" spans="10:11" x14ac:dyDescent="0.25">
      <c r="J214" s="148">
        <v>2.13</v>
      </c>
      <c r="K214" s="148">
        <v>3.7924E-3</v>
      </c>
    </row>
    <row r="215" spans="10:11" x14ac:dyDescent="0.25">
      <c r="J215" s="148">
        <v>2.14</v>
      </c>
      <c r="K215" s="148">
        <v>3.8105000000000001E-3</v>
      </c>
    </row>
    <row r="216" spans="10:11" x14ac:dyDescent="0.25">
      <c r="J216" s="148">
        <v>2.15</v>
      </c>
      <c r="K216" s="148">
        <v>3.8276E-3</v>
      </c>
    </row>
    <row r="217" spans="10:11" x14ac:dyDescent="0.25">
      <c r="J217" s="148">
        <v>2.16</v>
      </c>
      <c r="K217" s="148">
        <v>3.8436E-3</v>
      </c>
    </row>
    <row r="218" spans="10:11" x14ac:dyDescent="0.25">
      <c r="J218" s="148">
        <v>2.17</v>
      </c>
      <c r="K218" s="148">
        <v>3.8587000000000001E-3</v>
      </c>
    </row>
    <row r="219" spans="10:11" x14ac:dyDescent="0.25">
      <c r="J219" s="148">
        <v>2.1800000000000002</v>
      </c>
      <c r="K219" s="148">
        <v>3.8728E-3</v>
      </c>
    </row>
    <row r="220" spans="10:11" x14ac:dyDescent="0.25">
      <c r="J220" s="148">
        <v>2.19</v>
      </c>
      <c r="K220" s="148">
        <v>3.8858999999999999E-3</v>
      </c>
    </row>
    <row r="221" spans="10:11" x14ac:dyDescent="0.25">
      <c r="J221" s="148">
        <v>2.2000000000000002</v>
      </c>
      <c r="K221" s="148">
        <v>3.8980999999999998E-3</v>
      </c>
    </row>
    <row r="222" spans="10:11" x14ac:dyDescent="0.25">
      <c r="J222" s="148">
        <v>2.21</v>
      </c>
      <c r="K222" s="148">
        <v>3.9093000000000001E-3</v>
      </c>
    </row>
    <row r="223" spans="10:11" x14ac:dyDescent="0.25">
      <c r="J223" s="148">
        <v>2.2200000000000002</v>
      </c>
      <c r="K223" s="148">
        <v>3.9195999999999996E-3</v>
      </c>
    </row>
    <row r="224" spans="10:11" x14ac:dyDescent="0.25">
      <c r="J224" s="148">
        <v>2.23</v>
      </c>
      <c r="K224" s="148">
        <v>3.9290000000000002E-3</v>
      </c>
    </row>
    <row r="225" spans="10:11" x14ac:dyDescent="0.25">
      <c r="J225" s="148">
        <v>2.2400000000000002</v>
      </c>
      <c r="K225" s="148">
        <v>3.9375E-3</v>
      </c>
    </row>
    <row r="226" spans="10:11" x14ac:dyDescent="0.25">
      <c r="J226" s="148">
        <v>2.25</v>
      </c>
      <c r="K226" s="148">
        <v>3.9452000000000003E-3</v>
      </c>
    </row>
    <row r="227" spans="10:11" x14ac:dyDescent="0.25">
      <c r="J227" s="148">
        <v>2.2599999999999998</v>
      </c>
      <c r="K227" s="148">
        <v>3.9519000000000004E-3</v>
      </c>
    </row>
    <row r="228" spans="10:11" x14ac:dyDescent="0.25">
      <c r="J228" s="148">
        <v>2.27</v>
      </c>
      <c r="K228" s="148">
        <v>3.9578E-3</v>
      </c>
    </row>
    <row r="229" spans="10:11" x14ac:dyDescent="0.25">
      <c r="J229" s="148">
        <v>2.2799999999999998</v>
      </c>
      <c r="K229" s="148">
        <v>3.9629000000000001E-3</v>
      </c>
    </row>
    <row r="230" spans="10:11" x14ac:dyDescent="0.25">
      <c r="J230" s="148">
        <v>2.29</v>
      </c>
      <c r="K230" s="148">
        <v>3.9671999999999997E-3</v>
      </c>
    </row>
    <row r="231" spans="10:11" x14ac:dyDescent="0.25">
      <c r="J231" s="148">
        <v>2.2999999999999998</v>
      </c>
      <c r="K231" s="148">
        <v>3.9706999999999998E-3</v>
      </c>
    </row>
    <row r="232" spans="10:11" x14ac:dyDescent="0.25">
      <c r="J232" s="148">
        <v>2.31</v>
      </c>
      <c r="K232" s="148">
        <v>3.9734000000000002E-3</v>
      </c>
    </row>
    <row r="233" spans="10:11" x14ac:dyDescent="0.25">
      <c r="J233" s="148">
        <v>2.3199999999999998</v>
      </c>
      <c r="K233" s="148">
        <v>3.9753999999999996E-3</v>
      </c>
    </row>
    <row r="234" spans="10:11" x14ac:dyDescent="0.25">
      <c r="J234" s="148">
        <v>2.33</v>
      </c>
      <c r="K234" s="148">
        <v>3.9766000000000003E-3</v>
      </c>
    </row>
    <row r="235" spans="10:11" x14ac:dyDescent="0.25">
      <c r="J235" s="148">
        <v>2.34</v>
      </c>
      <c r="K235" s="148">
        <v>3.9769999999999996E-3</v>
      </c>
    </row>
    <row r="236" spans="10:11" x14ac:dyDescent="0.25">
      <c r="J236" s="148">
        <v>2.35</v>
      </c>
      <c r="K236" s="148">
        <v>3.9768E-3</v>
      </c>
    </row>
    <row r="237" spans="10:11" x14ac:dyDescent="0.25">
      <c r="J237" s="148">
        <v>2.36</v>
      </c>
      <c r="K237" s="148">
        <v>3.9759000000000001E-3</v>
      </c>
    </row>
    <row r="238" spans="10:11" x14ac:dyDescent="0.25">
      <c r="J238" s="148">
        <v>2.37</v>
      </c>
      <c r="K238" s="148">
        <v>3.9743000000000001E-3</v>
      </c>
    </row>
    <row r="239" spans="10:11" x14ac:dyDescent="0.25">
      <c r="J239" s="148">
        <v>2.38</v>
      </c>
      <c r="K239" s="148">
        <v>3.9719999999999998E-3</v>
      </c>
    </row>
    <row r="240" spans="10:11" x14ac:dyDescent="0.25">
      <c r="J240" s="148">
        <v>2.39</v>
      </c>
      <c r="K240" s="148">
        <v>3.9690999999999997E-3</v>
      </c>
    </row>
    <row r="241" spans="10:11" x14ac:dyDescent="0.25">
      <c r="J241" s="148">
        <v>2.4</v>
      </c>
      <c r="K241" s="148">
        <v>3.9655999999999997E-3</v>
      </c>
    </row>
    <row r="242" spans="10:11" x14ac:dyDescent="0.25">
      <c r="J242" s="148">
        <v>2.41</v>
      </c>
      <c r="K242" s="148">
        <v>3.9614999999999997E-3</v>
      </c>
    </row>
    <row r="243" spans="10:11" x14ac:dyDescent="0.25">
      <c r="J243" s="148">
        <v>2.42</v>
      </c>
      <c r="K243" s="148">
        <v>3.9566999999999996E-3</v>
      </c>
    </row>
    <row r="244" spans="10:11" x14ac:dyDescent="0.25">
      <c r="J244" s="148">
        <v>2.4300000000000002</v>
      </c>
      <c r="K244" s="148">
        <v>3.9513999999999999E-3</v>
      </c>
    </row>
    <row r="245" spans="10:11" x14ac:dyDescent="0.25">
      <c r="J245" s="148">
        <v>2.44</v>
      </c>
      <c r="K245" s="148">
        <v>3.9455000000000002E-3</v>
      </c>
    </row>
    <row r="246" spans="10:11" x14ac:dyDescent="0.25">
      <c r="J246" s="148">
        <v>2.4500000000000002</v>
      </c>
      <c r="K246" s="148">
        <v>3.9391000000000001E-3</v>
      </c>
    </row>
    <row r="247" spans="10:11" x14ac:dyDescent="0.25">
      <c r="J247" s="148">
        <v>2.46</v>
      </c>
      <c r="K247" s="148">
        <v>3.9322000000000003E-3</v>
      </c>
    </row>
    <row r="248" spans="10:11" x14ac:dyDescent="0.25">
      <c r="J248" s="148">
        <v>2.4700000000000002</v>
      </c>
      <c r="K248" s="148">
        <v>3.9246999999999997E-3</v>
      </c>
    </row>
    <row r="249" spans="10:11" x14ac:dyDescent="0.25">
      <c r="J249" s="148">
        <v>2.48</v>
      </c>
      <c r="K249" s="148">
        <v>3.9167000000000004E-3</v>
      </c>
    </row>
    <row r="250" spans="10:11" x14ac:dyDescent="0.25">
      <c r="J250" s="148">
        <v>2.4900000000000002</v>
      </c>
      <c r="K250" s="148">
        <v>3.9083E-3</v>
      </c>
    </row>
    <row r="251" spans="10:11" x14ac:dyDescent="0.25">
      <c r="J251" s="148">
        <v>2.5</v>
      </c>
      <c r="K251" s="148">
        <v>3.8993999999999999E-3</v>
      </c>
    </row>
    <row r="252" spans="10:11" x14ac:dyDescent="0.25">
      <c r="J252" s="148">
        <v>2.5099999999999998</v>
      </c>
      <c r="K252" s="148">
        <v>3.8899999999999998E-3</v>
      </c>
    </row>
    <row r="253" spans="10:11" x14ac:dyDescent="0.25">
      <c r="J253" s="148">
        <v>2.52</v>
      </c>
      <c r="K253" s="148">
        <v>3.8801999999999999E-3</v>
      </c>
    </row>
    <row r="254" spans="10:11" x14ac:dyDescent="0.25">
      <c r="J254" s="148">
        <v>2.5299999999999998</v>
      </c>
      <c r="K254" s="148">
        <v>3.8700000000000002E-3</v>
      </c>
    </row>
    <row r="255" spans="10:11" x14ac:dyDescent="0.25">
      <c r="J255" s="148">
        <v>2.54</v>
      </c>
      <c r="K255" s="148">
        <v>3.8593E-3</v>
      </c>
    </row>
    <row r="256" spans="10:11" x14ac:dyDescent="0.25">
      <c r="J256" s="148">
        <v>2.5499999999999998</v>
      </c>
      <c r="K256" s="148">
        <v>3.8482999999999998E-3</v>
      </c>
    </row>
    <row r="257" spans="10:11" x14ac:dyDescent="0.25">
      <c r="J257" s="148">
        <v>2.56</v>
      </c>
      <c r="K257" s="148">
        <v>3.8368E-3</v>
      </c>
    </row>
    <row r="258" spans="10:11" x14ac:dyDescent="0.25">
      <c r="J258" s="148">
        <v>2.57</v>
      </c>
      <c r="K258" s="148">
        <v>3.8249999999999998E-3</v>
      </c>
    </row>
    <row r="259" spans="10:11" x14ac:dyDescent="0.25">
      <c r="J259" s="148">
        <v>2.58</v>
      </c>
      <c r="K259" s="148">
        <v>3.8129000000000001E-3</v>
      </c>
    </row>
    <row r="260" spans="10:11" x14ac:dyDescent="0.25">
      <c r="J260" s="148">
        <v>2.59</v>
      </c>
      <c r="K260" s="148">
        <v>3.8003999999999998E-3</v>
      </c>
    </row>
    <row r="261" spans="10:11" x14ac:dyDescent="0.25">
      <c r="J261" s="148">
        <v>2.6</v>
      </c>
      <c r="K261" s="148">
        <v>3.7875000000000001E-3</v>
      </c>
    </row>
    <row r="262" spans="10:11" x14ac:dyDescent="0.25">
      <c r="J262" s="148">
        <v>2.61</v>
      </c>
      <c r="K262" s="148">
        <v>3.7743999999999998E-3</v>
      </c>
    </row>
    <row r="263" spans="10:11" x14ac:dyDescent="0.25">
      <c r="J263" s="148">
        <v>2.62</v>
      </c>
      <c r="K263" s="148">
        <v>3.7609000000000002E-3</v>
      </c>
    </row>
    <row r="264" spans="10:11" x14ac:dyDescent="0.25">
      <c r="J264" s="148">
        <v>2.63</v>
      </c>
      <c r="K264" s="148">
        <v>3.7472E-3</v>
      </c>
    </row>
    <row r="265" spans="10:11" x14ac:dyDescent="0.25">
      <c r="J265" s="148">
        <v>2.64</v>
      </c>
      <c r="K265" s="148">
        <v>3.7331E-3</v>
      </c>
    </row>
    <row r="266" spans="10:11" x14ac:dyDescent="0.25">
      <c r="J266" s="148">
        <v>2.65</v>
      </c>
      <c r="K266" s="148">
        <v>3.7188E-3</v>
      </c>
    </row>
    <row r="267" spans="10:11" x14ac:dyDescent="0.25">
      <c r="J267" s="148">
        <v>2.66</v>
      </c>
      <c r="K267" s="148">
        <v>3.7041999999999999E-3</v>
      </c>
    </row>
    <row r="268" spans="10:11" x14ac:dyDescent="0.25">
      <c r="J268" s="148">
        <v>2.67</v>
      </c>
      <c r="K268" s="148">
        <v>3.6893999999999998E-3</v>
      </c>
    </row>
    <row r="269" spans="10:11" x14ac:dyDescent="0.25">
      <c r="J269" s="148">
        <v>2.68</v>
      </c>
      <c r="K269" s="148">
        <v>3.6744E-3</v>
      </c>
    </row>
    <row r="270" spans="10:11" x14ac:dyDescent="0.25">
      <c r="J270" s="148">
        <v>2.69</v>
      </c>
      <c r="K270" s="148">
        <v>3.6591000000000002E-3</v>
      </c>
    </row>
    <row r="271" spans="10:11" x14ac:dyDescent="0.25">
      <c r="J271" s="148">
        <v>2.7</v>
      </c>
      <c r="K271" s="148">
        <v>3.6435E-3</v>
      </c>
    </row>
    <row r="272" spans="10:11" x14ac:dyDescent="0.25">
      <c r="J272" s="148">
        <v>2.71</v>
      </c>
      <c r="K272" s="148">
        <v>3.6278E-3</v>
      </c>
    </row>
    <row r="273" spans="10:11" x14ac:dyDescent="0.25">
      <c r="J273" s="148">
        <v>2.72</v>
      </c>
      <c r="K273" s="148">
        <v>3.6118999999999999E-3</v>
      </c>
    </row>
    <row r="274" spans="10:11" x14ac:dyDescent="0.25">
      <c r="J274" s="148">
        <v>2.73</v>
      </c>
      <c r="K274" s="148">
        <v>3.5958000000000001E-3</v>
      </c>
    </row>
    <row r="275" spans="10:11" x14ac:dyDescent="0.25">
      <c r="J275" s="148">
        <v>2.74</v>
      </c>
      <c r="K275" s="148">
        <v>3.5795000000000002E-3</v>
      </c>
    </row>
    <row r="276" spans="10:11" x14ac:dyDescent="0.25">
      <c r="J276" s="148">
        <v>2.75</v>
      </c>
      <c r="K276" s="148">
        <v>3.5630000000000002E-3</v>
      </c>
    </row>
    <row r="277" spans="10:11" x14ac:dyDescent="0.25">
      <c r="J277" s="148">
        <v>2.76</v>
      </c>
      <c r="K277" s="148">
        <v>3.5463999999999999E-3</v>
      </c>
    </row>
    <row r="278" spans="10:11" x14ac:dyDescent="0.25">
      <c r="J278" s="148">
        <v>2.77</v>
      </c>
      <c r="K278" s="148">
        <v>3.5295999999999999E-3</v>
      </c>
    </row>
    <row r="279" spans="10:11" x14ac:dyDescent="0.25">
      <c r="J279" s="148">
        <v>2.78</v>
      </c>
      <c r="K279" s="148">
        <v>3.5127000000000001E-3</v>
      </c>
    </row>
    <row r="280" spans="10:11" x14ac:dyDescent="0.25">
      <c r="J280" s="148">
        <v>2.79</v>
      </c>
      <c r="K280" s="148">
        <v>3.4957E-3</v>
      </c>
    </row>
    <row r="281" spans="10:11" x14ac:dyDescent="0.25">
      <c r="J281" s="148">
        <v>2.8</v>
      </c>
      <c r="K281" s="148">
        <v>3.4784999999999998E-3</v>
      </c>
    </row>
    <row r="282" spans="10:11" x14ac:dyDescent="0.25">
      <c r="J282" s="148">
        <v>2.81</v>
      </c>
      <c r="K282" s="148">
        <v>3.4612000000000002E-3</v>
      </c>
    </row>
    <row r="283" spans="10:11" x14ac:dyDescent="0.25">
      <c r="J283" s="148">
        <v>2.82</v>
      </c>
      <c r="K283" s="148">
        <v>3.4437999999999999E-3</v>
      </c>
    </row>
    <row r="284" spans="10:11" x14ac:dyDescent="0.25">
      <c r="J284" s="148">
        <v>2.83</v>
      </c>
      <c r="K284" s="148">
        <v>3.4261999999999999E-3</v>
      </c>
    </row>
    <row r="285" spans="10:11" x14ac:dyDescent="0.25">
      <c r="J285" s="148">
        <v>2.84</v>
      </c>
      <c r="K285" s="148">
        <v>3.4085999999999999E-3</v>
      </c>
    </row>
    <row r="286" spans="10:11" x14ac:dyDescent="0.25">
      <c r="J286" s="148">
        <v>2.85</v>
      </c>
      <c r="K286" s="148">
        <v>3.3909000000000001E-3</v>
      </c>
    </row>
    <row r="287" spans="10:11" x14ac:dyDescent="0.25">
      <c r="J287" s="148">
        <v>2.86</v>
      </c>
      <c r="K287" s="148">
        <v>3.3731E-3</v>
      </c>
    </row>
    <row r="288" spans="10:11" x14ac:dyDescent="0.25">
      <c r="J288" s="148">
        <v>2.87</v>
      </c>
      <c r="K288" s="148">
        <v>3.3552E-3</v>
      </c>
    </row>
    <row r="289" spans="10:11" x14ac:dyDescent="0.25">
      <c r="J289" s="148">
        <v>2.88</v>
      </c>
      <c r="K289" s="148">
        <v>3.3373000000000001E-3</v>
      </c>
    </row>
    <row r="290" spans="10:11" x14ac:dyDescent="0.25">
      <c r="J290" s="148">
        <v>2.89</v>
      </c>
      <c r="K290" s="148">
        <v>3.3192999999999999E-3</v>
      </c>
    </row>
    <row r="291" spans="10:11" x14ac:dyDescent="0.25">
      <c r="J291" s="148">
        <v>2.9</v>
      </c>
      <c r="K291" s="148">
        <v>3.3011999999999998E-3</v>
      </c>
    </row>
    <row r="292" spans="10:11" x14ac:dyDescent="0.25">
      <c r="J292" s="148">
        <v>2.91</v>
      </c>
      <c r="K292" s="148">
        <v>3.2831000000000002E-3</v>
      </c>
    </row>
    <row r="293" spans="10:11" x14ac:dyDescent="0.25">
      <c r="J293" s="148">
        <v>2.92</v>
      </c>
      <c r="K293" s="148">
        <v>3.2648999999999998E-3</v>
      </c>
    </row>
    <row r="294" spans="10:11" x14ac:dyDescent="0.25">
      <c r="J294" s="148">
        <v>2.93</v>
      </c>
      <c r="K294" s="148">
        <v>3.2466999999999999E-3</v>
      </c>
    </row>
    <row r="295" spans="10:11" x14ac:dyDescent="0.25">
      <c r="J295" s="148">
        <v>2.94</v>
      </c>
      <c r="K295" s="148">
        <v>3.2284000000000002E-3</v>
      </c>
    </row>
    <row r="296" spans="10:11" x14ac:dyDescent="0.25">
      <c r="J296" s="148">
        <v>2.95</v>
      </c>
      <c r="K296" s="148">
        <v>3.2101999999999999E-3</v>
      </c>
    </row>
    <row r="297" spans="10:11" x14ac:dyDescent="0.25">
      <c r="J297" s="148">
        <v>2.96</v>
      </c>
      <c r="K297" s="148">
        <v>3.1919000000000001E-3</v>
      </c>
    </row>
    <row r="298" spans="10:11" x14ac:dyDescent="0.25">
      <c r="J298" s="148">
        <v>2.97</v>
      </c>
      <c r="K298" s="148">
        <v>3.1735000000000001E-3</v>
      </c>
    </row>
    <row r="299" spans="10:11" x14ac:dyDescent="0.25">
      <c r="J299" s="148">
        <v>2.98</v>
      </c>
      <c r="K299" s="148">
        <v>3.1551999999999999E-3</v>
      </c>
    </row>
    <row r="300" spans="10:11" x14ac:dyDescent="0.25">
      <c r="J300" s="148">
        <v>2.99</v>
      </c>
      <c r="K300" s="148">
        <v>3.1367999999999999E-3</v>
      </c>
    </row>
    <row r="301" spans="10:11" x14ac:dyDescent="0.25">
      <c r="J301" s="148">
        <v>3</v>
      </c>
      <c r="K301" s="148">
        <v>3.1185000000000002E-3</v>
      </c>
    </row>
    <row r="302" spans="10:11" x14ac:dyDescent="0.25">
      <c r="J302" s="148">
        <v>3.01</v>
      </c>
      <c r="K302" s="148">
        <v>3.1001000000000002E-3</v>
      </c>
    </row>
    <row r="303" spans="10:11" x14ac:dyDescent="0.25">
      <c r="J303" s="148">
        <v>3.02</v>
      </c>
      <c r="K303" s="148">
        <v>3.0818E-3</v>
      </c>
    </row>
    <row r="304" spans="10:11" x14ac:dyDescent="0.25">
      <c r="J304" s="148">
        <v>3.03</v>
      </c>
      <c r="K304" s="148">
        <v>3.0634E-3</v>
      </c>
    </row>
    <row r="305" spans="10:11" x14ac:dyDescent="0.25">
      <c r="J305" s="148">
        <v>3.04</v>
      </c>
      <c r="K305" s="148">
        <v>3.0450999999999998E-3</v>
      </c>
    </row>
    <row r="306" spans="10:11" x14ac:dyDescent="0.25">
      <c r="J306" s="148">
        <v>3.05</v>
      </c>
      <c r="K306" s="148">
        <v>3.0266999999999998E-3</v>
      </c>
    </row>
    <row r="307" spans="10:11" x14ac:dyDescent="0.25">
      <c r="J307" s="148">
        <v>3.06</v>
      </c>
      <c r="K307" s="148">
        <v>3.0084E-3</v>
      </c>
    </row>
    <row r="308" spans="10:11" x14ac:dyDescent="0.25">
      <c r="J308" s="148">
        <v>3.07</v>
      </c>
      <c r="K308" s="148">
        <v>2.9900999999999999E-3</v>
      </c>
    </row>
    <row r="309" spans="10:11" x14ac:dyDescent="0.25">
      <c r="J309" s="148">
        <v>3.08</v>
      </c>
      <c r="K309" s="148">
        <v>2.9719E-3</v>
      </c>
    </row>
    <row r="310" spans="10:11" x14ac:dyDescent="0.25">
      <c r="J310" s="148">
        <v>3.09</v>
      </c>
      <c r="K310" s="148">
        <v>2.9535999999999998E-3</v>
      </c>
    </row>
    <row r="311" spans="10:11" x14ac:dyDescent="0.25">
      <c r="J311" s="148">
        <v>3.1</v>
      </c>
      <c r="K311" s="148">
        <v>2.9353999999999999E-3</v>
      </c>
    </row>
    <row r="312" spans="10:11" x14ac:dyDescent="0.25">
      <c r="J312" s="148">
        <v>3.11</v>
      </c>
      <c r="K312" s="148">
        <v>2.9172E-3</v>
      </c>
    </row>
    <row r="313" spans="10:11" x14ac:dyDescent="0.25">
      <c r="J313" s="148">
        <v>3.12</v>
      </c>
      <c r="K313" s="148">
        <v>2.8990999999999999E-3</v>
      </c>
    </row>
    <row r="314" spans="10:11" x14ac:dyDescent="0.25">
      <c r="J314" s="148">
        <v>3.13</v>
      </c>
      <c r="K314" s="148">
        <v>2.8809999999999999E-3</v>
      </c>
    </row>
    <row r="315" spans="10:11" x14ac:dyDescent="0.25">
      <c r="J315" s="148">
        <v>3.14</v>
      </c>
      <c r="K315" s="148">
        <v>2.8628999999999998E-3</v>
      </c>
    </row>
    <row r="316" spans="10:11" x14ac:dyDescent="0.25">
      <c r="J316" s="148">
        <v>3.15</v>
      </c>
      <c r="K316" s="148">
        <v>2.8449E-3</v>
      </c>
    </row>
    <row r="317" spans="10:11" x14ac:dyDescent="0.25">
      <c r="J317" s="148">
        <v>3.16</v>
      </c>
      <c r="K317" s="148">
        <v>2.8270000000000001E-3</v>
      </c>
    </row>
    <row r="318" spans="10:11" x14ac:dyDescent="0.25">
      <c r="J318" s="148">
        <v>3.17</v>
      </c>
      <c r="K318" s="148">
        <v>2.8091000000000001E-3</v>
      </c>
    </row>
    <row r="319" spans="10:11" x14ac:dyDescent="0.25">
      <c r="J319" s="148">
        <v>3.18</v>
      </c>
      <c r="K319" s="148">
        <v>2.7912000000000002E-3</v>
      </c>
    </row>
    <row r="320" spans="10:11" x14ac:dyDescent="0.25">
      <c r="J320" s="148">
        <v>3.19</v>
      </c>
      <c r="K320" s="148">
        <v>2.7734000000000001E-3</v>
      </c>
    </row>
    <row r="321" spans="10:11" x14ac:dyDescent="0.25">
      <c r="J321" s="148">
        <v>3.2</v>
      </c>
      <c r="K321" s="148">
        <v>2.7556E-3</v>
      </c>
    </row>
    <row r="322" spans="10:11" x14ac:dyDescent="0.25">
      <c r="J322" s="148">
        <v>3.21</v>
      </c>
      <c r="K322" s="148">
        <v>2.7379000000000001E-3</v>
      </c>
    </row>
    <row r="323" spans="10:11" x14ac:dyDescent="0.25">
      <c r="J323" s="148">
        <v>3.22</v>
      </c>
      <c r="K323" s="148">
        <v>2.7203000000000001E-3</v>
      </c>
    </row>
    <row r="324" spans="10:11" x14ac:dyDescent="0.25">
      <c r="J324" s="148">
        <v>3.23</v>
      </c>
      <c r="K324" s="148">
        <v>2.7028E-3</v>
      </c>
    </row>
    <row r="325" spans="10:11" x14ac:dyDescent="0.25">
      <c r="J325" s="148">
        <v>3.24</v>
      </c>
      <c r="K325" s="148">
        <v>2.6852999999999998E-3</v>
      </c>
    </row>
    <row r="326" spans="10:11" x14ac:dyDescent="0.25">
      <c r="J326" s="148">
        <v>3.25</v>
      </c>
      <c r="K326" s="148">
        <v>2.6678000000000001E-3</v>
      </c>
    </row>
    <row r="327" spans="10:11" x14ac:dyDescent="0.25">
      <c r="J327" s="148">
        <v>3.26</v>
      </c>
      <c r="K327" s="148">
        <v>2.6505000000000001E-3</v>
      </c>
    </row>
    <row r="328" spans="10:11" x14ac:dyDescent="0.25">
      <c r="J328" s="148">
        <v>3.27</v>
      </c>
      <c r="K328" s="148">
        <v>2.6332E-3</v>
      </c>
    </row>
    <row r="329" spans="10:11" x14ac:dyDescent="0.25">
      <c r="J329" s="148">
        <v>3.28</v>
      </c>
      <c r="K329" s="148">
        <v>2.6159E-3</v>
      </c>
    </row>
    <row r="330" spans="10:11" x14ac:dyDescent="0.25">
      <c r="J330" s="148">
        <v>3.29</v>
      </c>
      <c r="K330" s="148">
        <v>2.5988000000000001E-3</v>
      </c>
    </row>
    <row r="331" spans="10:11" x14ac:dyDescent="0.25">
      <c r="J331" s="148">
        <v>3.3</v>
      </c>
      <c r="K331" s="148">
        <v>2.5817000000000001E-3</v>
      </c>
    </row>
    <row r="332" spans="10:11" x14ac:dyDescent="0.25">
      <c r="J332" s="148">
        <v>3.31</v>
      </c>
      <c r="K332" s="148">
        <v>2.5647000000000001E-3</v>
      </c>
    </row>
    <row r="333" spans="10:11" x14ac:dyDescent="0.25">
      <c r="J333" s="148">
        <v>3.32</v>
      </c>
      <c r="K333" s="148">
        <v>2.5477999999999998E-3</v>
      </c>
    </row>
    <row r="334" spans="10:11" x14ac:dyDescent="0.25">
      <c r="J334" s="148">
        <v>3.33</v>
      </c>
      <c r="K334" s="148">
        <v>2.5309E-3</v>
      </c>
    </row>
    <row r="335" spans="10:11" x14ac:dyDescent="0.25">
      <c r="J335" s="148">
        <v>3.34</v>
      </c>
      <c r="K335" s="148">
        <v>2.5141999999999999E-3</v>
      </c>
    </row>
    <row r="336" spans="10:11" x14ac:dyDescent="0.25">
      <c r="J336" s="148">
        <v>3.35</v>
      </c>
      <c r="K336" s="148">
        <v>2.4975000000000002E-3</v>
      </c>
    </row>
    <row r="337" spans="10:11" x14ac:dyDescent="0.25">
      <c r="J337" s="148">
        <v>3.36</v>
      </c>
      <c r="K337" s="148">
        <v>2.4808999999999999E-3</v>
      </c>
    </row>
    <row r="338" spans="10:11" x14ac:dyDescent="0.25">
      <c r="J338" s="148">
        <v>3.37</v>
      </c>
      <c r="K338" s="148">
        <v>2.4643999999999998E-3</v>
      </c>
    </row>
    <row r="339" spans="10:11" x14ac:dyDescent="0.25">
      <c r="J339" s="148">
        <v>3.38</v>
      </c>
      <c r="K339" s="148">
        <v>2.4478999999999998E-3</v>
      </c>
    </row>
    <row r="340" spans="10:11" x14ac:dyDescent="0.25">
      <c r="J340" s="148">
        <v>3.39</v>
      </c>
      <c r="K340" s="148">
        <v>2.4315999999999999E-3</v>
      </c>
    </row>
    <row r="341" spans="10:11" x14ac:dyDescent="0.25">
      <c r="J341" s="148">
        <v>3.4</v>
      </c>
      <c r="K341" s="148">
        <v>2.4153E-3</v>
      </c>
    </row>
    <row r="342" spans="10:11" x14ac:dyDescent="0.25">
      <c r="J342" s="148">
        <v>3.41</v>
      </c>
      <c r="K342" s="148">
        <v>2.3990999999999999E-3</v>
      </c>
    </row>
    <row r="343" spans="10:11" x14ac:dyDescent="0.25">
      <c r="J343" s="148">
        <v>3.42</v>
      </c>
      <c r="K343" s="148">
        <v>2.3830000000000001E-3</v>
      </c>
    </row>
    <row r="344" spans="10:11" x14ac:dyDescent="0.25">
      <c r="J344" s="148">
        <v>3.43</v>
      </c>
      <c r="K344" s="148">
        <v>2.3670000000000002E-3</v>
      </c>
    </row>
    <row r="345" spans="10:11" x14ac:dyDescent="0.25">
      <c r="J345" s="148">
        <v>3.44</v>
      </c>
      <c r="K345" s="148">
        <v>2.3511000000000001E-3</v>
      </c>
    </row>
    <row r="346" spans="10:11" x14ac:dyDescent="0.25">
      <c r="J346" s="148">
        <v>3.45</v>
      </c>
      <c r="K346" s="148">
        <v>2.3352999999999998E-3</v>
      </c>
    </row>
    <row r="347" spans="10:11" x14ac:dyDescent="0.25">
      <c r="J347" s="148">
        <v>3.46</v>
      </c>
      <c r="K347" s="148">
        <v>2.3194999999999999E-3</v>
      </c>
    </row>
    <row r="348" spans="10:11" x14ac:dyDescent="0.25">
      <c r="J348" s="148">
        <v>3.47</v>
      </c>
      <c r="K348" s="148">
        <v>2.3038999999999998E-3</v>
      </c>
    </row>
    <row r="349" spans="10:11" x14ac:dyDescent="0.25">
      <c r="J349" s="148">
        <v>3.48</v>
      </c>
      <c r="K349" s="148">
        <v>2.2883000000000001E-3</v>
      </c>
    </row>
    <row r="350" spans="10:11" x14ac:dyDescent="0.25">
      <c r="J350" s="148">
        <v>3.49</v>
      </c>
      <c r="K350" s="148">
        <v>2.2728000000000002E-3</v>
      </c>
    </row>
    <row r="351" spans="10:11" x14ac:dyDescent="0.25">
      <c r="J351" s="148">
        <v>3.5</v>
      </c>
      <c r="K351" s="148">
        <v>2.2575E-3</v>
      </c>
    </row>
    <row r="352" spans="10:11" x14ac:dyDescent="0.25">
      <c r="J352" s="148">
        <v>3.51</v>
      </c>
      <c r="K352" s="148">
        <v>2.2422000000000002E-3</v>
      </c>
    </row>
    <row r="353" spans="10:11" x14ac:dyDescent="0.25">
      <c r="J353" s="148">
        <v>3.52</v>
      </c>
      <c r="K353" s="148">
        <v>2.2269999999999998E-3</v>
      </c>
    </row>
    <row r="354" spans="10:11" x14ac:dyDescent="0.25">
      <c r="J354" s="148">
        <v>3.53</v>
      </c>
      <c r="K354" s="148">
        <v>2.2119000000000002E-3</v>
      </c>
    </row>
    <row r="355" spans="10:11" x14ac:dyDescent="0.25">
      <c r="J355" s="148">
        <v>3.54</v>
      </c>
      <c r="K355" s="148">
        <v>2.1968000000000001E-3</v>
      </c>
    </row>
    <row r="356" spans="10:11" x14ac:dyDescent="0.25">
      <c r="J356" s="148">
        <v>3.55</v>
      </c>
      <c r="K356" s="148">
        <v>2.1819000000000001E-3</v>
      </c>
    </row>
    <row r="357" spans="10:11" x14ac:dyDescent="0.25">
      <c r="J357" s="148">
        <v>3.56</v>
      </c>
      <c r="K357" s="148">
        <v>2.1670999999999999E-3</v>
      </c>
    </row>
    <row r="358" spans="10:11" x14ac:dyDescent="0.25">
      <c r="J358" s="148">
        <v>3.57</v>
      </c>
      <c r="K358" s="148">
        <v>2.1522999999999998E-3</v>
      </c>
    </row>
    <row r="359" spans="10:11" x14ac:dyDescent="0.25">
      <c r="J359" s="148">
        <v>3.58</v>
      </c>
      <c r="K359" s="148">
        <v>2.1377000000000002E-3</v>
      </c>
    </row>
    <row r="360" spans="10:11" x14ac:dyDescent="0.25">
      <c r="J360" s="148">
        <v>3.59</v>
      </c>
      <c r="K360" s="148">
        <v>2.1231000000000002E-3</v>
      </c>
    </row>
    <row r="361" spans="10:11" x14ac:dyDescent="0.25">
      <c r="J361" s="148">
        <v>3.6</v>
      </c>
      <c r="K361" s="148">
        <v>2.1086999999999998E-3</v>
      </c>
    </row>
    <row r="362" spans="10:11" x14ac:dyDescent="0.25">
      <c r="J362" s="148">
        <v>3.61</v>
      </c>
      <c r="K362" s="148">
        <v>2.0942999999999999E-3</v>
      </c>
    </row>
    <row r="363" spans="10:11" x14ac:dyDescent="0.25">
      <c r="J363" s="148">
        <v>3.62</v>
      </c>
      <c r="K363" s="148">
        <v>2.0799999999999998E-3</v>
      </c>
    </row>
    <row r="364" spans="10:11" x14ac:dyDescent="0.25">
      <c r="J364" s="148">
        <v>3.63</v>
      </c>
      <c r="K364" s="148">
        <v>2.0658E-3</v>
      </c>
    </row>
    <row r="365" spans="10:11" x14ac:dyDescent="0.25">
      <c r="J365" s="148">
        <v>3.64</v>
      </c>
      <c r="K365" s="148">
        <v>2.0517000000000001E-3</v>
      </c>
    </row>
    <row r="366" spans="10:11" x14ac:dyDescent="0.25">
      <c r="J366" s="148">
        <v>3.65</v>
      </c>
      <c r="K366" s="148">
        <v>2.0376999999999999E-3</v>
      </c>
    </row>
    <row r="367" spans="10:11" x14ac:dyDescent="0.25">
      <c r="J367" s="148">
        <v>3.66</v>
      </c>
      <c r="K367" s="148">
        <v>2.0238000000000001E-3</v>
      </c>
    </row>
    <row r="368" spans="10:11" x14ac:dyDescent="0.25">
      <c r="J368" s="148">
        <v>3.67</v>
      </c>
      <c r="K368" s="148">
        <v>2.0100000000000001E-3</v>
      </c>
    </row>
    <row r="369" spans="10:11" x14ac:dyDescent="0.25">
      <c r="J369" s="148">
        <v>3.68</v>
      </c>
      <c r="K369" s="148">
        <v>1.9962999999999999E-3</v>
      </c>
    </row>
    <row r="370" spans="10:11" x14ac:dyDescent="0.25">
      <c r="J370" s="148">
        <v>3.69</v>
      </c>
      <c r="K370" s="148">
        <v>1.9827E-3</v>
      </c>
    </row>
    <row r="371" spans="10:11" x14ac:dyDescent="0.25">
      <c r="J371" s="148">
        <v>3.7</v>
      </c>
      <c r="K371" s="148">
        <v>1.9691000000000001E-3</v>
      </c>
    </row>
    <row r="372" spans="10:11" x14ac:dyDescent="0.25">
      <c r="J372" s="148">
        <v>3.71</v>
      </c>
      <c r="K372" s="148">
        <v>1.9556999999999999E-3</v>
      </c>
    </row>
    <row r="373" spans="10:11" x14ac:dyDescent="0.25">
      <c r="J373" s="148">
        <v>3.72</v>
      </c>
      <c r="K373" s="148">
        <v>1.9423000000000001E-3</v>
      </c>
    </row>
    <row r="374" spans="10:11" x14ac:dyDescent="0.25">
      <c r="J374" s="148">
        <v>3.73</v>
      </c>
      <c r="K374" s="148">
        <v>1.9291E-3</v>
      </c>
    </row>
    <row r="375" spans="10:11" x14ac:dyDescent="0.25">
      <c r="J375" s="148">
        <v>3.74</v>
      </c>
      <c r="K375" s="148">
        <v>1.9158999999999999E-3</v>
      </c>
    </row>
    <row r="376" spans="10:11" x14ac:dyDescent="0.25">
      <c r="J376" s="148">
        <v>3.75</v>
      </c>
      <c r="K376" s="148">
        <v>1.9028000000000001E-3</v>
      </c>
    </row>
    <row r="377" spans="10:11" x14ac:dyDescent="0.25">
      <c r="J377" s="148">
        <v>3.76</v>
      </c>
      <c r="K377" s="148">
        <v>1.8898000000000001E-3</v>
      </c>
    </row>
    <row r="378" spans="10:11" x14ac:dyDescent="0.25">
      <c r="J378" s="148">
        <v>3.77</v>
      </c>
      <c r="K378" s="148">
        <v>1.8768999999999999E-3</v>
      </c>
    </row>
    <row r="379" spans="10:11" x14ac:dyDescent="0.25">
      <c r="J379" s="148">
        <v>3.78</v>
      </c>
      <c r="K379" s="148">
        <v>1.8641E-3</v>
      </c>
    </row>
    <row r="380" spans="10:11" x14ac:dyDescent="0.25">
      <c r="J380" s="148">
        <v>3.79</v>
      </c>
      <c r="K380" s="148">
        <v>1.8514E-3</v>
      </c>
    </row>
    <row r="381" spans="10:11" x14ac:dyDescent="0.25">
      <c r="J381" s="148">
        <v>3.8</v>
      </c>
      <c r="K381" s="148">
        <v>1.8388E-3</v>
      </c>
    </row>
    <row r="382" spans="10:11" x14ac:dyDescent="0.25">
      <c r="J382" s="148">
        <v>3.81</v>
      </c>
      <c r="K382" s="148">
        <v>1.8263000000000001E-3</v>
      </c>
    </row>
    <row r="383" spans="10:11" x14ac:dyDescent="0.25">
      <c r="J383" s="148">
        <v>3.82</v>
      </c>
      <c r="K383" s="148">
        <v>1.8138E-3</v>
      </c>
    </row>
    <row r="384" spans="10:11" x14ac:dyDescent="0.25">
      <c r="J384" s="148">
        <v>3.83</v>
      </c>
      <c r="K384" s="148">
        <v>1.8014000000000001E-3</v>
      </c>
    </row>
    <row r="385" spans="10:11" x14ac:dyDescent="0.25">
      <c r="J385" s="148">
        <v>3.84</v>
      </c>
      <c r="K385" s="148">
        <v>1.7891999999999999E-3</v>
      </c>
    </row>
    <row r="386" spans="10:11" x14ac:dyDescent="0.25">
      <c r="J386" s="148">
        <v>3.85</v>
      </c>
      <c r="K386" s="148">
        <v>1.7769999999999999E-3</v>
      </c>
    </row>
    <row r="387" spans="10:11" x14ac:dyDescent="0.25">
      <c r="J387" s="148">
        <v>3.86</v>
      </c>
      <c r="K387" s="148">
        <v>1.7649E-3</v>
      </c>
    </row>
    <row r="388" spans="10:11" x14ac:dyDescent="0.25">
      <c r="J388" s="148">
        <v>3.87</v>
      </c>
      <c r="K388" s="148">
        <v>1.7528999999999999E-3</v>
      </c>
    </row>
    <row r="389" spans="10:11" x14ac:dyDescent="0.25">
      <c r="J389" s="148">
        <v>3.88</v>
      </c>
      <c r="K389" s="148">
        <v>1.7409999999999999E-3</v>
      </c>
    </row>
    <row r="390" spans="10:11" x14ac:dyDescent="0.25">
      <c r="J390" s="148">
        <v>3.89</v>
      </c>
      <c r="K390" s="148">
        <v>1.7290999999999999E-3</v>
      </c>
    </row>
    <row r="391" spans="10:11" x14ac:dyDescent="0.25">
      <c r="J391" s="148">
        <v>3.9</v>
      </c>
      <c r="K391" s="148">
        <v>1.7174E-3</v>
      </c>
    </row>
    <row r="392" spans="10:11" x14ac:dyDescent="0.25">
      <c r="J392" s="148">
        <v>3.91</v>
      </c>
      <c r="K392" s="148">
        <v>1.7057000000000001E-3</v>
      </c>
    </row>
    <row r="393" spans="10:11" x14ac:dyDescent="0.25">
      <c r="J393" s="148">
        <v>3.92</v>
      </c>
      <c r="K393" s="148">
        <v>1.6941E-3</v>
      </c>
    </row>
    <row r="394" spans="10:11" x14ac:dyDescent="0.25">
      <c r="J394" s="148">
        <v>3.93</v>
      </c>
      <c r="K394" s="148">
        <v>1.6826E-3</v>
      </c>
    </row>
    <row r="395" spans="10:11" x14ac:dyDescent="0.25">
      <c r="J395" s="148">
        <v>3.94</v>
      </c>
      <c r="K395" s="148">
        <v>1.6712000000000001E-3</v>
      </c>
    </row>
    <row r="396" spans="10:11" x14ac:dyDescent="0.25">
      <c r="J396" s="148">
        <v>3.95</v>
      </c>
      <c r="K396" s="148">
        <v>1.6599E-3</v>
      </c>
    </row>
    <row r="397" spans="10:11" x14ac:dyDescent="0.25">
      <c r="J397" s="148">
        <v>3.96</v>
      </c>
      <c r="K397" s="148">
        <v>1.6486999999999999E-3</v>
      </c>
    </row>
    <row r="398" spans="10:11" x14ac:dyDescent="0.25">
      <c r="J398" s="148">
        <v>3.97</v>
      </c>
      <c r="K398" s="148">
        <v>1.6375000000000001E-3</v>
      </c>
    </row>
    <row r="399" spans="10:11" x14ac:dyDescent="0.25">
      <c r="J399" s="148">
        <v>3.98</v>
      </c>
      <c r="K399" s="148">
        <v>1.6264000000000001E-3</v>
      </c>
    </row>
    <row r="400" spans="10:11" x14ac:dyDescent="0.25">
      <c r="J400" s="148">
        <v>3.99</v>
      </c>
      <c r="K400" s="148">
        <v>1.6153999999999999E-3</v>
      </c>
    </row>
    <row r="401" spans="10:11" x14ac:dyDescent="0.25">
      <c r="J401" s="148">
        <v>4</v>
      </c>
      <c r="K401" s="148">
        <v>1.6045E-3</v>
      </c>
    </row>
    <row r="402" spans="10:11" x14ac:dyDescent="0.25">
      <c r="J402" s="148">
        <v>4.01</v>
      </c>
      <c r="K402" s="148">
        <v>1.5937E-3</v>
      </c>
    </row>
    <row r="403" spans="10:11" x14ac:dyDescent="0.25">
      <c r="J403" s="148">
        <v>4.0199999999999996</v>
      </c>
      <c r="K403" s="148">
        <v>1.5828999999999999E-3</v>
      </c>
    </row>
    <row r="404" spans="10:11" x14ac:dyDescent="0.25">
      <c r="J404" s="148">
        <v>4.03</v>
      </c>
      <c r="K404" s="148">
        <v>1.5723E-3</v>
      </c>
    </row>
    <row r="405" spans="10:11" x14ac:dyDescent="0.25">
      <c r="J405" s="148">
        <v>4.04</v>
      </c>
      <c r="K405" s="148">
        <v>1.5617000000000001E-3</v>
      </c>
    </row>
    <row r="406" spans="10:11" x14ac:dyDescent="0.25">
      <c r="J406" s="148">
        <v>4.05</v>
      </c>
      <c r="K406" s="148">
        <v>1.5512E-3</v>
      </c>
    </row>
    <row r="407" spans="10:11" x14ac:dyDescent="0.25">
      <c r="J407" s="148">
        <v>4.0599999999999996</v>
      </c>
      <c r="K407" s="148">
        <v>1.5407000000000001E-3</v>
      </c>
    </row>
    <row r="408" spans="10:11" x14ac:dyDescent="0.25">
      <c r="J408" s="148">
        <v>4.07</v>
      </c>
      <c r="K408" s="148">
        <v>1.5303999999999999E-3</v>
      </c>
    </row>
    <row r="409" spans="10:11" x14ac:dyDescent="0.25">
      <c r="J409" s="148">
        <v>4.08</v>
      </c>
      <c r="K409" s="148">
        <v>1.5200999999999999E-3</v>
      </c>
    </row>
    <row r="410" spans="10:11" x14ac:dyDescent="0.25">
      <c r="J410" s="148">
        <v>4.09</v>
      </c>
      <c r="K410" s="148">
        <v>1.5099E-3</v>
      </c>
    </row>
    <row r="411" spans="10:11" x14ac:dyDescent="0.25">
      <c r="J411" s="148">
        <v>4.0999999999999996</v>
      </c>
      <c r="K411" s="148">
        <v>1.4997999999999999E-3</v>
      </c>
    </row>
    <row r="412" spans="10:11" x14ac:dyDescent="0.25">
      <c r="J412" s="148">
        <v>4.1100000000000003</v>
      </c>
      <c r="K412" s="148">
        <v>1.4897000000000001E-3</v>
      </c>
    </row>
    <row r="413" spans="10:11" x14ac:dyDescent="0.25">
      <c r="J413" s="148">
        <v>4.12</v>
      </c>
      <c r="K413" s="148">
        <v>1.4798000000000001E-3</v>
      </c>
    </row>
    <row r="414" spans="10:11" x14ac:dyDescent="0.25">
      <c r="J414" s="148">
        <v>4.13</v>
      </c>
      <c r="K414" s="148">
        <v>1.4698999999999999E-3</v>
      </c>
    </row>
    <row r="415" spans="10:11" x14ac:dyDescent="0.25">
      <c r="J415" s="148">
        <v>4.1399999999999997</v>
      </c>
      <c r="K415" s="148">
        <v>1.4601E-3</v>
      </c>
    </row>
    <row r="416" spans="10:11" x14ac:dyDescent="0.25">
      <c r="J416" s="148">
        <v>4.1500000000000004</v>
      </c>
      <c r="K416" s="148">
        <v>1.4503000000000001E-3</v>
      </c>
    </row>
    <row r="417" spans="10:11" x14ac:dyDescent="0.25">
      <c r="J417" s="148">
        <v>4.16</v>
      </c>
      <c r="K417" s="148">
        <v>1.4407000000000001E-3</v>
      </c>
    </row>
    <row r="418" spans="10:11" x14ac:dyDescent="0.25">
      <c r="J418" s="148">
        <v>4.17</v>
      </c>
      <c r="K418" s="148">
        <v>1.4311E-3</v>
      </c>
    </row>
    <row r="419" spans="10:11" x14ac:dyDescent="0.25">
      <c r="J419" s="148">
        <v>4.18</v>
      </c>
      <c r="K419" s="148">
        <v>1.4215E-3</v>
      </c>
    </row>
    <row r="420" spans="10:11" x14ac:dyDescent="0.25">
      <c r="J420" s="148">
        <v>4.1900000000000004</v>
      </c>
      <c r="K420" s="148">
        <v>1.4120999999999999E-3</v>
      </c>
    </row>
    <row r="421" spans="10:11" x14ac:dyDescent="0.25">
      <c r="J421" s="148">
        <v>4.2</v>
      </c>
      <c r="K421" s="148">
        <v>1.4027E-3</v>
      </c>
    </row>
    <row r="422" spans="10:11" x14ac:dyDescent="0.25">
      <c r="J422" s="148">
        <v>4.21</v>
      </c>
      <c r="K422" s="148">
        <v>1.3933999999999999E-3</v>
      </c>
    </row>
    <row r="423" spans="10:11" x14ac:dyDescent="0.25">
      <c r="J423" s="148">
        <v>4.22</v>
      </c>
      <c r="K423" s="148">
        <v>1.3841999999999999E-3</v>
      </c>
    </row>
    <row r="424" spans="10:11" x14ac:dyDescent="0.25">
      <c r="J424" s="148">
        <v>4.2300000000000004</v>
      </c>
      <c r="K424" s="148">
        <v>1.3749999999999999E-3</v>
      </c>
    </row>
    <row r="425" spans="10:11" x14ac:dyDescent="0.25">
      <c r="J425" s="148">
        <v>4.24</v>
      </c>
      <c r="K425" s="148">
        <v>1.3659E-3</v>
      </c>
    </row>
    <row r="426" spans="10:11" x14ac:dyDescent="0.25">
      <c r="J426" s="148">
        <v>4.25</v>
      </c>
      <c r="K426" s="148">
        <v>1.3569000000000001E-3</v>
      </c>
    </row>
    <row r="427" spans="10:11" x14ac:dyDescent="0.25">
      <c r="J427" s="148">
        <v>4.26</v>
      </c>
      <c r="K427" s="148">
        <v>1.3479E-3</v>
      </c>
    </row>
    <row r="428" spans="10:11" x14ac:dyDescent="0.25">
      <c r="J428" s="148">
        <v>4.2699999999999996</v>
      </c>
      <c r="K428" s="148">
        <v>1.3391E-3</v>
      </c>
    </row>
    <row r="429" spans="10:11" x14ac:dyDescent="0.25">
      <c r="J429" s="148">
        <v>4.28</v>
      </c>
      <c r="K429" s="148">
        <v>1.3301999999999999E-3</v>
      </c>
    </row>
    <row r="430" spans="10:11" x14ac:dyDescent="0.25">
      <c r="J430" s="148">
        <v>4.29</v>
      </c>
      <c r="K430" s="148">
        <v>1.3215E-3</v>
      </c>
    </row>
    <row r="431" spans="10:11" x14ac:dyDescent="0.25">
      <c r="J431" s="148">
        <v>4.3</v>
      </c>
      <c r="K431" s="148">
        <v>1.3128E-3</v>
      </c>
    </row>
    <row r="432" spans="10:11" x14ac:dyDescent="0.25">
      <c r="J432" s="148">
        <v>4.3099999999999996</v>
      </c>
      <c r="K432" s="148">
        <v>1.3041999999999999E-3</v>
      </c>
    </row>
    <row r="433" spans="10:11" x14ac:dyDescent="0.25">
      <c r="J433" s="148">
        <v>4.32</v>
      </c>
      <c r="K433" s="148">
        <v>1.2956000000000001E-3</v>
      </c>
    </row>
    <row r="434" spans="10:11" x14ac:dyDescent="0.25">
      <c r="J434" s="148">
        <v>4.33</v>
      </c>
      <c r="K434" s="148">
        <v>1.2872000000000001E-3</v>
      </c>
    </row>
    <row r="435" spans="10:11" x14ac:dyDescent="0.25">
      <c r="J435" s="148">
        <v>4.34</v>
      </c>
      <c r="K435" s="148">
        <v>1.2787E-3</v>
      </c>
    </row>
    <row r="436" spans="10:11" x14ac:dyDescent="0.25">
      <c r="J436" s="148">
        <v>4.3499999999999996</v>
      </c>
      <c r="K436" s="148">
        <v>1.2704000000000001E-3</v>
      </c>
    </row>
    <row r="437" spans="10:11" x14ac:dyDescent="0.25">
      <c r="J437" s="148">
        <v>4.3600000000000003</v>
      </c>
      <c r="K437" s="148">
        <v>1.2620999999999999E-3</v>
      </c>
    </row>
    <row r="438" spans="10:11" x14ac:dyDescent="0.25">
      <c r="J438" s="148">
        <v>4.37</v>
      </c>
      <c r="K438" s="148">
        <v>1.2539000000000001E-3</v>
      </c>
    </row>
    <row r="439" spans="10:11" x14ac:dyDescent="0.25">
      <c r="J439" s="148">
        <v>4.38</v>
      </c>
      <c r="K439" s="148">
        <v>1.2457E-3</v>
      </c>
    </row>
    <row r="440" spans="10:11" x14ac:dyDescent="0.25">
      <c r="J440" s="148">
        <v>4.3899999999999997</v>
      </c>
      <c r="K440" s="148">
        <v>1.2375999999999999E-3</v>
      </c>
    </row>
    <row r="441" spans="10:11" x14ac:dyDescent="0.25">
      <c r="J441" s="148">
        <v>4.4000000000000004</v>
      </c>
      <c r="K441" s="148">
        <v>1.2296E-3</v>
      </c>
    </row>
    <row r="442" spans="10:11" x14ac:dyDescent="0.25">
      <c r="J442" s="148">
        <v>4.41</v>
      </c>
      <c r="K442" s="148">
        <v>1.2216E-3</v>
      </c>
    </row>
    <row r="443" spans="10:11" x14ac:dyDescent="0.25">
      <c r="J443" s="148">
        <v>4.42</v>
      </c>
      <c r="K443" s="148">
        <v>1.2137000000000001E-3</v>
      </c>
    </row>
    <row r="444" spans="10:11" x14ac:dyDescent="0.25">
      <c r="J444" s="148">
        <v>4.43</v>
      </c>
      <c r="K444" s="148">
        <v>1.2057999999999999E-3</v>
      </c>
    </row>
    <row r="445" spans="10:11" x14ac:dyDescent="0.25">
      <c r="J445" s="148">
        <v>4.4400000000000004</v>
      </c>
      <c r="K445" s="148">
        <v>1.1980000000000001E-3</v>
      </c>
    </row>
    <row r="446" spans="10:11" x14ac:dyDescent="0.25">
      <c r="J446" s="148">
        <v>4.45</v>
      </c>
      <c r="K446" s="148">
        <v>1.1903E-3</v>
      </c>
    </row>
    <row r="447" spans="10:11" x14ac:dyDescent="0.25">
      <c r="J447" s="148">
        <v>4.46</v>
      </c>
      <c r="K447" s="148">
        <v>1.1826E-3</v>
      </c>
    </row>
    <row r="448" spans="10:11" x14ac:dyDescent="0.25">
      <c r="J448" s="148">
        <v>4.47</v>
      </c>
      <c r="K448" s="148">
        <v>1.175E-3</v>
      </c>
    </row>
    <row r="449" spans="10:11" x14ac:dyDescent="0.25">
      <c r="J449" s="148">
        <v>4.4800000000000004</v>
      </c>
      <c r="K449" s="148">
        <v>1.1674999999999999E-3</v>
      </c>
    </row>
    <row r="450" spans="10:11" x14ac:dyDescent="0.25">
      <c r="J450" s="148">
        <v>4.49</v>
      </c>
      <c r="K450" s="148">
        <v>1.16E-3</v>
      </c>
    </row>
    <row r="451" spans="10:11" x14ac:dyDescent="0.25">
      <c r="J451" s="148">
        <v>4.5</v>
      </c>
      <c r="K451" s="148">
        <v>1.1525000000000001E-3</v>
      </c>
    </row>
    <row r="452" spans="10:11" x14ac:dyDescent="0.25">
      <c r="J452" s="148">
        <v>4.51</v>
      </c>
      <c r="K452" s="148">
        <v>1.1451E-3</v>
      </c>
    </row>
    <row r="453" spans="10:11" x14ac:dyDescent="0.25">
      <c r="J453" s="148">
        <v>4.5199999999999996</v>
      </c>
      <c r="K453" s="148">
        <v>1.1378E-3</v>
      </c>
    </row>
    <row r="454" spans="10:11" x14ac:dyDescent="0.25">
      <c r="J454" s="148">
        <v>4.53</v>
      </c>
      <c r="K454" s="148">
        <v>1.1305E-3</v>
      </c>
    </row>
    <row r="455" spans="10:11" x14ac:dyDescent="0.25">
      <c r="J455" s="148">
        <v>4.54</v>
      </c>
      <c r="K455" s="148">
        <v>1.1233E-3</v>
      </c>
    </row>
    <row r="456" spans="10:11" x14ac:dyDescent="0.25">
      <c r="J456" s="148">
        <v>4.55</v>
      </c>
      <c r="K456" s="148">
        <v>1.1161999999999999E-3</v>
      </c>
    </row>
    <row r="457" spans="10:11" x14ac:dyDescent="0.25">
      <c r="J457" s="148">
        <v>4.5599999999999996</v>
      </c>
      <c r="K457" s="148">
        <v>1.1091E-3</v>
      </c>
    </row>
    <row r="458" spans="10:11" x14ac:dyDescent="0.25">
      <c r="J458" s="148">
        <v>4.57</v>
      </c>
      <c r="K458" s="148">
        <v>1.1019999999999999E-3</v>
      </c>
    </row>
    <row r="459" spans="10:11" x14ac:dyDescent="0.25">
      <c r="J459" s="148">
        <v>4.58</v>
      </c>
      <c r="K459" s="148">
        <v>1.0950000000000001E-3</v>
      </c>
    </row>
    <row r="460" spans="10:11" x14ac:dyDescent="0.25">
      <c r="J460" s="148">
        <v>4.59</v>
      </c>
      <c r="K460" s="148">
        <v>1.0881E-3</v>
      </c>
    </row>
    <row r="461" spans="10:11" x14ac:dyDescent="0.25">
      <c r="J461" s="148">
        <v>4.5999999999999996</v>
      </c>
      <c r="K461" s="148">
        <v>1.0812E-3</v>
      </c>
    </row>
    <row r="462" spans="10:11" x14ac:dyDescent="0.25">
      <c r="J462" s="148">
        <v>4.6100000000000003</v>
      </c>
      <c r="K462" s="148">
        <v>1.0744000000000001E-3</v>
      </c>
    </row>
    <row r="463" spans="10:11" x14ac:dyDescent="0.25">
      <c r="J463" s="148">
        <v>4.62</v>
      </c>
      <c r="K463" s="148">
        <v>1.0675999999999999E-3</v>
      </c>
    </row>
    <row r="464" spans="10:11" x14ac:dyDescent="0.25">
      <c r="J464" s="148">
        <v>4.63</v>
      </c>
      <c r="K464" s="148">
        <v>1.0609E-3</v>
      </c>
    </row>
    <row r="465" spans="10:11" x14ac:dyDescent="0.25">
      <c r="J465" s="148">
        <v>4.6399999999999997</v>
      </c>
      <c r="K465" s="148">
        <v>1.0541999999999999E-3</v>
      </c>
    </row>
    <row r="466" spans="10:11" x14ac:dyDescent="0.25">
      <c r="J466" s="148">
        <v>4.6500000000000004</v>
      </c>
      <c r="K466" s="148">
        <v>1.0476000000000001E-3</v>
      </c>
    </row>
    <row r="467" spans="10:11" x14ac:dyDescent="0.25">
      <c r="J467" s="148">
        <v>4.66</v>
      </c>
      <c r="K467" s="148">
        <v>1.041E-3</v>
      </c>
    </row>
    <row r="468" spans="10:11" x14ac:dyDescent="0.25">
      <c r="J468" s="148">
        <v>4.67</v>
      </c>
      <c r="K468" s="148">
        <v>1.0344E-3</v>
      </c>
    </row>
    <row r="469" spans="10:11" x14ac:dyDescent="0.25">
      <c r="J469" s="148">
        <v>4.68</v>
      </c>
      <c r="K469" s="148">
        <v>1.0280000000000001E-3</v>
      </c>
    </row>
    <row r="470" spans="10:11" x14ac:dyDescent="0.25">
      <c r="J470" s="148">
        <v>4.6900000000000004</v>
      </c>
      <c r="K470" s="148">
        <v>1.0215000000000001E-3</v>
      </c>
    </row>
    <row r="471" spans="10:11" x14ac:dyDescent="0.25">
      <c r="J471" s="148">
        <v>4.7</v>
      </c>
      <c r="K471" s="148">
        <v>1.0152E-3</v>
      </c>
    </row>
    <row r="472" spans="10:11" x14ac:dyDescent="0.25">
      <c r="J472" s="148">
        <v>4.71</v>
      </c>
      <c r="K472" s="148">
        <v>1.0088E-3</v>
      </c>
    </row>
    <row r="473" spans="10:11" x14ac:dyDescent="0.25">
      <c r="J473" s="148">
        <v>4.72</v>
      </c>
      <c r="K473" s="148">
        <v>1.0026E-3</v>
      </c>
    </row>
    <row r="474" spans="10:11" x14ac:dyDescent="0.25">
      <c r="J474" s="148">
        <v>4.7300000000000004</v>
      </c>
      <c r="K474" s="148">
        <v>9.9632999999999992E-4</v>
      </c>
    </row>
    <row r="475" spans="10:11" x14ac:dyDescent="0.25">
      <c r="J475" s="148">
        <v>4.74</v>
      </c>
      <c r="K475" s="148">
        <v>9.9014999999999997E-4</v>
      </c>
    </row>
    <row r="476" spans="10:11" x14ac:dyDescent="0.25">
      <c r="J476" s="148">
        <v>4.75</v>
      </c>
      <c r="K476" s="148">
        <v>9.8401000000000001E-4</v>
      </c>
    </row>
    <row r="477" spans="10:11" x14ac:dyDescent="0.25">
      <c r="J477" s="148">
        <v>4.76</v>
      </c>
      <c r="K477" s="148">
        <v>9.7791999999999996E-4</v>
      </c>
    </row>
    <row r="478" spans="10:11" x14ac:dyDescent="0.25">
      <c r="J478" s="148">
        <v>4.7699999999999996</v>
      </c>
      <c r="K478" s="148">
        <v>9.7187E-4</v>
      </c>
    </row>
    <row r="479" spans="10:11" x14ac:dyDescent="0.25">
      <c r="J479" s="148">
        <v>4.78</v>
      </c>
      <c r="K479" s="148">
        <v>9.6588000000000002E-4</v>
      </c>
    </row>
    <row r="480" spans="10:11" x14ac:dyDescent="0.25">
      <c r="J480" s="148">
        <v>4.79</v>
      </c>
      <c r="K480" s="148">
        <v>9.5991999999999996E-4</v>
      </c>
    </row>
    <row r="481" spans="10:11" x14ac:dyDescent="0.25">
      <c r="J481" s="148">
        <v>4.8</v>
      </c>
      <c r="K481" s="148">
        <v>9.5401999999999998E-4</v>
      </c>
    </row>
    <row r="482" spans="10:11" x14ac:dyDescent="0.25">
      <c r="J482" s="148">
        <v>4.8099999999999996</v>
      </c>
      <c r="K482" s="148">
        <v>9.4815000000000003E-4</v>
      </c>
    </row>
    <row r="483" spans="10:11" x14ac:dyDescent="0.25">
      <c r="J483" s="148">
        <v>4.82</v>
      </c>
      <c r="K483" s="148">
        <v>9.4233999999999995E-4</v>
      </c>
    </row>
    <row r="484" spans="10:11" x14ac:dyDescent="0.25">
      <c r="J484" s="148">
        <v>4.83</v>
      </c>
      <c r="K484" s="148">
        <v>9.3656000000000002E-4</v>
      </c>
    </row>
    <row r="485" spans="10:11" x14ac:dyDescent="0.25">
      <c r="J485" s="148">
        <v>4.84</v>
      </c>
      <c r="K485" s="148">
        <v>9.3083E-4</v>
      </c>
    </row>
    <row r="486" spans="10:11" x14ac:dyDescent="0.25">
      <c r="J486" s="148">
        <v>4.8499999999999996</v>
      </c>
      <c r="K486" s="148">
        <v>9.2515000000000002E-4</v>
      </c>
    </row>
    <row r="487" spans="10:11" x14ac:dyDescent="0.25">
      <c r="J487" s="148">
        <v>4.8600000000000003</v>
      </c>
      <c r="K487" s="148">
        <v>9.1949999999999996E-4</v>
      </c>
    </row>
    <row r="488" spans="10:11" x14ac:dyDescent="0.25">
      <c r="J488" s="148">
        <v>4.87</v>
      </c>
      <c r="K488" s="148">
        <v>9.1390000000000004E-4</v>
      </c>
    </row>
    <row r="489" spans="10:11" x14ac:dyDescent="0.25">
      <c r="J489" s="148">
        <v>4.88</v>
      </c>
      <c r="K489" s="148">
        <v>9.0835000000000004E-4</v>
      </c>
    </row>
    <row r="490" spans="10:11" x14ac:dyDescent="0.25">
      <c r="J490" s="148">
        <v>4.8899999999999997</v>
      </c>
      <c r="K490" s="148">
        <v>9.0282999999999997E-4</v>
      </c>
    </row>
    <row r="491" spans="10:11" x14ac:dyDescent="0.25">
      <c r="J491" s="148">
        <v>4.9000000000000004</v>
      </c>
      <c r="K491" s="148">
        <v>8.9736000000000004E-4</v>
      </c>
    </row>
    <row r="492" spans="10:11" x14ac:dyDescent="0.25">
      <c r="J492" s="148">
        <v>4.91</v>
      </c>
      <c r="K492" s="148">
        <v>8.9192000000000004E-4</v>
      </c>
    </row>
    <row r="493" spans="10:11" x14ac:dyDescent="0.25">
      <c r="J493" s="148">
        <v>4.92</v>
      </c>
      <c r="K493" s="148">
        <v>8.8652999999999996E-4</v>
      </c>
    </row>
    <row r="494" spans="10:11" x14ac:dyDescent="0.25">
      <c r="J494" s="148">
        <v>4.93</v>
      </c>
      <c r="K494" s="148">
        <v>8.8117999999999996E-4</v>
      </c>
    </row>
    <row r="495" spans="10:11" x14ac:dyDescent="0.25">
      <c r="J495" s="148">
        <v>4.9400000000000004</v>
      </c>
      <c r="K495" s="148">
        <v>8.7586999999999995E-4</v>
      </c>
    </row>
    <row r="496" spans="10:11" x14ac:dyDescent="0.25">
      <c r="J496" s="148">
        <v>4.95</v>
      </c>
      <c r="K496" s="148">
        <v>8.7060000000000002E-4</v>
      </c>
    </row>
    <row r="497" spans="10:11" x14ac:dyDescent="0.25">
      <c r="J497" s="148">
        <v>4.96</v>
      </c>
      <c r="K497" s="148">
        <v>8.6536000000000002E-4</v>
      </c>
    </row>
    <row r="498" spans="10:11" x14ac:dyDescent="0.25">
      <c r="J498" s="148">
        <v>4.97</v>
      </c>
      <c r="K498" s="148">
        <v>8.6017000000000005E-4</v>
      </c>
    </row>
    <row r="499" spans="10:11" x14ac:dyDescent="0.25">
      <c r="J499" s="148">
        <v>4.9800000000000004</v>
      </c>
      <c r="K499" s="148">
        <v>8.5501999999999996E-4</v>
      </c>
    </row>
    <row r="500" spans="10:11" x14ac:dyDescent="0.25">
      <c r="J500" s="148">
        <v>4.99</v>
      </c>
      <c r="K500" s="148">
        <v>8.499E-4</v>
      </c>
    </row>
    <row r="501" spans="10:11" x14ac:dyDescent="0.25">
      <c r="J501" s="148">
        <v>5</v>
      </c>
      <c r="K501" s="148">
        <v>8.4482999999999997E-4</v>
      </c>
    </row>
    <row r="502" spans="10:11" x14ac:dyDescent="0.25">
      <c r="J502" s="148">
        <v>5.01</v>
      </c>
      <c r="K502" s="148">
        <v>8.3978999999999998E-4</v>
      </c>
    </row>
    <row r="503" spans="10:11" x14ac:dyDescent="0.25">
      <c r="J503" s="148">
        <v>5.0199999999999996</v>
      </c>
      <c r="K503" s="148">
        <v>8.3478999999999997E-4</v>
      </c>
    </row>
    <row r="504" spans="10:11" x14ac:dyDescent="0.25">
      <c r="J504" s="148">
        <v>5.03</v>
      </c>
      <c r="K504" s="148">
        <v>8.2981999999999999E-4</v>
      </c>
    </row>
    <row r="505" spans="10:11" x14ac:dyDescent="0.25">
      <c r="J505" s="148">
        <v>5.04</v>
      </c>
      <c r="K505" s="148">
        <v>8.2490000000000005E-4</v>
      </c>
    </row>
    <row r="506" spans="10:11" x14ac:dyDescent="0.25">
      <c r="J506" s="148">
        <v>5.05</v>
      </c>
      <c r="K506" s="148">
        <v>8.2001000000000003E-4</v>
      </c>
    </row>
    <row r="507" spans="10:11" x14ac:dyDescent="0.25">
      <c r="J507" s="148">
        <v>5.0599999999999996</v>
      </c>
      <c r="K507" s="148">
        <v>8.1515999999999999E-4</v>
      </c>
    </row>
    <row r="508" spans="10:11" x14ac:dyDescent="0.25">
      <c r="J508" s="148">
        <v>5.07</v>
      </c>
      <c r="K508" s="148">
        <v>8.1034E-4</v>
      </c>
    </row>
    <row r="509" spans="10:11" x14ac:dyDescent="0.25">
      <c r="J509" s="148">
        <v>5.08</v>
      </c>
      <c r="K509" s="148">
        <v>8.0555999999999998E-4</v>
      </c>
    </row>
    <row r="510" spans="10:11" x14ac:dyDescent="0.25">
      <c r="J510" s="148">
        <v>5.09</v>
      </c>
      <c r="K510" s="148">
        <v>8.0081E-4</v>
      </c>
    </row>
    <row r="511" spans="10:11" x14ac:dyDescent="0.25">
      <c r="J511" s="148">
        <v>5.0999999999999996</v>
      </c>
      <c r="K511" s="148">
        <v>7.961E-4</v>
      </c>
    </row>
    <row r="512" spans="10:11" x14ac:dyDescent="0.25">
      <c r="J512" s="148">
        <v>5.1100000000000003</v>
      </c>
      <c r="K512" s="148">
        <v>7.9142999999999998E-4</v>
      </c>
    </row>
    <row r="513" spans="10:11" x14ac:dyDescent="0.25">
      <c r="J513" s="148">
        <v>5.12</v>
      </c>
      <c r="K513" s="148">
        <v>7.8678999999999999E-4</v>
      </c>
    </row>
    <row r="514" spans="10:11" x14ac:dyDescent="0.25">
      <c r="J514" s="148">
        <v>5.13</v>
      </c>
      <c r="K514" s="148">
        <v>7.8218000000000005E-4</v>
      </c>
    </row>
    <row r="515" spans="10:11" x14ac:dyDescent="0.25">
      <c r="J515" s="148">
        <v>5.14</v>
      </c>
      <c r="K515" s="148">
        <v>7.7760999999999998E-4</v>
      </c>
    </row>
    <row r="516" spans="10:11" x14ac:dyDescent="0.25">
      <c r="J516" s="148">
        <v>5.15</v>
      </c>
      <c r="K516" s="148">
        <v>7.7307000000000005E-4</v>
      </c>
    </row>
    <row r="517" spans="10:11" x14ac:dyDescent="0.25">
      <c r="J517" s="148">
        <v>5.16</v>
      </c>
      <c r="K517" s="148">
        <v>7.6855999999999995E-4</v>
      </c>
    </row>
    <row r="518" spans="10:11" x14ac:dyDescent="0.25">
      <c r="J518" s="148">
        <v>5.17</v>
      </c>
      <c r="K518" s="148">
        <v>7.6409000000000004E-4</v>
      </c>
    </row>
    <row r="519" spans="10:11" x14ac:dyDescent="0.25">
      <c r="J519" s="148">
        <v>5.18</v>
      </c>
      <c r="K519" s="148">
        <v>7.5964999999999995E-4</v>
      </c>
    </row>
    <row r="520" spans="10:11" x14ac:dyDescent="0.25">
      <c r="J520" s="148">
        <v>5.19</v>
      </c>
      <c r="K520" s="148">
        <v>7.5524999999999995E-4</v>
      </c>
    </row>
    <row r="521" spans="10:11" x14ac:dyDescent="0.25">
      <c r="J521" s="148">
        <v>5.2</v>
      </c>
      <c r="K521" s="148">
        <v>7.5087000000000005E-4</v>
      </c>
    </row>
    <row r="522" spans="10:11" x14ac:dyDescent="0.25">
      <c r="J522" s="148">
        <v>5.21</v>
      </c>
      <c r="K522" s="148">
        <v>7.4653000000000002E-4</v>
      </c>
    </row>
    <row r="523" spans="10:11" x14ac:dyDescent="0.25">
      <c r="J523" s="148">
        <v>5.22</v>
      </c>
      <c r="K523" s="148">
        <v>7.4222000000000003E-4</v>
      </c>
    </row>
    <row r="524" spans="10:11" x14ac:dyDescent="0.25">
      <c r="J524" s="148">
        <v>5.23</v>
      </c>
      <c r="K524" s="148">
        <v>7.3793999999999997E-4</v>
      </c>
    </row>
    <row r="525" spans="10:11" x14ac:dyDescent="0.25">
      <c r="J525" s="148">
        <v>5.24</v>
      </c>
      <c r="K525" s="148">
        <v>7.337E-4</v>
      </c>
    </row>
    <row r="526" spans="10:11" x14ac:dyDescent="0.25">
      <c r="J526" s="148">
        <v>5.25</v>
      </c>
      <c r="K526" s="148">
        <v>7.2948000000000002E-4</v>
      </c>
    </row>
    <row r="527" spans="10:11" x14ac:dyDescent="0.25">
      <c r="J527" s="148">
        <v>5.26</v>
      </c>
      <c r="K527" s="148">
        <v>7.2530000000000001E-4</v>
      </c>
    </row>
    <row r="528" spans="10:11" x14ac:dyDescent="0.25">
      <c r="J528" s="148">
        <v>5.27</v>
      </c>
      <c r="K528" s="148">
        <v>7.2114E-4</v>
      </c>
    </row>
    <row r="529" spans="10:11" x14ac:dyDescent="0.25">
      <c r="J529" s="148">
        <v>5.28</v>
      </c>
      <c r="K529" s="148">
        <v>7.1701999999999996E-4</v>
      </c>
    </row>
    <row r="530" spans="10:11" x14ac:dyDescent="0.25">
      <c r="J530" s="148">
        <v>5.29</v>
      </c>
      <c r="K530" s="148">
        <v>7.1292000000000003E-4</v>
      </c>
    </row>
    <row r="531" spans="10:11" x14ac:dyDescent="0.25">
      <c r="J531" s="148">
        <v>5.3</v>
      </c>
      <c r="K531" s="148">
        <v>7.0885999999999996E-4</v>
      </c>
    </row>
    <row r="532" spans="10:11" x14ac:dyDescent="0.25">
      <c r="J532" s="148">
        <v>5.31</v>
      </c>
      <c r="K532" s="148">
        <v>7.0481999999999999E-4</v>
      </c>
    </row>
    <row r="533" spans="10:11" x14ac:dyDescent="0.25">
      <c r="J533" s="148">
        <v>5.32</v>
      </c>
      <c r="K533" s="148">
        <v>7.0082E-4</v>
      </c>
    </row>
    <row r="534" spans="10:11" x14ac:dyDescent="0.25">
      <c r="J534" s="148">
        <v>5.33</v>
      </c>
      <c r="K534" s="148">
        <v>6.9684E-4</v>
      </c>
    </row>
    <row r="535" spans="10:11" x14ac:dyDescent="0.25">
      <c r="J535" s="148">
        <v>5.34</v>
      </c>
      <c r="K535" s="148">
        <v>6.9289000000000004E-4</v>
      </c>
    </row>
    <row r="536" spans="10:11" x14ac:dyDescent="0.25">
      <c r="J536" s="148">
        <v>5.35</v>
      </c>
      <c r="K536" s="148">
        <v>6.8897999999999995E-4</v>
      </c>
    </row>
    <row r="537" spans="10:11" x14ac:dyDescent="0.25">
      <c r="J537" s="148">
        <v>5.36</v>
      </c>
      <c r="K537" s="148">
        <v>6.8508000000000002E-4</v>
      </c>
    </row>
    <row r="538" spans="10:11" x14ac:dyDescent="0.25">
      <c r="J538" s="148">
        <v>5.37</v>
      </c>
      <c r="K538" s="148">
        <v>6.8121999999999996E-4</v>
      </c>
    </row>
    <row r="539" spans="10:11" x14ac:dyDescent="0.25">
      <c r="J539" s="148">
        <v>5.38</v>
      </c>
      <c r="K539" s="148">
        <v>6.7739000000000005E-4</v>
      </c>
    </row>
    <row r="540" spans="10:11" x14ac:dyDescent="0.25">
      <c r="J540" s="148">
        <v>5.39</v>
      </c>
      <c r="K540" s="148">
        <v>6.7358000000000001E-4</v>
      </c>
    </row>
    <row r="541" spans="10:11" x14ac:dyDescent="0.25">
      <c r="J541" s="148">
        <v>5.4</v>
      </c>
      <c r="K541" s="148">
        <v>6.6980000000000002E-4</v>
      </c>
    </row>
    <row r="542" spans="10:11" x14ac:dyDescent="0.25">
      <c r="J542" s="148">
        <v>5.41</v>
      </c>
      <c r="K542" s="148">
        <v>6.6604999999999995E-4</v>
      </c>
    </row>
    <row r="543" spans="10:11" x14ac:dyDescent="0.25">
      <c r="J543" s="148">
        <v>5.42</v>
      </c>
      <c r="K543" s="148">
        <v>6.6231999999999999E-4</v>
      </c>
    </row>
    <row r="544" spans="10:11" x14ac:dyDescent="0.25">
      <c r="J544" s="148">
        <v>5.43</v>
      </c>
      <c r="K544" s="148">
        <v>6.5861999999999995E-4</v>
      </c>
    </row>
    <row r="545" spans="10:11" x14ac:dyDescent="0.25">
      <c r="J545" s="148">
        <v>5.44</v>
      </c>
      <c r="K545" s="148">
        <v>6.5494999999999995E-4</v>
      </c>
    </row>
    <row r="546" spans="10:11" x14ac:dyDescent="0.25">
      <c r="J546" s="148">
        <v>5.45</v>
      </c>
      <c r="K546" s="148">
        <v>6.5131E-4</v>
      </c>
    </row>
    <row r="547" spans="10:11" x14ac:dyDescent="0.25">
      <c r="J547" s="148">
        <v>5.46</v>
      </c>
      <c r="K547" s="148">
        <v>6.4769000000000003E-4</v>
      </c>
    </row>
    <row r="548" spans="10:11" x14ac:dyDescent="0.25">
      <c r="J548" s="148">
        <v>5.47</v>
      </c>
      <c r="K548" s="148">
        <v>6.4409000000000005E-4</v>
      </c>
    </row>
    <row r="549" spans="10:11" x14ac:dyDescent="0.25">
      <c r="J549" s="148">
        <v>5.48</v>
      </c>
      <c r="K549" s="148">
        <v>6.4052E-4</v>
      </c>
    </row>
    <row r="550" spans="10:11" x14ac:dyDescent="0.25">
      <c r="J550" s="148">
        <v>5.49</v>
      </c>
      <c r="K550" s="148">
        <v>6.3697999999999999E-4</v>
      </c>
    </row>
    <row r="551" spans="10:11" x14ac:dyDescent="0.25">
      <c r="J551" s="148">
        <v>5.5</v>
      </c>
      <c r="K551" s="148">
        <v>6.3345999999999997E-4</v>
      </c>
    </row>
    <row r="552" spans="10:11" x14ac:dyDescent="0.25">
      <c r="J552" s="148">
        <v>5.51</v>
      </c>
      <c r="K552" s="148">
        <v>6.2996999999999999E-4</v>
      </c>
    </row>
    <row r="553" spans="10:11" x14ac:dyDescent="0.25">
      <c r="J553" s="148">
        <v>5.52</v>
      </c>
      <c r="K553" s="148">
        <v>6.265E-4</v>
      </c>
    </row>
    <row r="554" spans="10:11" x14ac:dyDescent="0.25">
      <c r="J554" s="148">
        <v>5.53</v>
      </c>
      <c r="K554" s="148">
        <v>6.2306000000000004E-4</v>
      </c>
    </row>
    <row r="555" spans="10:11" x14ac:dyDescent="0.25">
      <c r="J555" s="148">
        <v>5.54</v>
      </c>
      <c r="K555" s="148">
        <v>6.1963999999999997E-4</v>
      </c>
    </row>
    <row r="556" spans="10:11" x14ac:dyDescent="0.25">
      <c r="J556" s="148">
        <v>5.55</v>
      </c>
      <c r="K556" s="148">
        <v>6.1625000000000004E-4</v>
      </c>
    </row>
    <row r="557" spans="10:11" x14ac:dyDescent="0.25">
      <c r="J557" s="148">
        <v>5.56</v>
      </c>
      <c r="K557" s="148">
        <v>6.1288E-4</v>
      </c>
    </row>
    <row r="558" spans="10:11" x14ac:dyDescent="0.25">
      <c r="J558" s="148">
        <v>5.57</v>
      </c>
      <c r="K558" s="148">
        <v>6.0952999999999995E-4</v>
      </c>
    </row>
    <row r="559" spans="10:11" x14ac:dyDescent="0.25">
      <c r="J559" s="148">
        <v>5.58</v>
      </c>
      <c r="K559" s="148">
        <v>6.0619999999999999E-4</v>
      </c>
    </row>
    <row r="560" spans="10:11" x14ac:dyDescent="0.25">
      <c r="J560" s="148">
        <v>5.59</v>
      </c>
      <c r="K560" s="148">
        <v>6.0289999999999996E-4</v>
      </c>
    </row>
    <row r="561" spans="10:11" x14ac:dyDescent="0.25">
      <c r="J561" s="148">
        <v>5.6</v>
      </c>
      <c r="K561" s="148">
        <v>5.9962999999999998E-4</v>
      </c>
    </row>
    <row r="562" spans="10:11" x14ac:dyDescent="0.25">
      <c r="J562" s="148">
        <v>5.61</v>
      </c>
      <c r="K562" s="148">
        <v>5.9637000000000004E-4</v>
      </c>
    </row>
    <row r="563" spans="10:11" x14ac:dyDescent="0.25">
      <c r="J563" s="148">
        <v>5.62</v>
      </c>
      <c r="K563" s="148">
        <v>5.9314000000000003E-4</v>
      </c>
    </row>
    <row r="564" spans="10:11" x14ac:dyDescent="0.25">
      <c r="J564" s="148">
        <v>5.63</v>
      </c>
      <c r="K564" s="148">
        <v>5.8993999999999995E-4</v>
      </c>
    </row>
    <row r="565" spans="10:11" x14ac:dyDescent="0.25">
      <c r="J565" s="148">
        <v>5.64</v>
      </c>
      <c r="K565" s="148">
        <v>5.8675000000000003E-4</v>
      </c>
    </row>
    <row r="566" spans="10:11" x14ac:dyDescent="0.25">
      <c r="J566" s="148">
        <v>5.65</v>
      </c>
      <c r="K566" s="148">
        <v>5.8359000000000004E-4</v>
      </c>
    </row>
    <row r="567" spans="10:11" x14ac:dyDescent="0.25">
      <c r="J567" s="148">
        <v>5.66</v>
      </c>
      <c r="K567" s="148">
        <v>5.8045000000000004E-4</v>
      </c>
    </row>
    <row r="568" spans="10:11" x14ac:dyDescent="0.25">
      <c r="J568" s="148">
        <v>5.67</v>
      </c>
      <c r="K568" s="148">
        <v>5.7733000000000003E-4</v>
      </c>
    </row>
    <row r="569" spans="10:11" x14ac:dyDescent="0.25">
      <c r="J569" s="148">
        <v>5.68</v>
      </c>
      <c r="K569" s="148">
        <v>5.7423000000000001E-4</v>
      </c>
    </row>
    <row r="570" spans="10:11" x14ac:dyDescent="0.25">
      <c r="J570" s="148">
        <v>5.69</v>
      </c>
      <c r="K570" s="148">
        <v>5.7114999999999998E-4</v>
      </c>
    </row>
    <row r="571" spans="10:11" x14ac:dyDescent="0.25">
      <c r="J571" s="148">
        <v>5.7</v>
      </c>
      <c r="K571" s="148">
        <v>5.6809999999999999E-4</v>
      </c>
    </row>
    <row r="572" spans="10:11" x14ac:dyDescent="0.25">
      <c r="J572" s="148">
        <v>5.71</v>
      </c>
      <c r="K572" s="148">
        <v>5.6506000000000004E-4</v>
      </c>
    </row>
    <row r="573" spans="10:11" x14ac:dyDescent="0.25">
      <c r="J573" s="148">
        <v>5.72</v>
      </c>
      <c r="K573" s="148">
        <v>5.6205000000000003E-4</v>
      </c>
    </row>
    <row r="574" spans="10:11" x14ac:dyDescent="0.25">
      <c r="J574" s="148">
        <v>5.73</v>
      </c>
      <c r="K574" s="148">
        <v>5.5906E-4</v>
      </c>
    </row>
    <row r="575" spans="10:11" x14ac:dyDescent="0.25">
      <c r="J575" s="148">
        <v>5.74</v>
      </c>
      <c r="K575" s="148">
        <v>5.5608999999999997E-4</v>
      </c>
    </row>
    <row r="576" spans="10:11" x14ac:dyDescent="0.25">
      <c r="J576" s="148">
        <v>5.75</v>
      </c>
      <c r="K576" s="148">
        <v>5.5314000000000003E-4</v>
      </c>
    </row>
    <row r="577" spans="10:11" x14ac:dyDescent="0.25">
      <c r="J577" s="148">
        <v>5.76</v>
      </c>
      <c r="K577" s="148">
        <v>5.5020999999999998E-4</v>
      </c>
    </row>
    <row r="578" spans="10:11" x14ac:dyDescent="0.25">
      <c r="J578" s="148">
        <v>5.77</v>
      </c>
      <c r="K578" s="148">
        <v>5.4730000000000002E-4</v>
      </c>
    </row>
    <row r="579" spans="10:11" x14ac:dyDescent="0.25">
      <c r="J579" s="148">
        <v>5.78</v>
      </c>
      <c r="K579" s="148">
        <v>5.4440999999999995E-4</v>
      </c>
    </row>
    <row r="580" spans="10:11" x14ac:dyDescent="0.25">
      <c r="J580" s="148">
        <v>5.79</v>
      </c>
      <c r="K580" s="148">
        <v>5.4153999999999997E-4</v>
      </c>
    </row>
    <row r="581" spans="10:11" x14ac:dyDescent="0.25">
      <c r="J581" s="148">
        <v>5.8</v>
      </c>
      <c r="K581" s="148">
        <v>5.3868999999999998E-4</v>
      </c>
    </row>
    <row r="582" spans="10:11" x14ac:dyDescent="0.25">
      <c r="J582" s="148">
        <v>5.81</v>
      </c>
      <c r="K582" s="148">
        <v>5.3585999999999998E-4</v>
      </c>
    </row>
    <row r="583" spans="10:11" x14ac:dyDescent="0.25">
      <c r="J583" s="148">
        <v>5.82</v>
      </c>
      <c r="K583" s="148">
        <v>5.3304999999999997E-4</v>
      </c>
    </row>
    <row r="584" spans="10:11" x14ac:dyDescent="0.25">
      <c r="J584" s="148">
        <v>5.83</v>
      </c>
      <c r="K584" s="148">
        <v>5.3025000000000001E-4</v>
      </c>
    </row>
    <row r="585" spans="10:11" x14ac:dyDescent="0.25">
      <c r="J585" s="148">
        <v>5.84</v>
      </c>
      <c r="K585" s="148">
        <v>5.2747999999999998E-4</v>
      </c>
    </row>
    <row r="586" spans="10:11" x14ac:dyDescent="0.25">
      <c r="J586" s="148">
        <v>5.85</v>
      </c>
      <c r="K586" s="148">
        <v>5.2473000000000005E-4</v>
      </c>
    </row>
    <row r="587" spans="10:11" x14ac:dyDescent="0.25">
      <c r="J587" s="148">
        <v>5.86</v>
      </c>
      <c r="K587" s="148">
        <v>5.2198999999999995E-4</v>
      </c>
    </row>
    <row r="588" spans="10:11" x14ac:dyDescent="0.25">
      <c r="J588" s="148">
        <v>5.87</v>
      </c>
      <c r="K588" s="148">
        <v>5.1926999999999995E-4</v>
      </c>
    </row>
    <row r="589" spans="10:11" x14ac:dyDescent="0.25">
      <c r="J589" s="148">
        <v>5.88</v>
      </c>
      <c r="K589" s="148">
        <v>5.1657999999999999E-4</v>
      </c>
    </row>
    <row r="590" spans="10:11" x14ac:dyDescent="0.25">
      <c r="J590" s="148">
        <v>5.89</v>
      </c>
      <c r="K590" s="148">
        <v>5.1389999999999997E-4</v>
      </c>
    </row>
    <row r="591" spans="10:11" x14ac:dyDescent="0.25">
      <c r="J591" s="148">
        <v>5.9</v>
      </c>
      <c r="K591" s="148">
        <v>5.1124000000000005E-4</v>
      </c>
    </row>
    <row r="592" spans="10:11" x14ac:dyDescent="0.25">
      <c r="J592" s="148">
        <v>5.91</v>
      </c>
      <c r="K592" s="148">
        <v>5.0858999999999995E-4</v>
      </c>
    </row>
    <row r="593" spans="10:11" x14ac:dyDescent="0.25">
      <c r="J593" s="148">
        <v>5.92</v>
      </c>
      <c r="K593" s="148">
        <v>5.0597000000000001E-4</v>
      </c>
    </row>
    <row r="594" spans="10:11" x14ac:dyDescent="0.25">
      <c r="J594" s="148">
        <v>5.93</v>
      </c>
      <c r="K594" s="148">
        <v>5.0336000000000001E-4</v>
      </c>
    </row>
    <row r="595" spans="10:11" x14ac:dyDescent="0.25">
      <c r="J595" s="148">
        <v>5.94</v>
      </c>
      <c r="K595" s="148">
        <v>5.0076999999999999E-4</v>
      </c>
    </row>
    <row r="596" spans="10:11" x14ac:dyDescent="0.25">
      <c r="J596" s="148">
        <v>5.95</v>
      </c>
      <c r="K596" s="148">
        <v>4.9819000000000003E-4</v>
      </c>
    </row>
    <row r="597" spans="10:11" x14ac:dyDescent="0.25">
      <c r="J597" s="148">
        <v>5.96</v>
      </c>
      <c r="K597" s="148">
        <v>4.9563999999999999E-4</v>
      </c>
    </row>
    <row r="598" spans="10:11" x14ac:dyDescent="0.25">
      <c r="J598" s="148">
        <v>5.97</v>
      </c>
      <c r="K598" s="148">
        <v>4.9310000000000001E-4</v>
      </c>
    </row>
    <row r="599" spans="10:11" x14ac:dyDescent="0.25">
      <c r="J599" s="148">
        <v>5.98</v>
      </c>
      <c r="K599" s="148">
        <v>4.9058000000000001E-4</v>
      </c>
    </row>
    <row r="600" spans="10:11" x14ac:dyDescent="0.25">
      <c r="J600" s="148">
        <v>5.99</v>
      </c>
      <c r="K600" s="148">
        <v>4.8807000000000001E-4</v>
      </c>
    </row>
    <row r="601" spans="10:11" x14ac:dyDescent="0.25">
      <c r="J601" s="148">
        <v>6</v>
      </c>
      <c r="K601" s="148">
        <v>4.8558999999999999E-4</v>
      </c>
    </row>
    <row r="602" spans="10:11" x14ac:dyDescent="0.25">
      <c r="J602" s="148">
        <v>6.01</v>
      </c>
      <c r="K602" s="148">
        <v>4.8310999999999997E-4</v>
      </c>
    </row>
    <row r="603" spans="10:11" x14ac:dyDescent="0.25">
      <c r="J603" s="148">
        <v>6.02</v>
      </c>
      <c r="K603" s="148">
        <v>4.8066E-4</v>
      </c>
    </row>
    <row r="604" spans="10:11" x14ac:dyDescent="0.25">
      <c r="J604" s="148">
        <v>6.03</v>
      </c>
      <c r="K604" s="148">
        <v>4.7822000000000001E-4</v>
      </c>
    </row>
    <row r="605" spans="10:11" x14ac:dyDescent="0.25">
      <c r="J605" s="148">
        <v>6.04</v>
      </c>
      <c r="K605" s="148">
        <v>4.7580000000000002E-4</v>
      </c>
    </row>
    <row r="606" spans="10:11" x14ac:dyDescent="0.25">
      <c r="J606" s="148">
        <v>6.05</v>
      </c>
      <c r="K606" s="148">
        <v>4.7339000000000002E-4</v>
      </c>
    </row>
    <row r="607" spans="10:11" x14ac:dyDescent="0.25">
      <c r="J607" s="148">
        <v>6.06</v>
      </c>
      <c r="K607" s="148">
        <v>4.7100000000000001E-4</v>
      </c>
    </row>
    <row r="608" spans="10:11" x14ac:dyDescent="0.25">
      <c r="J608" s="148">
        <v>6.07</v>
      </c>
      <c r="K608" s="148">
        <v>4.6862999999999999E-4</v>
      </c>
    </row>
    <row r="609" spans="10:11" x14ac:dyDescent="0.25">
      <c r="J609" s="148">
        <v>6.08</v>
      </c>
      <c r="K609" s="148">
        <v>4.6627000000000002E-4</v>
      </c>
    </row>
    <row r="610" spans="10:11" x14ac:dyDescent="0.25">
      <c r="J610" s="148">
        <v>6.09</v>
      </c>
      <c r="K610" s="148">
        <v>4.6392999999999998E-4</v>
      </c>
    </row>
    <row r="611" spans="10:11" x14ac:dyDescent="0.25">
      <c r="J611" s="148">
        <v>6.1</v>
      </c>
      <c r="K611" s="148">
        <v>4.616E-4</v>
      </c>
    </row>
    <row r="612" spans="10:11" x14ac:dyDescent="0.25">
      <c r="J612" s="148">
        <v>6.11</v>
      </c>
      <c r="K612" s="148">
        <v>4.5929E-4</v>
      </c>
    </row>
    <row r="613" spans="10:11" x14ac:dyDescent="0.25">
      <c r="J613" s="148">
        <v>6.12</v>
      </c>
      <c r="K613" s="148">
        <v>4.5699E-4</v>
      </c>
    </row>
    <row r="614" spans="10:11" x14ac:dyDescent="0.25">
      <c r="J614" s="148">
        <v>6.13</v>
      </c>
      <c r="K614" s="148">
        <v>4.5470999999999999E-4</v>
      </c>
    </row>
    <row r="615" spans="10:11" x14ac:dyDescent="0.25">
      <c r="J615" s="148">
        <v>6.14</v>
      </c>
      <c r="K615" s="148">
        <v>4.5244000000000003E-4</v>
      </c>
    </row>
    <row r="616" spans="10:11" x14ac:dyDescent="0.25">
      <c r="J616" s="148">
        <v>6.15</v>
      </c>
      <c r="K616" s="148">
        <v>4.5019E-4</v>
      </c>
    </row>
    <row r="617" spans="10:11" x14ac:dyDescent="0.25">
      <c r="J617" s="148">
        <v>6.16</v>
      </c>
      <c r="K617" s="148">
        <v>4.4796000000000001E-4</v>
      </c>
    </row>
    <row r="618" spans="10:11" x14ac:dyDescent="0.25">
      <c r="J618" s="148">
        <v>6.17</v>
      </c>
      <c r="K618" s="148">
        <v>4.4572999999999998E-4</v>
      </c>
    </row>
    <row r="619" spans="10:11" x14ac:dyDescent="0.25">
      <c r="J619" s="148">
        <v>6.18</v>
      </c>
      <c r="K619" s="148">
        <v>4.4352999999999998E-4</v>
      </c>
    </row>
    <row r="620" spans="10:11" x14ac:dyDescent="0.25">
      <c r="J620" s="148">
        <v>6.19</v>
      </c>
      <c r="K620" s="148">
        <v>4.4132999999999998E-4</v>
      </c>
    </row>
    <row r="621" spans="10:11" x14ac:dyDescent="0.25">
      <c r="J621" s="148">
        <v>6.2</v>
      </c>
      <c r="K621" s="148">
        <v>4.3915000000000002E-4</v>
      </c>
    </row>
    <row r="622" spans="10:11" x14ac:dyDescent="0.25">
      <c r="J622" s="148">
        <v>6.21</v>
      </c>
      <c r="K622" s="148">
        <v>4.3699E-4</v>
      </c>
    </row>
    <row r="623" spans="10:11" x14ac:dyDescent="0.25">
      <c r="J623" s="148">
        <v>6.22</v>
      </c>
      <c r="K623" s="148">
        <v>4.3483999999999998E-4</v>
      </c>
    </row>
    <row r="624" spans="10:11" x14ac:dyDescent="0.25">
      <c r="J624" s="148">
        <v>6.23</v>
      </c>
      <c r="K624" s="148">
        <v>4.327E-4</v>
      </c>
    </row>
    <row r="625" spans="10:11" x14ac:dyDescent="0.25">
      <c r="J625" s="148">
        <v>6.24</v>
      </c>
      <c r="K625" s="148">
        <v>4.3058000000000001E-4</v>
      </c>
    </row>
    <row r="626" spans="10:11" x14ac:dyDescent="0.25">
      <c r="J626" s="148">
        <v>6.25</v>
      </c>
      <c r="K626" s="148">
        <v>4.2847000000000002E-4</v>
      </c>
    </row>
    <row r="627" spans="10:11" x14ac:dyDescent="0.25">
      <c r="J627" s="148">
        <v>6.26</v>
      </c>
      <c r="K627" s="148">
        <v>4.2637000000000003E-4</v>
      </c>
    </row>
    <row r="628" spans="10:11" x14ac:dyDescent="0.25">
      <c r="J628" s="148">
        <v>6.27</v>
      </c>
      <c r="K628" s="148">
        <v>4.2429000000000002E-4</v>
      </c>
    </row>
    <row r="629" spans="10:11" x14ac:dyDescent="0.25">
      <c r="J629" s="148">
        <v>6.28</v>
      </c>
      <c r="K629" s="148">
        <v>4.2222000000000001E-4</v>
      </c>
    </row>
    <row r="630" spans="10:11" x14ac:dyDescent="0.25">
      <c r="J630" s="148">
        <v>6.29</v>
      </c>
      <c r="K630" s="148">
        <v>4.2016999999999998E-4</v>
      </c>
    </row>
    <row r="631" spans="10:11" x14ac:dyDescent="0.25">
      <c r="J631" s="148">
        <v>6.3</v>
      </c>
      <c r="K631" s="148">
        <v>4.1813000000000001E-4</v>
      </c>
    </row>
    <row r="632" spans="10:11" x14ac:dyDescent="0.25">
      <c r="J632" s="148">
        <v>6.31</v>
      </c>
      <c r="K632" s="148">
        <v>4.1609999999999998E-4</v>
      </c>
    </row>
    <row r="633" spans="10:11" x14ac:dyDescent="0.25">
      <c r="J633" s="148">
        <v>6.32</v>
      </c>
      <c r="K633" s="148">
        <v>4.1407999999999999E-4</v>
      </c>
    </row>
    <row r="634" spans="10:11" x14ac:dyDescent="0.25">
      <c r="J634" s="148">
        <v>6.33</v>
      </c>
      <c r="K634" s="148">
        <v>4.1208E-4</v>
      </c>
    </row>
    <row r="635" spans="10:11" x14ac:dyDescent="0.25">
      <c r="J635" s="148">
        <v>6.34</v>
      </c>
      <c r="K635" s="148">
        <v>4.1009E-4</v>
      </c>
    </row>
    <row r="636" spans="10:11" x14ac:dyDescent="0.25">
      <c r="J636" s="148">
        <v>6.35</v>
      </c>
      <c r="K636" s="148">
        <v>4.0810999999999999E-4</v>
      </c>
    </row>
    <row r="637" spans="10:11" x14ac:dyDescent="0.25">
      <c r="J637" s="148">
        <v>6.36</v>
      </c>
      <c r="K637" s="148">
        <v>4.0614999999999998E-4</v>
      </c>
    </row>
    <row r="638" spans="10:11" x14ac:dyDescent="0.25">
      <c r="J638" s="148">
        <v>6.37</v>
      </c>
      <c r="K638" s="148">
        <v>4.0420000000000001E-4</v>
      </c>
    </row>
    <row r="639" spans="10:11" x14ac:dyDescent="0.25">
      <c r="J639" s="148">
        <v>6.38</v>
      </c>
      <c r="K639" s="148">
        <v>4.0225999999999999E-4</v>
      </c>
    </row>
    <row r="640" spans="10:11" x14ac:dyDescent="0.25">
      <c r="J640" s="148">
        <v>6.39</v>
      </c>
      <c r="K640" s="148">
        <v>4.0033000000000001E-4</v>
      </c>
    </row>
    <row r="641" spans="10:11" x14ac:dyDescent="0.25">
      <c r="J641" s="148">
        <v>6.4</v>
      </c>
      <c r="K641" s="148">
        <v>3.9840999999999998E-4</v>
      </c>
    </row>
    <row r="642" spans="10:11" x14ac:dyDescent="0.25">
      <c r="J642" s="148">
        <v>6.41</v>
      </c>
      <c r="K642" s="148">
        <v>3.9650999999999998E-4</v>
      </c>
    </row>
    <row r="643" spans="10:11" x14ac:dyDescent="0.25">
      <c r="J643" s="148">
        <v>6.42</v>
      </c>
      <c r="K643" s="148">
        <v>3.9461999999999999E-4</v>
      </c>
    </row>
    <row r="644" spans="10:11" x14ac:dyDescent="0.25">
      <c r="J644" s="148">
        <v>6.43</v>
      </c>
      <c r="K644" s="148">
        <v>3.9273999999999998E-4</v>
      </c>
    </row>
    <row r="645" spans="10:11" x14ac:dyDescent="0.25">
      <c r="J645" s="148">
        <v>6.44</v>
      </c>
      <c r="K645" s="148">
        <v>3.9086999999999998E-4</v>
      </c>
    </row>
    <row r="646" spans="10:11" x14ac:dyDescent="0.25">
      <c r="J646" s="148">
        <v>6.45</v>
      </c>
      <c r="K646" s="148">
        <v>3.8902000000000001E-4</v>
      </c>
    </row>
    <row r="647" spans="10:11" x14ac:dyDescent="0.25">
      <c r="J647" s="148">
        <v>6.46</v>
      </c>
      <c r="K647" s="148">
        <v>3.8717999999999999E-4</v>
      </c>
    </row>
    <row r="648" spans="10:11" x14ac:dyDescent="0.25">
      <c r="J648" s="148">
        <v>6.47</v>
      </c>
      <c r="K648" s="148">
        <v>3.8534000000000002E-4</v>
      </c>
    </row>
    <row r="649" spans="10:11" x14ac:dyDescent="0.25">
      <c r="J649" s="148">
        <v>6.48</v>
      </c>
      <c r="K649" s="148">
        <v>3.8351999999999999E-4</v>
      </c>
    </row>
    <row r="650" spans="10:11" x14ac:dyDescent="0.25">
      <c r="J650" s="148">
        <v>6.49</v>
      </c>
      <c r="K650" s="148">
        <v>3.8171E-4</v>
      </c>
    </row>
    <row r="651" spans="10:11" x14ac:dyDescent="0.25">
      <c r="J651" s="148">
        <v>6.5</v>
      </c>
      <c r="K651" s="148">
        <v>3.7992000000000001E-4</v>
      </c>
    </row>
    <row r="652" spans="10:11" x14ac:dyDescent="0.25">
      <c r="J652" s="148">
        <v>6.51</v>
      </c>
      <c r="K652" s="148">
        <v>3.7813000000000001E-4</v>
      </c>
    </row>
    <row r="653" spans="10:11" x14ac:dyDescent="0.25">
      <c r="J653" s="148">
        <v>6.52</v>
      </c>
      <c r="K653" s="148">
        <v>3.7636000000000001E-4</v>
      </c>
    </row>
    <row r="654" spans="10:11" x14ac:dyDescent="0.25">
      <c r="J654" s="148">
        <v>6.53</v>
      </c>
      <c r="K654" s="148">
        <v>3.7459E-4</v>
      </c>
    </row>
    <row r="655" spans="10:11" x14ac:dyDescent="0.25">
      <c r="J655" s="148">
        <v>6.54</v>
      </c>
      <c r="K655" s="148">
        <v>3.7283999999999999E-4</v>
      </c>
    </row>
    <row r="656" spans="10:11" x14ac:dyDescent="0.25">
      <c r="J656" s="148">
        <v>6.55</v>
      </c>
      <c r="K656" s="148">
        <v>3.7110000000000002E-4</v>
      </c>
    </row>
    <row r="657" spans="10:11" x14ac:dyDescent="0.25">
      <c r="J657" s="148">
        <v>6.56</v>
      </c>
      <c r="K657" s="148">
        <v>3.6937E-4</v>
      </c>
    </row>
    <row r="658" spans="10:11" x14ac:dyDescent="0.25">
      <c r="J658" s="148">
        <v>6.57</v>
      </c>
      <c r="K658" s="148">
        <v>3.6764000000000002E-4</v>
      </c>
    </row>
    <row r="659" spans="10:11" x14ac:dyDescent="0.25">
      <c r="J659" s="148">
        <v>6.58</v>
      </c>
      <c r="K659" s="148">
        <v>3.6593999999999998E-4</v>
      </c>
    </row>
    <row r="660" spans="10:11" x14ac:dyDescent="0.25">
      <c r="J660" s="148">
        <v>6.59</v>
      </c>
      <c r="K660" s="148">
        <v>3.6424E-4</v>
      </c>
    </row>
    <row r="661" spans="10:11" x14ac:dyDescent="0.25">
      <c r="J661" s="148">
        <v>6.6</v>
      </c>
      <c r="K661" s="148">
        <v>3.6255E-4</v>
      </c>
    </row>
    <row r="662" spans="10:11" x14ac:dyDescent="0.25">
      <c r="J662" s="148">
        <v>6.61</v>
      </c>
      <c r="K662" s="148">
        <v>3.6087000000000001E-4</v>
      </c>
    </row>
    <row r="663" spans="10:11" x14ac:dyDescent="0.25">
      <c r="J663" s="148">
        <v>6.62</v>
      </c>
      <c r="K663" s="148">
        <v>3.592E-4</v>
      </c>
    </row>
    <row r="664" spans="10:11" x14ac:dyDescent="0.25">
      <c r="J664" s="148">
        <v>6.63</v>
      </c>
      <c r="K664" s="148">
        <v>3.5754E-4</v>
      </c>
    </row>
    <row r="665" spans="10:11" x14ac:dyDescent="0.25">
      <c r="J665" s="148">
        <v>6.64</v>
      </c>
      <c r="K665" s="148">
        <v>3.5589999999999998E-4</v>
      </c>
    </row>
    <row r="666" spans="10:11" x14ac:dyDescent="0.25">
      <c r="J666" s="148">
        <v>6.65</v>
      </c>
      <c r="K666" s="148">
        <v>3.5426000000000001E-4</v>
      </c>
    </row>
    <row r="667" spans="10:11" x14ac:dyDescent="0.25">
      <c r="J667" s="148">
        <v>6.66</v>
      </c>
      <c r="K667" s="148">
        <v>3.5262999999999999E-4</v>
      </c>
    </row>
    <row r="668" spans="10:11" x14ac:dyDescent="0.25">
      <c r="J668" s="148">
        <v>6.67</v>
      </c>
      <c r="K668" s="148">
        <v>3.5101000000000002E-4</v>
      </c>
    </row>
    <row r="669" spans="10:11" x14ac:dyDescent="0.25">
      <c r="J669" s="148">
        <v>6.68</v>
      </c>
      <c r="K669" s="148">
        <v>3.4940999999999998E-4</v>
      </c>
    </row>
    <row r="670" spans="10:11" x14ac:dyDescent="0.25">
      <c r="J670" s="148">
        <v>6.69</v>
      </c>
      <c r="K670" s="148">
        <v>3.4780999999999999E-4</v>
      </c>
    </row>
    <row r="671" spans="10:11" x14ac:dyDescent="0.25">
      <c r="J671" s="148">
        <v>6.7</v>
      </c>
      <c r="K671" s="148">
        <v>3.4622E-4</v>
      </c>
    </row>
    <row r="672" spans="10:11" x14ac:dyDescent="0.25">
      <c r="J672" s="148">
        <v>6.71</v>
      </c>
      <c r="K672" s="148">
        <v>3.4464000000000001E-4</v>
      </c>
    </row>
    <row r="673" spans="10:11" x14ac:dyDescent="0.25">
      <c r="J673" s="148">
        <v>6.72</v>
      </c>
      <c r="K673" s="148">
        <v>3.4308E-4</v>
      </c>
    </row>
    <row r="674" spans="10:11" x14ac:dyDescent="0.25">
      <c r="J674" s="148">
        <v>6.73</v>
      </c>
      <c r="K674" s="148">
        <v>3.4152E-4</v>
      </c>
    </row>
    <row r="675" spans="10:11" x14ac:dyDescent="0.25">
      <c r="J675" s="148">
        <v>6.74</v>
      </c>
      <c r="K675" s="148">
        <v>3.3996999999999999E-4</v>
      </c>
    </row>
    <row r="676" spans="10:11" x14ac:dyDescent="0.25">
      <c r="J676" s="148">
        <v>6.75</v>
      </c>
      <c r="K676" s="148">
        <v>3.3843000000000002E-4</v>
      </c>
    </row>
    <row r="677" spans="10:11" x14ac:dyDescent="0.25">
      <c r="J677" s="148">
        <v>6.76</v>
      </c>
      <c r="K677" s="148">
        <v>3.369E-4</v>
      </c>
    </row>
    <row r="678" spans="10:11" x14ac:dyDescent="0.25">
      <c r="J678" s="148">
        <v>6.77</v>
      </c>
      <c r="K678" s="148">
        <v>3.3537999999999998E-4</v>
      </c>
    </row>
    <row r="679" spans="10:11" x14ac:dyDescent="0.25">
      <c r="J679" s="148">
        <v>6.78</v>
      </c>
      <c r="K679" s="148">
        <v>3.3386000000000001E-4</v>
      </c>
    </row>
    <row r="680" spans="10:11" x14ac:dyDescent="0.25">
      <c r="J680" s="148">
        <v>6.79</v>
      </c>
      <c r="K680" s="148">
        <v>3.3236000000000002E-4</v>
      </c>
    </row>
    <row r="681" spans="10:11" x14ac:dyDescent="0.25">
      <c r="J681" s="148">
        <v>6.8</v>
      </c>
      <c r="K681" s="148">
        <v>3.3086999999999998E-4</v>
      </c>
    </row>
    <row r="682" spans="10:11" x14ac:dyDescent="0.25">
      <c r="J682" s="148">
        <v>6.81</v>
      </c>
      <c r="K682" s="148">
        <v>3.2937999999999999E-4</v>
      </c>
    </row>
    <row r="683" spans="10:11" x14ac:dyDescent="0.25">
      <c r="J683" s="148">
        <v>6.82</v>
      </c>
      <c r="K683" s="148">
        <v>3.2791E-4</v>
      </c>
    </row>
    <row r="684" spans="10:11" x14ac:dyDescent="0.25">
      <c r="J684" s="148">
        <v>6.83</v>
      </c>
      <c r="K684" s="148">
        <v>3.2644E-4</v>
      </c>
    </row>
    <row r="685" spans="10:11" x14ac:dyDescent="0.25">
      <c r="J685" s="148">
        <v>6.84</v>
      </c>
      <c r="K685" s="148">
        <v>3.2498E-4</v>
      </c>
    </row>
    <row r="686" spans="10:11" x14ac:dyDescent="0.25">
      <c r="J686" s="148">
        <v>6.85</v>
      </c>
      <c r="K686" s="148">
        <v>3.2352999999999999E-4</v>
      </c>
    </row>
    <row r="687" spans="10:11" x14ac:dyDescent="0.25">
      <c r="J687" s="148">
        <v>6.86</v>
      </c>
      <c r="K687" s="148">
        <v>3.2208999999999997E-4</v>
      </c>
    </row>
    <row r="688" spans="10:11" x14ac:dyDescent="0.25">
      <c r="J688" s="148">
        <v>6.87</v>
      </c>
      <c r="K688" s="148">
        <v>3.2066000000000001E-4</v>
      </c>
    </row>
    <row r="689" spans="10:11" x14ac:dyDescent="0.25">
      <c r="J689" s="148">
        <v>6.88</v>
      </c>
      <c r="K689" s="148">
        <v>3.1922999999999999E-4</v>
      </c>
    </row>
    <row r="690" spans="10:11" x14ac:dyDescent="0.25">
      <c r="J690" s="148">
        <v>6.89</v>
      </c>
      <c r="K690" s="148">
        <v>3.1782000000000002E-4</v>
      </c>
    </row>
    <row r="691" spans="10:11" x14ac:dyDescent="0.25">
      <c r="J691" s="148">
        <v>6.9</v>
      </c>
      <c r="K691" s="148">
        <v>3.1640999999999999E-4</v>
      </c>
    </row>
    <row r="692" spans="10:11" x14ac:dyDescent="0.25">
      <c r="J692" s="148">
        <v>6.91</v>
      </c>
      <c r="K692" s="148">
        <v>3.1501000000000001E-4</v>
      </c>
    </row>
    <row r="693" spans="10:11" x14ac:dyDescent="0.25">
      <c r="J693" s="148">
        <v>6.92</v>
      </c>
      <c r="K693" s="148">
        <v>3.1362000000000002E-4</v>
      </c>
    </row>
    <row r="694" spans="10:11" x14ac:dyDescent="0.25">
      <c r="J694" s="148">
        <v>6.93</v>
      </c>
      <c r="K694" s="148">
        <v>3.1223999999999998E-4</v>
      </c>
    </row>
    <row r="695" spans="10:11" x14ac:dyDescent="0.25">
      <c r="J695" s="148">
        <v>6.94</v>
      </c>
      <c r="K695" s="148">
        <v>3.1086999999999998E-4</v>
      </c>
    </row>
    <row r="696" spans="10:11" x14ac:dyDescent="0.25">
      <c r="J696" s="148">
        <v>6.95</v>
      </c>
      <c r="K696" s="148">
        <v>3.0949999999999999E-4</v>
      </c>
    </row>
    <row r="697" spans="10:11" x14ac:dyDescent="0.25">
      <c r="J697" s="148">
        <v>6.96</v>
      </c>
      <c r="K697" s="148">
        <v>3.0813999999999999E-4</v>
      </c>
    </row>
    <row r="698" spans="10:11" x14ac:dyDescent="0.25">
      <c r="J698" s="148">
        <v>6.97</v>
      </c>
      <c r="K698" s="148">
        <v>3.0678999999999998E-4</v>
      </c>
    </row>
    <row r="699" spans="10:11" x14ac:dyDescent="0.25">
      <c r="J699" s="148">
        <v>6.98</v>
      </c>
      <c r="K699" s="148">
        <v>3.0545000000000002E-4</v>
      </c>
    </row>
    <row r="700" spans="10:11" x14ac:dyDescent="0.25">
      <c r="J700" s="148">
        <v>6.99</v>
      </c>
      <c r="K700" s="148">
        <v>3.0412000000000001E-4</v>
      </c>
    </row>
    <row r="701" spans="10:11" x14ac:dyDescent="0.25">
      <c r="J701" s="148">
        <v>7</v>
      </c>
      <c r="K701" s="148">
        <v>3.0278999999999999E-4</v>
      </c>
    </row>
    <row r="702" spans="10:11" x14ac:dyDescent="0.25">
      <c r="J702" s="148">
        <v>7.01</v>
      </c>
      <c r="K702" s="148">
        <v>3.0147000000000003E-4</v>
      </c>
    </row>
    <row r="703" spans="10:11" x14ac:dyDescent="0.25">
      <c r="J703" s="148">
        <v>7.02</v>
      </c>
      <c r="K703" s="148">
        <v>3.0016E-4</v>
      </c>
    </row>
    <row r="704" spans="10:11" x14ac:dyDescent="0.25">
      <c r="J704" s="148">
        <v>7.03</v>
      </c>
      <c r="K704" s="148">
        <v>2.9886000000000002E-4</v>
      </c>
    </row>
    <row r="705" spans="10:11" x14ac:dyDescent="0.25">
      <c r="J705" s="148">
        <v>7.04</v>
      </c>
      <c r="K705" s="148">
        <v>2.9756999999999999E-4</v>
      </c>
    </row>
    <row r="706" spans="10:11" x14ac:dyDescent="0.25">
      <c r="J706" s="148">
        <v>7.05</v>
      </c>
      <c r="K706" s="148">
        <v>2.9628E-4</v>
      </c>
    </row>
    <row r="707" spans="10:11" x14ac:dyDescent="0.25">
      <c r="J707" s="148">
        <v>7.06</v>
      </c>
      <c r="K707" s="148">
        <v>2.9500000000000001E-4</v>
      </c>
    </row>
    <row r="708" spans="10:11" x14ac:dyDescent="0.25">
      <c r="J708" s="148">
        <v>7.07</v>
      </c>
      <c r="K708" s="148">
        <v>2.9373000000000002E-4</v>
      </c>
    </row>
    <row r="709" spans="10:11" x14ac:dyDescent="0.25">
      <c r="J709" s="148">
        <v>7.08</v>
      </c>
      <c r="K709" s="148">
        <v>2.9245999999999997E-4</v>
      </c>
    </row>
    <row r="710" spans="10:11" x14ac:dyDescent="0.25">
      <c r="J710" s="148">
        <v>7.09</v>
      </c>
      <c r="K710" s="148">
        <v>2.9119999999999998E-4</v>
      </c>
    </row>
    <row r="711" spans="10:11" x14ac:dyDescent="0.25">
      <c r="J711" s="148">
        <v>7.1</v>
      </c>
      <c r="K711" s="148">
        <v>2.8994999999999997E-4</v>
      </c>
    </row>
    <row r="712" spans="10:11" x14ac:dyDescent="0.25">
      <c r="J712" s="148">
        <v>7.11</v>
      </c>
      <c r="K712" s="148">
        <v>2.8871000000000002E-4</v>
      </c>
    </row>
    <row r="713" spans="10:11" x14ac:dyDescent="0.25">
      <c r="J713" s="148">
        <v>7.12</v>
      </c>
      <c r="K713" s="148">
        <v>2.8747000000000001E-4</v>
      </c>
    </row>
    <row r="714" spans="10:11" x14ac:dyDescent="0.25">
      <c r="J714" s="148">
        <v>7.13</v>
      </c>
      <c r="K714" s="148">
        <v>2.8624E-4</v>
      </c>
    </row>
    <row r="715" spans="10:11" x14ac:dyDescent="0.25">
      <c r="J715" s="148">
        <v>7.14</v>
      </c>
      <c r="K715" s="148">
        <v>2.8501999999999998E-4</v>
      </c>
    </row>
    <row r="716" spans="10:11" x14ac:dyDescent="0.25">
      <c r="J716" s="148">
        <v>7.15</v>
      </c>
      <c r="K716" s="148">
        <v>2.8381000000000001E-4</v>
      </c>
    </row>
    <row r="717" spans="10:11" x14ac:dyDescent="0.25">
      <c r="J717" s="148">
        <v>7.16</v>
      </c>
      <c r="K717" s="148">
        <v>2.8259999999999998E-4</v>
      </c>
    </row>
    <row r="718" spans="10:11" x14ac:dyDescent="0.25">
      <c r="J718" s="148">
        <v>7.17</v>
      </c>
      <c r="K718" s="148">
        <v>2.8140000000000001E-4</v>
      </c>
    </row>
    <row r="719" spans="10:11" x14ac:dyDescent="0.25">
      <c r="J719" s="148">
        <v>7.18</v>
      </c>
      <c r="K719" s="148">
        <v>2.8019999999999998E-4</v>
      </c>
    </row>
    <row r="720" spans="10:11" x14ac:dyDescent="0.25">
      <c r="J720" s="148">
        <v>7.19</v>
      </c>
      <c r="K720" s="148">
        <v>2.7902E-4</v>
      </c>
    </row>
    <row r="721" spans="10:11" x14ac:dyDescent="0.25">
      <c r="J721" s="148">
        <v>7.2</v>
      </c>
      <c r="K721" s="148">
        <v>2.7784000000000001E-4</v>
      </c>
    </row>
    <row r="722" spans="10:11" x14ac:dyDescent="0.25">
      <c r="J722" s="148">
        <v>7.21</v>
      </c>
      <c r="K722" s="148">
        <v>2.7666000000000002E-4</v>
      </c>
    </row>
    <row r="723" spans="10:11" x14ac:dyDescent="0.25">
      <c r="J723" s="148">
        <v>7.22</v>
      </c>
      <c r="K723" s="148">
        <v>2.7548999999999998E-4</v>
      </c>
    </row>
    <row r="724" spans="10:11" x14ac:dyDescent="0.25">
      <c r="J724" s="148">
        <v>7.23</v>
      </c>
      <c r="K724" s="148">
        <v>2.7432999999999998E-4</v>
      </c>
    </row>
    <row r="725" spans="10:11" x14ac:dyDescent="0.25">
      <c r="J725" s="148">
        <v>7.24</v>
      </c>
      <c r="K725" s="148">
        <v>2.7317999999999998E-4</v>
      </c>
    </row>
    <row r="726" spans="10:11" x14ac:dyDescent="0.25">
      <c r="J726" s="148">
        <v>7.25</v>
      </c>
      <c r="K726" s="148">
        <v>2.7202999999999998E-4</v>
      </c>
    </row>
    <row r="727" spans="10:11" x14ac:dyDescent="0.25">
      <c r="J727" s="148">
        <v>7.26</v>
      </c>
      <c r="K727" s="148">
        <v>2.7088999999999998E-4</v>
      </c>
    </row>
    <row r="728" spans="10:11" x14ac:dyDescent="0.25">
      <c r="J728" s="148">
        <v>7.27</v>
      </c>
      <c r="K728" s="148">
        <v>2.6976000000000002E-4</v>
      </c>
    </row>
    <row r="729" spans="10:11" x14ac:dyDescent="0.25">
      <c r="J729" s="148">
        <v>7.28</v>
      </c>
      <c r="K729" s="148">
        <v>2.6863000000000001E-4</v>
      </c>
    </row>
    <row r="730" spans="10:11" x14ac:dyDescent="0.25">
      <c r="J730" s="148">
        <v>7.29</v>
      </c>
      <c r="K730" s="148">
        <v>2.6750999999999999E-4</v>
      </c>
    </row>
    <row r="731" spans="10:11" x14ac:dyDescent="0.25">
      <c r="J731" s="148">
        <v>7.3</v>
      </c>
      <c r="K731" s="148">
        <v>2.6638999999999998E-4</v>
      </c>
    </row>
    <row r="732" spans="10:11" x14ac:dyDescent="0.25">
      <c r="J732" s="148">
        <v>7.31</v>
      </c>
      <c r="K732" s="148">
        <v>2.6529E-4</v>
      </c>
    </row>
    <row r="733" spans="10:11" x14ac:dyDescent="0.25">
      <c r="J733" s="148">
        <v>7.32</v>
      </c>
      <c r="K733" s="148">
        <v>2.6417999999999998E-4</v>
      </c>
    </row>
    <row r="734" spans="10:11" x14ac:dyDescent="0.25">
      <c r="J734" s="148">
        <v>7.33</v>
      </c>
      <c r="K734" s="148">
        <v>2.6309E-4</v>
      </c>
    </row>
    <row r="735" spans="10:11" x14ac:dyDescent="0.25">
      <c r="J735" s="148">
        <v>7.34</v>
      </c>
      <c r="K735" s="148">
        <v>2.6200000000000003E-4</v>
      </c>
    </row>
    <row r="736" spans="10:11" x14ac:dyDescent="0.25">
      <c r="J736" s="148">
        <v>7.35</v>
      </c>
      <c r="K736" s="148">
        <v>2.6090999999999999E-4</v>
      </c>
    </row>
    <row r="737" spans="10:11" x14ac:dyDescent="0.25">
      <c r="J737" s="148">
        <v>7.36</v>
      </c>
      <c r="K737" s="148">
        <v>2.5983000000000001E-4</v>
      </c>
    </row>
    <row r="738" spans="10:11" x14ac:dyDescent="0.25">
      <c r="J738" s="148">
        <v>7.37</v>
      </c>
      <c r="K738" s="148">
        <v>2.5876000000000002E-4</v>
      </c>
    </row>
    <row r="739" spans="10:11" x14ac:dyDescent="0.25">
      <c r="J739" s="148">
        <v>7.38</v>
      </c>
      <c r="K739" s="148">
        <v>2.5769999999999998E-4</v>
      </c>
    </row>
    <row r="740" spans="10:11" x14ac:dyDescent="0.25">
      <c r="J740" s="148">
        <v>7.39</v>
      </c>
      <c r="K740" s="148">
        <v>2.5663999999999998E-4</v>
      </c>
    </row>
    <row r="741" spans="10:11" x14ac:dyDescent="0.25">
      <c r="J741" s="148">
        <v>7.4</v>
      </c>
      <c r="K741" s="148">
        <v>2.5557999999999999E-4</v>
      </c>
    </row>
    <row r="742" spans="10:11" x14ac:dyDescent="0.25">
      <c r="J742" s="148">
        <v>7.41</v>
      </c>
      <c r="K742" s="148">
        <v>2.5452999999999999E-4</v>
      </c>
    </row>
    <row r="743" spans="10:11" x14ac:dyDescent="0.25">
      <c r="J743" s="148">
        <v>7.42</v>
      </c>
      <c r="K743" s="148">
        <v>2.5348999999999999E-4</v>
      </c>
    </row>
    <row r="744" spans="10:11" x14ac:dyDescent="0.25">
      <c r="J744" s="148">
        <v>7.43</v>
      </c>
      <c r="K744" s="148">
        <v>2.5244999999999998E-4</v>
      </c>
    </row>
    <row r="745" spans="10:11" x14ac:dyDescent="0.25">
      <c r="J745" s="148">
        <v>7.44</v>
      </c>
      <c r="K745" s="148">
        <v>2.5141999999999997E-4</v>
      </c>
    </row>
    <row r="746" spans="10:11" x14ac:dyDescent="0.25">
      <c r="J746" s="148">
        <v>7.45</v>
      </c>
      <c r="K746" s="148">
        <v>2.5040000000000001E-4</v>
      </c>
    </row>
    <row r="747" spans="10:11" x14ac:dyDescent="0.25">
      <c r="J747" s="148">
        <v>7.46</v>
      </c>
      <c r="K747" s="148">
        <v>2.4938E-4</v>
      </c>
    </row>
    <row r="748" spans="10:11" x14ac:dyDescent="0.25">
      <c r="J748" s="148">
        <v>7.47</v>
      </c>
      <c r="K748" s="148">
        <v>2.4835999999999999E-4</v>
      </c>
    </row>
    <row r="749" spans="10:11" x14ac:dyDescent="0.25">
      <c r="J749" s="148">
        <v>7.48</v>
      </c>
      <c r="K749" s="148">
        <v>2.4736000000000002E-4</v>
      </c>
    </row>
    <row r="750" spans="10:11" x14ac:dyDescent="0.25">
      <c r="J750" s="148">
        <v>7.49</v>
      </c>
      <c r="K750" s="148">
        <v>2.4635E-4</v>
      </c>
    </row>
    <row r="751" spans="10:11" x14ac:dyDescent="0.25">
      <c r="J751" s="148">
        <v>7.5</v>
      </c>
      <c r="K751" s="148">
        <v>2.4536000000000002E-4</v>
      </c>
    </row>
    <row r="752" spans="10:11" x14ac:dyDescent="0.25">
      <c r="J752" s="148">
        <v>7.51</v>
      </c>
      <c r="K752" s="148">
        <v>2.4436E-4</v>
      </c>
    </row>
    <row r="753" spans="10:11" x14ac:dyDescent="0.25">
      <c r="J753" s="148">
        <v>7.52</v>
      </c>
      <c r="K753" s="148">
        <v>2.4337999999999999E-4</v>
      </c>
    </row>
    <row r="754" spans="10:11" x14ac:dyDescent="0.25">
      <c r="J754" s="148">
        <v>7.53</v>
      </c>
      <c r="K754" s="148">
        <v>2.4240000000000001E-4</v>
      </c>
    </row>
    <row r="755" spans="10:11" x14ac:dyDescent="0.25">
      <c r="J755" s="148">
        <v>7.54</v>
      </c>
      <c r="K755" s="148">
        <v>2.4142E-4</v>
      </c>
    </row>
    <row r="756" spans="10:11" x14ac:dyDescent="0.25">
      <c r="J756" s="148">
        <v>7.55</v>
      </c>
      <c r="K756" s="148">
        <v>2.4044999999999999E-4</v>
      </c>
    </row>
    <row r="757" spans="10:11" x14ac:dyDescent="0.25">
      <c r="J757" s="148">
        <v>7.56</v>
      </c>
      <c r="K757" s="148">
        <v>2.3949E-4</v>
      </c>
    </row>
    <row r="758" spans="10:11" x14ac:dyDescent="0.25">
      <c r="J758" s="148">
        <v>7.57</v>
      </c>
      <c r="K758" s="148">
        <v>2.3853000000000001E-4</v>
      </c>
    </row>
    <row r="759" spans="10:11" x14ac:dyDescent="0.25">
      <c r="J759" s="148">
        <v>7.58</v>
      </c>
      <c r="K759" s="148">
        <v>2.3756999999999999E-4</v>
      </c>
    </row>
    <row r="760" spans="10:11" x14ac:dyDescent="0.25">
      <c r="J760" s="148">
        <v>7.59</v>
      </c>
      <c r="K760" s="148">
        <v>2.3661999999999999E-4</v>
      </c>
    </row>
    <row r="761" spans="10:11" x14ac:dyDescent="0.25">
      <c r="J761" s="148">
        <v>7.6</v>
      </c>
      <c r="K761" s="148">
        <v>2.3567999999999999E-4</v>
      </c>
    </row>
    <row r="762" spans="10:11" x14ac:dyDescent="0.25">
      <c r="J762" s="148">
        <v>7.61</v>
      </c>
      <c r="K762" s="148">
        <v>2.3473999999999999E-4</v>
      </c>
    </row>
    <row r="763" spans="10:11" x14ac:dyDescent="0.25">
      <c r="J763" s="148">
        <v>7.62</v>
      </c>
      <c r="K763" s="148">
        <v>2.3381000000000001E-4</v>
      </c>
    </row>
    <row r="764" spans="10:11" x14ac:dyDescent="0.25">
      <c r="J764" s="148">
        <v>7.63</v>
      </c>
      <c r="K764" s="148">
        <v>2.3288000000000001E-4</v>
      </c>
    </row>
    <row r="765" spans="10:11" x14ac:dyDescent="0.25">
      <c r="J765" s="148">
        <v>7.64</v>
      </c>
      <c r="K765" s="148">
        <v>2.3195E-4</v>
      </c>
    </row>
    <row r="766" spans="10:11" x14ac:dyDescent="0.25">
      <c r="J766" s="148">
        <v>7.65</v>
      </c>
      <c r="K766" s="148">
        <v>2.3104000000000001E-4</v>
      </c>
    </row>
    <row r="767" spans="10:11" x14ac:dyDescent="0.25">
      <c r="J767" s="148">
        <v>7.66</v>
      </c>
      <c r="K767" s="148">
        <v>2.3012E-4</v>
      </c>
    </row>
    <row r="768" spans="10:11" x14ac:dyDescent="0.25">
      <c r="J768" s="148">
        <v>7.67</v>
      </c>
      <c r="K768" s="148">
        <v>2.2921000000000001E-4</v>
      </c>
    </row>
    <row r="769" spans="10:11" x14ac:dyDescent="0.25">
      <c r="J769" s="148">
        <v>7.68</v>
      </c>
      <c r="K769" s="148">
        <v>2.2830999999999999E-4</v>
      </c>
    </row>
    <row r="770" spans="10:11" x14ac:dyDescent="0.25">
      <c r="J770" s="148">
        <v>7.69</v>
      </c>
      <c r="K770" s="148">
        <v>2.2740999999999999E-4</v>
      </c>
    </row>
    <row r="771" spans="10:11" x14ac:dyDescent="0.25">
      <c r="J771" s="148">
        <v>7.7</v>
      </c>
      <c r="K771" s="148">
        <v>2.2651999999999999E-4</v>
      </c>
    </row>
    <row r="772" spans="10:11" x14ac:dyDescent="0.25">
      <c r="J772" s="148">
        <v>7.71</v>
      </c>
      <c r="K772" s="148">
        <v>2.2562999999999999E-4</v>
      </c>
    </row>
    <row r="773" spans="10:11" x14ac:dyDescent="0.25">
      <c r="J773" s="148">
        <v>7.72</v>
      </c>
      <c r="K773" s="148">
        <v>2.2473999999999999E-4</v>
      </c>
    </row>
    <row r="774" spans="10:11" x14ac:dyDescent="0.25">
      <c r="J774" s="148">
        <v>7.73</v>
      </c>
      <c r="K774" s="148">
        <v>2.2385999999999999E-4</v>
      </c>
    </row>
    <row r="775" spans="10:11" x14ac:dyDescent="0.25">
      <c r="J775" s="148">
        <v>7.74</v>
      </c>
      <c r="K775" s="148">
        <v>2.2299E-4</v>
      </c>
    </row>
    <row r="776" spans="10:11" x14ac:dyDescent="0.25">
      <c r="J776" s="148">
        <v>7.75</v>
      </c>
      <c r="K776" s="148">
        <v>2.2211999999999999E-4</v>
      </c>
    </row>
    <row r="777" spans="10:11" x14ac:dyDescent="0.25">
      <c r="J777" s="148">
        <v>7.76</v>
      </c>
      <c r="K777" s="148">
        <v>2.2125000000000001E-4</v>
      </c>
    </row>
    <row r="778" spans="10:11" x14ac:dyDescent="0.25">
      <c r="J778" s="148">
        <v>7.77</v>
      </c>
      <c r="K778" s="148">
        <v>2.2039E-4</v>
      </c>
    </row>
    <row r="779" spans="10:11" x14ac:dyDescent="0.25">
      <c r="J779" s="148">
        <v>7.78</v>
      </c>
      <c r="K779" s="148">
        <v>2.1953000000000001E-4</v>
      </c>
    </row>
    <row r="780" spans="10:11" x14ac:dyDescent="0.25">
      <c r="J780" s="148">
        <v>7.79</v>
      </c>
      <c r="K780" s="148">
        <v>2.1867999999999999E-4</v>
      </c>
    </row>
    <row r="781" spans="10:11" x14ac:dyDescent="0.25">
      <c r="J781" s="148">
        <v>7.8</v>
      </c>
      <c r="K781" s="148">
        <v>2.1782999999999999E-4</v>
      </c>
    </row>
    <row r="782" spans="10:11" x14ac:dyDescent="0.25">
      <c r="J782" s="148">
        <v>7.81</v>
      </c>
      <c r="K782" s="148">
        <v>2.1698999999999999E-4</v>
      </c>
    </row>
    <row r="783" spans="10:11" x14ac:dyDescent="0.25">
      <c r="J783" s="148">
        <v>7.82</v>
      </c>
      <c r="K783" s="148">
        <v>2.1615E-4</v>
      </c>
    </row>
    <row r="784" spans="10:11" x14ac:dyDescent="0.25">
      <c r="J784" s="148">
        <v>7.83</v>
      </c>
      <c r="K784" s="148">
        <v>2.1531E-4</v>
      </c>
    </row>
    <row r="785" spans="10:11" x14ac:dyDescent="0.25">
      <c r="J785" s="148">
        <v>7.84</v>
      </c>
      <c r="K785" s="148">
        <v>2.1447999999999999E-4</v>
      </c>
    </row>
    <row r="786" spans="10:11" x14ac:dyDescent="0.25">
      <c r="J786" s="148">
        <v>7.85</v>
      </c>
      <c r="K786" s="148">
        <v>2.1366000000000001E-4</v>
      </c>
    </row>
    <row r="787" spans="10:11" x14ac:dyDescent="0.25">
      <c r="J787" s="148">
        <v>7.86</v>
      </c>
      <c r="K787" s="148">
        <v>2.1284E-4</v>
      </c>
    </row>
    <row r="788" spans="10:11" x14ac:dyDescent="0.25">
      <c r="J788" s="148">
        <v>7.87</v>
      </c>
      <c r="K788" s="148">
        <v>2.1201999999999999E-4</v>
      </c>
    </row>
    <row r="789" spans="10:11" x14ac:dyDescent="0.25">
      <c r="J789" s="148">
        <v>7.88</v>
      </c>
      <c r="K789" s="148">
        <v>2.1121000000000001E-4</v>
      </c>
    </row>
    <row r="790" spans="10:11" x14ac:dyDescent="0.25">
      <c r="J790" s="148">
        <v>7.89</v>
      </c>
      <c r="K790" s="148">
        <v>2.1039999999999999E-4</v>
      </c>
    </row>
    <row r="791" spans="10:11" x14ac:dyDescent="0.25">
      <c r="J791" s="148">
        <v>7.9</v>
      </c>
      <c r="K791" s="148">
        <v>2.0959E-4</v>
      </c>
    </row>
    <row r="792" spans="10:11" x14ac:dyDescent="0.25">
      <c r="J792" s="148">
        <v>7.91</v>
      </c>
      <c r="K792" s="148">
        <v>2.0879000000000001E-4</v>
      </c>
    </row>
    <row r="793" spans="10:11" x14ac:dyDescent="0.25">
      <c r="J793" s="148">
        <v>7.92</v>
      </c>
      <c r="K793" s="148">
        <v>2.0799999999999999E-4</v>
      </c>
    </row>
    <row r="794" spans="10:11" x14ac:dyDescent="0.25">
      <c r="J794" s="148">
        <v>7.93</v>
      </c>
      <c r="K794" s="148">
        <v>2.0720999999999999E-4</v>
      </c>
    </row>
    <row r="795" spans="10:11" x14ac:dyDescent="0.25">
      <c r="J795" s="148">
        <v>7.94</v>
      </c>
      <c r="K795" s="148">
        <v>2.0641999999999999E-4</v>
      </c>
    </row>
    <row r="796" spans="10:11" x14ac:dyDescent="0.25">
      <c r="J796" s="148">
        <v>7.95</v>
      </c>
      <c r="K796" s="148">
        <v>2.0563999999999999E-4</v>
      </c>
    </row>
    <row r="797" spans="10:11" x14ac:dyDescent="0.25">
      <c r="J797" s="148">
        <v>7.96</v>
      </c>
      <c r="K797" s="148">
        <v>2.0485999999999999E-4</v>
      </c>
    </row>
    <row r="798" spans="10:11" x14ac:dyDescent="0.25">
      <c r="J798" s="148">
        <v>7.97</v>
      </c>
      <c r="K798" s="148">
        <v>2.0408000000000001E-4</v>
      </c>
    </row>
    <row r="799" spans="10:11" x14ac:dyDescent="0.25">
      <c r="J799" s="148">
        <v>7.98</v>
      </c>
      <c r="K799" s="148">
        <v>2.0331E-4</v>
      </c>
    </row>
    <row r="800" spans="10:11" x14ac:dyDescent="0.25">
      <c r="J800" s="148">
        <v>7.99</v>
      </c>
      <c r="K800" s="148">
        <v>2.0254E-4</v>
      </c>
    </row>
    <row r="801" spans="10:11" x14ac:dyDescent="0.25">
      <c r="J801" s="148">
        <v>8</v>
      </c>
      <c r="K801" s="148">
        <v>2.0178000000000001E-4</v>
      </c>
    </row>
    <row r="802" spans="10:11" x14ac:dyDescent="0.25">
      <c r="J802" s="148">
        <v>8.01</v>
      </c>
      <c r="K802" s="148">
        <v>2.0102E-4</v>
      </c>
    </row>
    <row r="803" spans="10:11" x14ac:dyDescent="0.25">
      <c r="J803" s="148">
        <v>8.02</v>
      </c>
      <c r="K803" s="148">
        <v>2.0026000000000001E-4</v>
      </c>
    </row>
    <row r="804" spans="10:11" x14ac:dyDescent="0.25">
      <c r="J804" s="148">
        <v>8.0299999999999994</v>
      </c>
      <c r="K804" s="148">
        <v>1.9950999999999999E-4</v>
      </c>
    </row>
    <row r="805" spans="10:11" x14ac:dyDescent="0.25">
      <c r="J805" s="148">
        <v>8.0399999999999991</v>
      </c>
      <c r="K805" s="148">
        <v>1.9876E-4</v>
      </c>
    </row>
    <row r="806" spans="10:11" x14ac:dyDescent="0.25">
      <c r="J806" s="148">
        <v>8.0500000000000007</v>
      </c>
      <c r="K806" s="148">
        <v>1.9802E-4</v>
      </c>
    </row>
    <row r="807" spans="10:11" x14ac:dyDescent="0.25">
      <c r="J807" s="148">
        <v>8.06</v>
      </c>
      <c r="K807" s="148">
        <v>1.9728000000000001E-4</v>
      </c>
    </row>
    <row r="808" spans="10:11" x14ac:dyDescent="0.25">
      <c r="J808" s="148">
        <v>8.07</v>
      </c>
      <c r="K808" s="148">
        <v>1.9654000000000001E-4</v>
      </c>
    </row>
    <row r="809" spans="10:11" x14ac:dyDescent="0.25">
      <c r="J809" s="148">
        <v>8.08</v>
      </c>
      <c r="K809" s="148">
        <v>1.9581000000000001E-4</v>
      </c>
    </row>
    <row r="810" spans="10:11" x14ac:dyDescent="0.25">
      <c r="J810" s="148">
        <v>8.09</v>
      </c>
      <c r="K810" s="148">
        <v>1.9508000000000001E-4</v>
      </c>
    </row>
    <row r="811" spans="10:11" x14ac:dyDescent="0.25">
      <c r="J811" s="148">
        <v>8.1</v>
      </c>
      <c r="K811" s="148">
        <v>1.9436E-4</v>
      </c>
    </row>
    <row r="812" spans="10:11" x14ac:dyDescent="0.25">
      <c r="J812" s="148">
        <v>8.11</v>
      </c>
      <c r="K812" s="148">
        <v>1.9363E-4</v>
      </c>
    </row>
    <row r="813" spans="10:11" x14ac:dyDescent="0.25">
      <c r="J813" s="148">
        <v>8.1199999999999992</v>
      </c>
      <c r="K813" s="148">
        <v>1.9291999999999999E-4</v>
      </c>
    </row>
    <row r="814" spans="10:11" x14ac:dyDescent="0.25">
      <c r="J814" s="148">
        <v>8.1300000000000008</v>
      </c>
      <c r="K814" s="148">
        <v>1.9220000000000001E-4</v>
      </c>
    </row>
    <row r="815" spans="10:11" x14ac:dyDescent="0.25">
      <c r="J815" s="148">
        <v>8.14</v>
      </c>
      <c r="K815" s="148">
        <v>1.9149E-4</v>
      </c>
    </row>
    <row r="816" spans="10:11" x14ac:dyDescent="0.25">
      <c r="J816" s="148">
        <v>8.15</v>
      </c>
      <c r="K816" s="148">
        <v>1.9078000000000001E-4</v>
      </c>
    </row>
    <row r="817" spans="10:11" x14ac:dyDescent="0.25">
      <c r="J817" s="148">
        <v>8.16</v>
      </c>
      <c r="K817" s="148">
        <v>1.9008E-4</v>
      </c>
    </row>
    <row r="818" spans="10:11" x14ac:dyDescent="0.25">
      <c r="J818" s="148">
        <v>8.17</v>
      </c>
      <c r="K818" s="148">
        <v>1.8938000000000001E-4</v>
      </c>
    </row>
    <row r="819" spans="10:11" x14ac:dyDescent="0.25">
      <c r="J819" s="148">
        <v>8.18</v>
      </c>
      <c r="K819" s="148">
        <v>1.8869000000000001E-4</v>
      </c>
    </row>
    <row r="820" spans="10:11" x14ac:dyDescent="0.25">
      <c r="J820" s="148">
        <v>8.19</v>
      </c>
      <c r="K820" s="148">
        <v>1.8798999999999999E-4</v>
      </c>
    </row>
    <row r="821" spans="10:11" x14ac:dyDescent="0.25">
      <c r="J821" s="148">
        <v>8.1999999999999993</v>
      </c>
      <c r="K821" s="148">
        <v>1.873E-4</v>
      </c>
    </row>
    <row r="822" spans="10:11" x14ac:dyDescent="0.25">
      <c r="J822" s="148">
        <v>8.2100000000000009</v>
      </c>
      <c r="K822" s="148">
        <v>1.8662E-4</v>
      </c>
    </row>
    <row r="823" spans="10:11" x14ac:dyDescent="0.25">
      <c r="J823" s="148">
        <v>8.2200000000000006</v>
      </c>
      <c r="K823" s="148">
        <v>1.8593E-4</v>
      </c>
    </row>
    <row r="824" spans="10:11" x14ac:dyDescent="0.25">
      <c r="J824" s="148">
        <v>8.23</v>
      </c>
      <c r="K824" s="148">
        <v>1.8526E-4</v>
      </c>
    </row>
    <row r="825" spans="10:11" x14ac:dyDescent="0.25">
      <c r="J825" s="148">
        <v>8.24</v>
      </c>
      <c r="K825" s="148">
        <v>1.8458E-4</v>
      </c>
    </row>
    <row r="826" spans="10:11" x14ac:dyDescent="0.25">
      <c r="J826" s="148">
        <v>8.25</v>
      </c>
      <c r="K826" s="148">
        <v>1.8390999999999999E-4</v>
      </c>
    </row>
    <row r="827" spans="10:11" x14ac:dyDescent="0.25">
      <c r="J827" s="148">
        <v>8.26</v>
      </c>
      <c r="K827" s="148">
        <v>1.8323999999999999E-4</v>
      </c>
    </row>
    <row r="828" spans="10:11" x14ac:dyDescent="0.25">
      <c r="J828" s="148">
        <v>8.27</v>
      </c>
      <c r="K828" s="148">
        <v>1.8257000000000001E-4</v>
      </c>
    </row>
    <row r="829" spans="10:11" x14ac:dyDescent="0.25">
      <c r="J829" s="148">
        <v>8.2799999999999994</v>
      </c>
      <c r="K829" s="148">
        <v>1.8191E-4</v>
      </c>
    </row>
    <row r="830" spans="10:11" x14ac:dyDescent="0.25">
      <c r="J830" s="148">
        <v>8.2899999999999991</v>
      </c>
      <c r="K830" s="148">
        <v>1.8124999999999999E-4</v>
      </c>
    </row>
    <row r="831" spans="10:11" x14ac:dyDescent="0.25">
      <c r="J831" s="148">
        <v>8.3000000000000007</v>
      </c>
      <c r="K831" s="148">
        <v>1.806E-4</v>
      </c>
    </row>
    <row r="832" spans="10:11" x14ac:dyDescent="0.25">
      <c r="J832" s="148">
        <v>8.31</v>
      </c>
      <c r="K832" s="148">
        <v>1.7995000000000001E-4</v>
      </c>
    </row>
    <row r="833" spans="10:11" x14ac:dyDescent="0.25">
      <c r="J833" s="148">
        <v>8.32</v>
      </c>
      <c r="K833" s="148">
        <v>1.7929999999999999E-4</v>
      </c>
    </row>
    <row r="834" spans="10:11" x14ac:dyDescent="0.25">
      <c r="J834" s="148">
        <v>8.33</v>
      </c>
      <c r="K834" s="148">
        <v>1.7865000000000001E-4</v>
      </c>
    </row>
    <row r="835" spans="10:11" x14ac:dyDescent="0.25">
      <c r="J835" s="148">
        <v>8.34</v>
      </c>
      <c r="K835" s="148">
        <v>1.7801000000000001E-4</v>
      </c>
    </row>
    <row r="836" spans="10:11" x14ac:dyDescent="0.25">
      <c r="J836" s="148">
        <v>8.35</v>
      </c>
      <c r="K836" s="148">
        <v>1.7736999999999999E-4</v>
      </c>
    </row>
    <row r="837" spans="10:11" x14ac:dyDescent="0.25">
      <c r="J837" s="148">
        <v>8.36</v>
      </c>
      <c r="K837" s="148">
        <v>1.7673E-4</v>
      </c>
    </row>
    <row r="838" spans="10:11" x14ac:dyDescent="0.25">
      <c r="J838" s="148">
        <v>8.3699999999999992</v>
      </c>
      <c r="K838" s="148">
        <v>1.761E-4</v>
      </c>
    </row>
    <row r="839" spans="10:11" x14ac:dyDescent="0.25">
      <c r="J839" s="148">
        <v>8.3800000000000008</v>
      </c>
      <c r="K839" s="148">
        <v>1.7547E-4</v>
      </c>
    </row>
    <row r="840" spans="10:11" x14ac:dyDescent="0.25">
      <c r="J840" s="148">
        <v>8.39</v>
      </c>
      <c r="K840" s="148">
        <v>1.7484E-4</v>
      </c>
    </row>
    <row r="841" spans="10:11" x14ac:dyDescent="0.25">
      <c r="J841" s="148">
        <v>8.4</v>
      </c>
      <c r="K841" s="148">
        <v>1.7422E-4</v>
      </c>
    </row>
    <row r="842" spans="10:11" x14ac:dyDescent="0.25">
      <c r="J842" s="148">
        <v>8.41</v>
      </c>
      <c r="K842" s="148">
        <v>1.7359999999999999E-4</v>
      </c>
    </row>
    <row r="843" spans="10:11" x14ac:dyDescent="0.25">
      <c r="J843" s="148">
        <v>8.42</v>
      </c>
      <c r="K843" s="148">
        <v>1.7297999999999999E-4</v>
      </c>
    </row>
    <row r="844" spans="10:11" x14ac:dyDescent="0.25">
      <c r="J844" s="148">
        <v>8.43</v>
      </c>
      <c r="K844" s="148">
        <v>1.7236000000000001E-4</v>
      </c>
    </row>
    <row r="845" spans="10:11" x14ac:dyDescent="0.25">
      <c r="J845" s="148">
        <v>8.44</v>
      </c>
      <c r="K845" s="148">
        <v>1.7175E-4</v>
      </c>
    </row>
    <row r="846" spans="10:11" x14ac:dyDescent="0.25">
      <c r="J846" s="148">
        <v>8.4499999999999993</v>
      </c>
      <c r="K846" s="148">
        <v>1.7113999999999999E-4</v>
      </c>
    </row>
    <row r="847" spans="10:11" x14ac:dyDescent="0.25">
      <c r="J847" s="148">
        <v>8.4600000000000009</v>
      </c>
      <c r="K847" s="148">
        <v>1.7054E-4</v>
      </c>
    </row>
    <row r="848" spans="10:11" x14ac:dyDescent="0.25">
      <c r="J848" s="148">
        <v>8.4700000000000006</v>
      </c>
      <c r="K848" s="148">
        <v>1.6993999999999999E-4</v>
      </c>
    </row>
    <row r="849" spans="10:11" x14ac:dyDescent="0.25">
      <c r="J849" s="148">
        <v>8.48</v>
      </c>
      <c r="K849" s="148">
        <v>1.6934E-4</v>
      </c>
    </row>
    <row r="850" spans="10:11" x14ac:dyDescent="0.25">
      <c r="J850" s="148">
        <v>8.49</v>
      </c>
      <c r="K850" s="148">
        <v>1.6873999999999999E-4</v>
      </c>
    </row>
    <row r="851" spans="10:11" x14ac:dyDescent="0.25">
      <c r="J851" s="148">
        <v>8.5</v>
      </c>
      <c r="K851" s="148">
        <v>1.6814E-4</v>
      </c>
    </row>
    <row r="852" spans="10:11" x14ac:dyDescent="0.25">
      <c r="J852" s="148">
        <v>8.51</v>
      </c>
      <c r="K852" s="148">
        <v>1.6755000000000001E-4</v>
      </c>
    </row>
    <row r="853" spans="10:11" x14ac:dyDescent="0.25">
      <c r="J853" s="148">
        <v>8.52</v>
      </c>
      <c r="K853" s="148">
        <v>1.6695999999999999E-4</v>
      </c>
    </row>
    <row r="854" spans="10:11" x14ac:dyDescent="0.25">
      <c r="J854" s="148">
        <v>8.5299999999999994</v>
      </c>
      <c r="K854" s="148">
        <v>1.6637999999999999E-4</v>
      </c>
    </row>
    <row r="855" spans="10:11" x14ac:dyDescent="0.25">
      <c r="J855" s="148">
        <v>8.5399999999999991</v>
      </c>
      <c r="K855" s="148">
        <v>1.6579999999999999E-4</v>
      </c>
    </row>
    <row r="856" spans="10:11" x14ac:dyDescent="0.25">
      <c r="J856" s="148">
        <v>8.5500000000000007</v>
      </c>
      <c r="K856" s="148">
        <v>1.6521999999999999E-4</v>
      </c>
    </row>
    <row r="857" spans="10:11" x14ac:dyDescent="0.25">
      <c r="J857" s="148">
        <v>8.56</v>
      </c>
      <c r="K857" s="148">
        <v>1.6464E-4</v>
      </c>
    </row>
    <row r="858" spans="10:11" x14ac:dyDescent="0.25">
      <c r="J858" s="148">
        <v>8.57</v>
      </c>
      <c r="K858" s="148">
        <v>1.6406999999999999E-4</v>
      </c>
    </row>
    <row r="859" spans="10:11" x14ac:dyDescent="0.25">
      <c r="J859" s="148">
        <v>8.58</v>
      </c>
      <c r="K859" s="148">
        <v>1.6348999999999999E-4</v>
      </c>
    </row>
    <row r="860" spans="10:11" x14ac:dyDescent="0.25">
      <c r="J860" s="148">
        <v>8.59</v>
      </c>
      <c r="K860" s="148">
        <v>1.6291999999999999E-4</v>
      </c>
    </row>
    <row r="861" spans="10:11" x14ac:dyDescent="0.25">
      <c r="J861" s="148">
        <v>8.6</v>
      </c>
      <c r="K861" s="148">
        <v>1.6236000000000001E-4</v>
      </c>
    </row>
    <row r="862" spans="10:11" x14ac:dyDescent="0.25">
      <c r="J862" s="148">
        <v>8.61</v>
      </c>
      <c r="K862" s="148">
        <v>1.618E-4</v>
      </c>
    </row>
    <row r="863" spans="10:11" x14ac:dyDescent="0.25">
      <c r="J863" s="148">
        <v>8.6199999999999992</v>
      </c>
      <c r="K863" s="148">
        <v>1.6123E-4</v>
      </c>
    </row>
    <row r="864" spans="10:11" x14ac:dyDescent="0.25">
      <c r="J864" s="148">
        <v>8.6300000000000008</v>
      </c>
      <c r="K864" s="148">
        <v>1.6068000000000001E-4</v>
      </c>
    </row>
    <row r="865" spans="10:11" x14ac:dyDescent="0.25">
      <c r="J865" s="148">
        <v>8.64</v>
      </c>
      <c r="K865" s="148">
        <v>1.6012000000000001E-4</v>
      </c>
    </row>
    <row r="866" spans="10:11" x14ac:dyDescent="0.25">
      <c r="J866" s="148">
        <v>8.65</v>
      </c>
      <c r="K866" s="148">
        <v>1.5956999999999999E-4</v>
      </c>
    </row>
    <row r="867" spans="10:11" x14ac:dyDescent="0.25">
      <c r="J867" s="148">
        <v>8.66</v>
      </c>
      <c r="K867" s="148">
        <v>1.5902000000000001E-4</v>
      </c>
    </row>
    <row r="868" spans="10:11" x14ac:dyDescent="0.25">
      <c r="J868" s="148">
        <v>8.67</v>
      </c>
      <c r="K868" s="148">
        <v>1.5846999999999999E-4</v>
      </c>
    </row>
    <row r="869" spans="10:11" x14ac:dyDescent="0.25">
      <c r="J869" s="148">
        <v>8.68</v>
      </c>
      <c r="K869" s="148">
        <v>1.5793E-4</v>
      </c>
    </row>
    <row r="870" spans="10:11" x14ac:dyDescent="0.25">
      <c r="J870" s="148">
        <v>8.69</v>
      </c>
      <c r="K870" s="148">
        <v>1.5737999999999999E-4</v>
      </c>
    </row>
    <row r="871" spans="10:11" x14ac:dyDescent="0.25">
      <c r="J871" s="148">
        <v>8.6999999999999993</v>
      </c>
      <c r="K871" s="148">
        <v>1.5684E-4</v>
      </c>
    </row>
    <row r="872" spans="10:11" x14ac:dyDescent="0.25">
      <c r="J872" s="148">
        <v>8.7100000000000009</v>
      </c>
      <c r="K872" s="148">
        <v>1.5631E-4</v>
      </c>
    </row>
    <row r="873" spans="10:11" x14ac:dyDescent="0.25">
      <c r="J873" s="148">
        <v>8.7200000000000006</v>
      </c>
      <c r="K873" s="148">
        <v>1.5577000000000001E-4</v>
      </c>
    </row>
    <row r="874" spans="10:11" x14ac:dyDescent="0.25">
      <c r="J874" s="148">
        <v>8.73</v>
      </c>
      <c r="K874" s="148">
        <v>1.5524000000000001E-4</v>
      </c>
    </row>
    <row r="875" spans="10:11" x14ac:dyDescent="0.25">
      <c r="J875" s="148">
        <v>8.74</v>
      </c>
      <c r="K875" s="148">
        <v>1.5470999999999999E-4</v>
      </c>
    </row>
    <row r="876" spans="10:11" x14ac:dyDescent="0.25">
      <c r="J876" s="148">
        <v>8.75</v>
      </c>
      <c r="K876" s="148">
        <v>1.5417999999999999E-4</v>
      </c>
    </row>
    <row r="877" spans="10:11" x14ac:dyDescent="0.25">
      <c r="J877" s="148">
        <v>8.76</v>
      </c>
      <c r="K877" s="148">
        <v>1.5365999999999999E-4</v>
      </c>
    </row>
    <row r="878" spans="10:11" x14ac:dyDescent="0.25">
      <c r="J878" s="148">
        <v>8.77</v>
      </c>
      <c r="K878" s="148">
        <v>1.5313999999999999E-4</v>
      </c>
    </row>
    <row r="879" spans="10:11" x14ac:dyDescent="0.25">
      <c r="J879" s="148">
        <v>8.7799999999999994</v>
      </c>
      <c r="K879" s="148">
        <v>1.5262000000000001E-4</v>
      </c>
    </row>
    <row r="880" spans="10:11" x14ac:dyDescent="0.25">
      <c r="J880" s="148">
        <v>8.7899999999999991</v>
      </c>
      <c r="K880" s="148">
        <v>1.5210000000000001E-4</v>
      </c>
    </row>
    <row r="881" spans="10:11" x14ac:dyDescent="0.25">
      <c r="J881" s="148">
        <v>8.8000000000000007</v>
      </c>
      <c r="K881" s="148">
        <v>1.5159E-4</v>
      </c>
    </row>
    <row r="882" spans="10:11" x14ac:dyDescent="0.25">
      <c r="J882" s="148">
        <v>8.81</v>
      </c>
      <c r="K882" s="148">
        <v>1.5107E-4</v>
      </c>
    </row>
    <row r="883" spans="10:11" x14ac:dyDescent="0.25">
      <c r="J883" s="148">
        <v>8.82</v>
      </c>
      <c r="K883" s="148">
        <v>1.5056E-4</v>
      </c>
    </row>
    <row r="884" spans="10:11" x14ac:dyDescent="0.25">
      <c r="J884" s="148">
        <v>8.83</v>
      </c>
      <c r="K884" s="148">
        <v>1.5006000000000001E-4</v>
      </c>
    </row>
    <row r="885" spans="10:11" x14ac:dyDescent="0.25">
      <c r="J885" s="148">
        <v>8.84</v>
      </c>
      <c r="K885" s="148">
        <v>1.4955E-4</v>
      </c>
    </row>
    <row r="886" spans="10:11" x14ac:dyDescent="0.25">
      <c r="J886" s="148">
        <v>8.85</v>
      </c>
      <c r="K886" s="148">
        <v>1.4904999999999999E-4</v>
      </c>
    </row>
    <row r="887" spans="10:11" x14ac:dyDescent="0.25">
      <c r="J887" s="148">
        <v>8.86</v>
      </c>
      <c r="K887" s="148">
        <v>1.4855000000000001E-4</v>
      </c>
    </row>
    <row r="888" spans="10:11" x14ac:dyDescent="0.25">
      <c r="J888" s="148">
        <v>8.8699999999999992</v>
      </c>
      <c r="K888" s="148">
        <v>1.4804999999999999E-4</v>
      </c>
    </row>
    <row r="889" spans="10:11" x14ac:dyDescent="0.25">
      <c r="J889" s="148">
        <v>8.8800000000000008</v>
      </c>
      <c r="K889" s="148">
        <v>1.4755000000000001E-4</v>
      </c>
    </row>
    <row r="890" spans="10:11" x14ac:dyDescent="0.25">
      <c r="J890" s="148">
        <v>8.89</v>
      </c>
      <c r="K890" s="148">
        <v>1.4705999999999999E-4</v>
      </c>
    </row>
    <row r="891" spans="10:11" x14ac:dyDescent="0.25">
      <c r="J891" s="148">
        <v>8.9</v>
      </c>
      <c r="K891" s="148">
        <v>1.4657E-4</v>
      </c>
    </row>
    <row r="892" spans="10:11" x14ac:dyDescent="0.25">
      <c r="J892" s="148">
        <v>8.91</v>
      </c>
      <c r="K892" s="148">
        <v>1.4608000000000001E-4</v>
      </c>
    </row>
    <row r="893" spans="10:11" x14ac:dyDescent="0.25">
      <c r="J893" s="148">
        <v>8.92</v>
      </c>
      <c r="K893" s="148">
        <v>1.4558999999999999E-4</v>
      </c>
    </row>
    <row r="894" spans="10:11" x14ac:dyDescent="0.25">
      <c r="J894" s="148">
        <v>8.93</v>
      </c>
      <c r="K894" s="148">
        <v>1.4511E-4</v>
      </c>
    </row>
    <row r="895" spans="10:11" x14ac:dyDescent="0.25">
      <c r="J895" s="148">
        <v>8.94</v>
      </c>
      <c r="K895" s="148">
        <v>1.4463E-4</v>
      </c>
    </row>
    <row r="896" spans="10:11" x14ac:dyDescent="0.25">
      <c r="J896" s="148">
        <v>8.9499999999999993</v>
      </c>
      <c r="K896" s="148">
        <v>1.4415000000000001E-4</v>
      </c>
    </row>
    <row r="897" spans="10:11" x14ac:dyDescent="0.25">
      <c r="J897" s="148">
        <v>8.9600000000000009</v>
      </c>
      <c r="K897" s="148">
        <v>1.4367000000000001E-4</v>
      </c>
    </row>
    <row r="898" spans="10:11" x14ac:dyDescent="0.25">
      <c r="J898" s="148">
        <v>8.9700000000000006</v>
      </c>
      <c r="K898" s="148">
        <v>1.4318999999999999E-4</v>
      </c>
    </row>
    <row r="899" spans="10:11" x14ac:dyDescent="0.25">
      <c r="J899" s="148">
        <v>8.98</v>
      </c>
      <c r="K899" s="148">
        <v>1.4271999999999999E-4</v>
      </c>
    </row>
    <row r="900" spans="10:11" x14ac:dyDescent="0.25">
      <c r="J900" s="148">
        <v>8.99</v>
      </c>
      <c r="K900" s="148">
        <v>1.4224999999999999E-4</v>
      </c>
    </row>
    <row r="901" spans="10:11" x14ac:dyDescent="0.25">
      <c r="J901" s="148">
        <v>9</v>
      </c>
      <c r="K901" s="148">
        <v>1.4177999999999999E-4</v>
      </c>
    </row>
    <row r="902" spans="10:11" x14ac:dyDescent="0.25">
      <c r="J902" s="148">
        <v>9.01</v>
      </c>
      <c r="K902" s="148">
        <v>1.4130999999999999E-4</v>
      </c>
    </row>
    <row r="903" spans="10:11" x14ac:dyDescent="0.25">
      <c r="J903" s="148">
        <v>9.02</v>
      </c>
      <c r="K903" s="148">
        <v>1.4085000000000001E-4</v>
      </c>
    </row>
    <row r="904" spans="10:11" x14ac:dyDescent="0.25">
      <c r="J904" s="148">
        <v>9.0299999999999994</v>
      </c>
      <c r="K904" s="148">
        <v>1.4038000000000001E-4</v>
      </c>
    </row>
    <row r="905" spans="10:11" x14ac:dyDescent="0.25">
      <c r="J905" s="148">
        <v>9.0399999999999991</v>
      </c>
      <c r="K905" s="148">
        <v>1.3992E-4</v>
      </c>
    </row>
    <row r="906" spans="10:11" x14ac:dyDescent="0.25">
      <c r="J906" s="148">
        <v>9.0500000000000007</v>
      </c>
      <c r="K906" s="148">
        <v>1.3946E-4</v>
      </c>
    </row>
    <row r="907" spans="10:11" x14ac:dyDescent="0.25">
      <c r="J907" s="148">
        <v>9.06</v>
      </c>
      <c r="K907" s="148">
        <v>1.3901000000000001E-4</v>
      </c>
    </row>
    <row r="908" spans="10:11" x14ac:dyDescent="0.25">
      <c r="J908" s="148">
        <v>9.07</v>
      </c>
      <c r="K908" s="148">
        <v>1.3855000000000001E-4</v>
      </c>
    </row>
    <row r="909" spans="10:11" x14ac:dyDescent="0.25">
      <c r="J909" s="148">
        <v>9.08</v>
      </c>
      <c r="K909" s="148">
        <v>1.381E-4</v>
      </c>
    </row>
    <row r="910" spans="10:11" x14ac:dyDescent="0.25">
      <c r="J910" s="148">
        <v>9.09</v>
      </c>
      <c r="K910" s="148">
        <v>1.3765000000000001E-4</v>
      </c>
    </row>
    <row r="911" spans="10:11" x14ac:dyDescent="0.25">
      <c r="J911" s="148">
        <v>9.1</v>
      </c>
      <c r="K911" s="148">
        <v>1.372E-4</v>
      </c>
    </row>
    <row r="912" spans="10:11" x14ac:dyDescent="0.25">
      <c r="J912" s="148">
        <v>9.11</v>
      </c>
      <c r="K912" s="148">
        <v>1.3676000000000001E-4</v>
      </c>
    </row>
    <row r="913" spans="10:11" x14ac:dyDescent="0.25">
      <c r="J913" s="148">
        <v>9.1199999999999992</v>
      </c>
      <c r="K913" s="148">
        <v>1.3631E-4</v>
      </c>
    </row>
    <row r="914" spans="10:11" x14ac:dyDescent="0.25">
      <c r="J914" s="148">
        <v>9.1300000000000008</v>
      </c>
      <c r="K914" s="148">
        <v>1.3587000000000001E-4</v>
      </c>
    </row>
    <row r="915" spans="10:11" x14ac:dyDescent="0.25">
      <c r="J915" s="148">
        <v>9.14</v>
      </c>
      <c r="K915" s="148">
        <v>1.3543E-4</v>
      </c>
    </row>
    <row r="916" spans="10:11" x14ac:dyDescent="0.25">
      <c r="J916" s="148">
        <v>9.15</v>
      </c>
      <c r="K916" s="148">
        <v>1.3499000000000001E-4</v>
      </c>
    </row>
    <row r="917" spans="10:11" x14ac:dyDescent="0.25">
      <c r="J917" s="148">
        <v>9.16</v>
      </c>
      <c r="K917" s="148">
        <v>1.3454999999999999E-4</v>
      </c>
    </row>
    <row r="918" spans="10:11" x14ac:dyDescent="0.25">
      <c r="J918" s="148">
        <v>9.17</v>
      </c>
      <c r="K918" s="148">
        <v>1.3412E-4</v>
      </c>
    </row>
    <row r="919" spans="10:11" x14ac:dyDescent="0.25">
      <c r="J919" s="148">
        <v>9.18</v>
      </c>
      <c r="K919" s="148">
        <v>1.3369E-4</v>
      </c>
    </row>
    <row r="920" spans="10:11" x14ac:dyDescent="0.25">
      <c r="J920" s="148">
        <v>9.19</v>
      </c>
      <c r="K920" s="148">
        <v>1.3326000000000001E-4</v>
      </c>
    </row>
    <row r="921" spans="10:11" x14ac:dyDescent="0.25">
      <c r="J921" s="148">
        <v>9.1999999999999993</v>
      </c>
      <c r="K921" s="148">
        <v>1.3282999999999999E-4</v>
      </c>
    </row>
    <row r="922" spans="10:11" x14ac:dyDescent="0.25">
      <c r="J922" s="148">
        <v>9.2100000000000009</v>
      </c>
      <c r="K922" s="148">
        <v>1.3239999999999999E-4</v>
      </c>
    </row>
    <row r="923" spans="10:11" x14ac:dyDescent="0.25">
      <c r="J923" s="148">
        <v>9.2200000000000006</v>
      </c>
      <c r="K923" s="148">
        <v>1.3197999999999999E-4</v>
      </c>
    </row>
    <row r="924" spans="10:11" x14ac:dyDescent="0.25">
      <c r="J924" s="148">
        <v>9.23</v>
      </c>
      <c r="K924" s="148">
        <v>1.3155E-4</v>
      </c>
    </row>
    <row r="925" spans="10:11" x14ac:dyDescent="0.25">
      <c r="J925" s="148">
        <v>9.24</v>
      </c>
      <c r="K925" s="148">
        <v>1.3113E-4</v>
      </c>
    </row>
    <row r="926" spans="10:11" x14ac:dyDescent="0.25">
      <c r="J926" s="148">
        <v>9.25</v>
      </c>
      <c r="K926" s="148">
        <v>1.3071E-4</v>
      </c>
    </row>
    <row r="927" spans="10:11" x14ac:dyDescent="0.25">
      <c r="J927" s="148">
        <v>9.26</v>
      </c>
      <c r="K927" s="148">
        <v>1.303E-4</v>
      </c>
    </row>
    <row r="928" spans="10:11" x14ac:dyDescent="0.25">
      <c r="J928" s="148">
        <v>9.27</v>
      </c>
      <c r="K928" s="148">
        <v>1.2988E-4</v>
      </c>
    </row>
    <row r="929" spans="10:11" x14ac:dyDescent="0.25">
      <c r="J929" s="148">
        <v>9.2799999999999994</v>
      </c>
      <c r="K929" s="148">
        <v>1.2946999999999999E-4</v>
      </c>
    </row>
    <row r="930" spans="10:11" x14ac:dyDescent="0.25">
      <c r="J930" s="148">
        <v>9.2899999999999991</v>
      </c>
      <c r="K930" s="148">
        <v>1.2905999999999999E-4</v>
      </c>
    </row>
    <row r="931" spans="10:11" x14ac:dyDescent="0.25">
      <c r="J931" s="148">
        <v>9.3000000000000007</v>
      </c>
      <c r="K931" s="148">
        <v>1.2865000000000001E-4</v>
      </c>
    </row>
    <row r="932" spans="10:11" x14ac:dyDescent="0.25">
      <c r="J932" s="148">
        <v>9.31</v>
      </c>
      <c r="K932" s="148">
        <v>1.2824000000000001E-4</v>
      </c>
    </row>
    <row r="933" spans="10:11" x14ac:dyDescent="0.25">
      <c r="J933" s="148">
        <v>9.32</v>
      </c>
      <c r="K933" s="148">
        <v>1.2783E-4</v>
      </c>
    </row>
    <row r="934" spans="10:11" x14ac:dyDescent="0.25">
      <c r="J934" s="148">
        <v>9.33</v>
      </c>
      <c r="K934" s="148">
        <v>1.2742999999999999E-4</v>
      </c>
    </row>
    <row r="935" spans="10:11" x14ac:dyDescent="0.25">
      <c r="J935" s="148">
        <v>9.34</v>
      </c>
      <c r="K935" s="148">
        <v>1.2703000000000001E-4</v>
      </c>
    </row>
    <row r="936" spans="10:11" x14ac:dyDescent="0.25">
      <c r="J936" s="148">
        <v>9.35</v>
      </c>
      <c r="K936" s="148">
        <v>1.2662E-4</v>
      </c>
    </row>
    <row r="937" spans="10:11" x14ac:dyDescent="0.25">
      <c r="J937" s="148">
        <v>9.36</v>
      </c>
      <c r="K937" s="148">
        <v>1.2622999999999999E-4</v>
      </c>
    </row>
    <row r="938" spans="10:11" x14ac:dyDescent="0.25">
      <c r="J938" s="148">
        <v>9.3699999999999992</v>
      </c>
      <c r="K938" s="148">
        <v>1.2583000000000001E-4</v>
      </c>
    </row>
    <row r="939" spans="10:11" x14ac:dyDescent="0.25">
      <c r="J939" s="148">
        <v>9.3800000000000008</v>
      </c>
      <c r="K939" s="148">
        <v>1.2543E-4</v>
      </c>
    </row>
    <row r="940" spans="10:11" x14ac:dyDescent="0.25">
      <c r="J940" s="148">
        <v>9.39</v>
      </c>
      <c r="K940" s="148">
        <v>1.2504000000000001E-4</v>
      </c>
    </row>
    <row r="941" spans="10:11" x14ac:dyDescent="0.25">
      <c r="J941" s="148">
        <v>9.4</v>
      </c>
      <c r="K941" s="148">
        <v>1.2464999999999999E-4</v>
      </c>
    </row>
    <row r="942" spans="10:11" x14ac:dyDescent="0.25">
      <c r="J942" s="148">
        <v>9.41</v>
      </c>
      <c r="K942" s="148">
        <v>1.2426000000000001E-4</v>
      </c>
    </row>
    <row r="943" spans="10:11" x14ac:dyDescent="0.25">
      <c r="J943" s="148">
        <v>9.42</v>
      </c>
      <c r="K943" s="148">
        <v>1.2386999999999999E-4</v>
      </c>
    </row>
    <row r="944" spans="10:11" x14ac:dyDescent="0.25">
      <c r="J944" s="148">
        <v>9.43</v>
      </c>
      <c r="K944" s="148">
        <v>1.2348E-4</v>
      </c>
    </row>
    <row r="945" spans="10:11" x14ac:dyDescent="0.25">
      <c r="J945" s="148">
        <v>9.44</v>
      </c>
      <c r="K945" s="148">
        <v>1.2308999999999999E-4</v>
      </c>
    </row>
    <row r="946" spans="10:11" x14ac:dyDescent="0.25">
      <c r="J946" s="148">
        <v>9.4499999999999993</v>
      </c>
      <c r="K946" s="148">
        <v>1.2271E-4</v>
      </c>
    </row>
    <row r="947" spans="10:11" x14ac:dyDescent="0.25">
      <c r="J947" s="148">
        <v>9.4600000000000009</v>
      </c>
      <c r="K947" s="148">
        <v>1.2233E-4</v>
      </c>
    </row>
    <row r="948" spans="10:11" x14ac:dyDescent="0.25">
      <c r="J948" s="148">
        <v>9.4700000000000006</v>
      </c>
      <c r="K948" s="148">
        <v>1.2195E-4</v>
      </c>
    </row>
    <row r="949" spans="10:11" x14ac:dyDescent="0.25">
      <c r="J949" s="148">
        <v>9.48</v>
      </c>
      <c r="K949" s="148">
        <v>1.2157E-4</v>
      </c>
    </row>
    <row r="950" spans="10:11" x14ac:dyDescent="0.25">
      <c r="J950" s="148">
        <v>9.49</v>
      </c>
      <c r="K950" s="148">
        <v>1.2119E-4</v>
      </c>
    </row>
    <row r="951" spans="10:11" x14ac:dyDescent="0.25">
      <c r="J951" s="148">
        <v>9.5</v>
      </c>
      <c r="K951" s="148">
        <v>1.2082E-4</v>
      </c>
    </row>
    <row r="952" spans="10:11" x14ac:dyDescent="0.25">
      <c r="J952" s="148">
        <v>9.51</v>
      </c>
      <c r="K952" s="148">
        <v>1.2044000000000001E-4</v>
      </c>
    </row>
    <row r="953" spans="10:11" x14ac:dyDescent="0.25">
      <c r="J953" s="148">
        <v>9.52</v>
      </c>
      <c r="K953" s="148">
        <v>1.2006999999999999E-4</v>
      </c>
    </row>
    <row r="954" spans="10:11" x14ac:dyDescent="0.25">
      <c r="J954" s="148">
        <v>9.5299999999999994</v>
      </c>
      <c r="K954" s="148">
        <v>1.197E-4</v>
      </c>
    </row>
    <row r="955" spans="10:11" x14ac:dyDescent="0.25">
      <c r="J955" s="148">
        <v>9.5399999999999991</v>
      </c>
      <c r="K955" s="148">
        <v>1.1933E-4</v>
      </c>
    </row>
    <row r="956" spans="10:11" x14ac:dyDescent="0.25">
      <c r="J956" s="148">
        <v>9.5500000000000007</v>
      </c>
      <c r="K956" s="148">
        <v>1.1896E-4</v>
      </c>
    </row>
    <row r="957" spans="10:11" x14ac:dyDescent="0.25">
      <c r="J957" s="148">
        <v>9.56</v>
      </c>
      <c r="K957" s="148">
        <v>1.186E-4</v>
      </c>
    </row>
    <row r="958" spans="10:11" x14ac:dyDescent="0.25">
      <c r="J958" s="148">
        <v>9.57</v>
      </c>
      <c r="K958" s="148">
        <v>1.1823E-4</v>
      </c>
    </row>
    <row r="959" spans="10:11" x14ac:dyDescent="0.25">
      <c r="J959" s="148">
        <v>9.58</v>
      </c>
      <c r="K959" s="148">
        <v>1.1786999999999999E-4</v>
      </c>
    </row>
    <row r="960" spans="10:11" x14ac:dyDescent="0.25">
      <c r="J960" s="148">
        <v>9.59</v>
      </c>
      <c r="K960" s="148">
        <v>1.1751E-4</v>
      </c>
    </row>
    <row r="961" spans="10:11" x14ac:dyDescent="0.25">
      <c r="J961" s="148">
        <v>9.6</v>
      </c>
      <c r="K961" s="148">
        <v>1.1715E-4</v>
      </c>
    </row>
    <row r="962" spans="10:11" x14ac:dyDescent="0.25">
      <c r="J962" s="148">
        <v>9.61</v>
      </c>
      <c r="K962" s="148">
        <v>1.1679E-4</v>
      </c>
    </row>
    <row r="963" spans="10:11" x14ac:dyDescent="0.25">
      <c r="J963" s="148">
        <v>9.6199999999999992</v>
      </c>
      <c r="K963" s="148">
        <v>1.1642999999999999E-4</v>
      </c>
    </row>
    <row r="964" spans="10:11" x14ac:dyDescent="0.25">
      <c r="J964" s="148">
        <v>9.6300000000000008</v>
      </c>
      <c r="K964" s="148">
        <v>1.1608E-4</v>
      </c>
    </row>
    <row r="965" spans="10:11" x14ac:dyDescent="0.25">
      <c r="J965" s="148">
        <v>9.64</v>
      </c>
      <c r="K965" s="148">
        <v>1.1573E-4</v>
      </c>
    </row>
    <row r="966" spans="10:11" x14ac:dyDescent="0.25">
      <c r="J966" s="148">
        <v>9.65</v>
      </c>
      <c r="K966" s="148">
        <v>1.1537E-4</v>
      </c>
    </row>
    <row r="967" spans="10:11" x14ac:dyDescent="0.25">
      <c r="J967" s="148">
        <v>9.66</v>
      </c>
      <c r="K967" s="148">
        <v>1.1502000000000001E-4</v>
      </c>
    </row>
    <row r="968" spans="10:11" x14ac:dyDescent="0.25">
      <c r="J968" s="148">
        <v>9.67</v>
      </c>
      <c r="K968" s="148">
        <v>1.1467E-4</v>
      </c>
    </row>
    <row r="969" spans="10:11" x14ac:dyDescent="0.25">
      <c r="J969" s="148">
        <v>9.68</v>
      </c>
      <c r="K969" s="148">
        <v>1.1433E-4</v>
      </c>
    </row>
    <row r="970" spans="10:11" x14ac:dyDescent="0.25">
      <c r="J970" s="148">
        <v>9.69</v>
      </c>
      <c r="K970" s="148">
        <v>1.1398E-4</v>
      </c>
    </row>
    <row r="971" spans="10:11" x14ac:dyDescent="0.25">
      <c r="J971" s="148">
        <v>9.6999999999999993</v>
      </c>
      <c r="K971" s="148">
        <v>1.1362999999999999E-4</v>
      </c>
    </row>
    <row r="972" spans="10:11" x14ac:dyDescent="0.25">
      <c r="J972" s="148">
        <v>9.7100000000000009</v>
      </c>
      <c r="K972" s="148">
        <v>1.1328999999999999E-4</v>
      </c>
    </row>
    <row r="973" spans="10:11" x14ac:dyDescent="0.25">
      <c r="J973" s="148">
        <v>9.7200000000000006</v>
      </c>
      <c r="K973" s="148">
        <v>1.1294999999999999E-4</v>
      </c>
    </row>
    <row r="974" spans="10:11" x14ac:dyDescent="0.25">
      <c r="J974" s="148">
        <v>9.73</v>
      </c>
      <c r="K974" s="148">
        <v>1.1260999999999999E-4</v>
      </c>
    </row>
    <row r="975" spans="10:11" x14ac:dyDescent="0.25">
      <c r="J975" s="148">
        <v>9.74</v>
      </c>
      <c r="K975" s="148">
        <v>1.1226999999999999E-4</v>
      </c>
    </row>
    <row r="976" spans="10:11" x14ac:dyDescent="0.25">
      <c r="J976" s="148">
        <v>9.75</v>
      </c>
      <c r="K976" s="148">
        <v>1.1192999999999999E-4</v>
      </c>
    </row>
    <row r="977" spans="10:11" x14ac:dyDescent="0.25">
      <c r="J977" s="148">
        <v>9.76</v>
      </c>
      <c r="K977" s="148">
        <v>1.116E-4</v>
      </c>
    </row>
    <row r="978" spans="10:11" x14ac:dyDescent="0.25">
      <c r="J978" s="148">
        <v>9.77</v>
      </c>
      <c r="K978" s="148">
        <v>1.1126E-4</v>
      </c>
    </row>
    <row r="979" spans="10:11" x14ac:dyDescent="0.25">
      <c r="J979" s="148">
        <v>9.7799999999999994</v>
      </c>
      <c r="K979" s="148">
        <v>1.1093E-4</v>
      </c>
    </row>
    <row r="980" spans="10:11" x14ac:dyDescent="0.25">
      <c r="J980" s="148">
        <v>9.7899999999999991</v>
      </c>
      <c r="K980" s="148">
        <v>1.106E-4</v>
      </c>
    </row>
    <row r="981" spans="10:11" x14ac:dyDescent="0.25">
      <c r="J981" s="148">
        <v>9.8000000000000007</v>
      </c>
      <c r="K981" s="148">
        <v>1.1027E-4</v>
      </c>
    </row>
    <row r="982" spans="10:11" x14ac:dyDescent="0.25">
      <c r="J982" s="148">
        <v>9.81</v>
      </c>
      <c r="K982" s="148">
        <v>1.0993999999999999E-4</v>
      </c>
    </row>
    <row r="983" spans="10:11" x14ac:dyDescent="0.25">
      <c r="J983" s="148">
        <v>9.82</v>
      </c>
      <c r="K983" s="148">
        <v>1.0961E-4</v>
      </c>
    </row>
    <row r="984" spans="10:11" x14ac:dyDescent="0.25">
      <c r="J984" s="148">
        <v>9.83</v>
      </c>
      <c r="K984" s="148">
        <v>1.0928E-4</v>
      </c>
    </row>
    <row r="985" spans="10:11" x14ac:dyDescent="0.25">
      <c r="J985" s="148">
        <v>9.84</v>
      </c>
      <c r="K985" s="148">
        <v>1.0896E-4</v>
      </c>
    </row>
    <row r="986" spans="10:11" x14ac:dyDescent="0.25">
      <c r="J986" s="148">
        <v>9.85</v>
      </c>
      <c r="K986" s="148">
        <v>1.0863E-4</v>
      </c>
    </row>
    <row r="987" spans="10:11" x14ac:dyDescent="0.25">
      <c r="J987" s="148">
        <v>9.86</v>
      </c>
      <c r="K987" s="148">
        <v>1.0831E-4</v>
      </c>
    </row>
    <row r="988" spans="10:11" x14ac:dyDescent="0.25">
      <c r="J988" s="148">
        <v>9.8699999999999992</v>
      </c>
      <c r="K988" s="148">
        <v>1.0799E-4</v>
      </c>
    </row>
    <row r="989" spans="10:11" x14ac:dyDescent="0.25">
      <c r="J989" s="148">
        <v>9.8800000000000008</v>
      </c>
      <c r="K989" s="148">
        <v>1.0767E-4</v>
      </c>
    </row>
    <row r="990" spans="10:11" x14ac:dyDescent="0.25">
      <c r="J990" s="148">
        <v>9.89</v>
      </c>
      <c r="K990" s="148">
        <v>1.0734999999999999E-4</v>
      </c>
    </row>
    <row r="991" spans="10:11" x14ac:dyDescent="0.25">
      <c r="J991" s="148">
        <v>9.9</v>
      </c>
      <c r="K991" s="148">
        <v>1.0704000000000001E-4</v>
      </c>
    </row>
    <row r="992" spans="10:11" x14ac:dyDescent="0.25">
      <c r="J992" s="148">
        <v>9.91</v>
      </c>
      <c r="K992" s="148">
        <v>1.0671999999999999E-4</v>
      </c>
    </row>
    <row r="993" spans="10:11" x14ac:dyDescent="0.25">
      <c r="J993" s="148">
        <v>9.92</v>
      </c>
      <c r="K993" s="148">
        <v>1.0641000000000001E-4</v>
      </c>
    </row>
    <row r="994" spans="10:11" x14ac:dyDescent="0.25">
      <c r="J994" s="148">
        <v>9.93</v>
      </c>
      <c r="K994" s="148">
        <v>1.0609E-4</v>
      </c>
    </row>
    <row r="995" spans="10:11" x14ac:dyDescent="0.25">
      <c r="J995" s="148">
        <v>9.94</v>
      </c>
      <c r="K995" s="148">
        <v>1.0577999999999999E-4</v>
      </c>
    </row>
    <row r="996" spans="10:11" x14ac:dyDescent="0.25">
      <c r="J996" s="148">
        <v>9.9499999999999993</v>
      </c>
      <c r="K996" s="148">
        <v>1.0547E-4</v>
      </c>
    </row>
    <row r="997" spans="10:11" x14ac:dyDescent="0.25">
      <c r="J997" s="148">
        <v>9.9600000000000009</v>
      </c>
      <c r="K997" s="148">
        <v>1.0516E-4</v>
      </c>
    </row>
    <row r="998" spans="10:11" x14ac:dyDescent="0.25">
      <c r="J998" s="148">
        <v>9.9700000000000006</v>
      </c>
      <c r="K998" s="148">
        <v>1.0485E-4</v>
      </c>
    </row>
    <row r="999" spans="10:11" x14ac:dyDescent="0.25">
      <c r="J999" s="148">
        <v>9.98</v>
      </c>
      <c r="K999" s="148">
        <v>1.0454999999999999E-4</v>
      </c>
    </row>
    <row r="1000" spans="10:11" x14ac:dyDescent="0.25">
      <c r="J1000" s="148">
        <v>9.99</v>
      </c>
      <c r="K1000" s="148">
        <v>1.0424E-4</v>
      </c>
    </row>
    <row r="1001" spans="10:11" x14ac:dyDescent="0.25">
      <c r="J1001" s="148">
        <v>10</v>
      </c>
      <c r="K1001" s="148">
        <v>1.0394E-4</v>
      </c>
    </row>
  </sheetData>
  <phoneticPr fontId="0" type="noConversion"/>
  <pageMargins left="0.75" right="0.75" top="1" bottom="1" header="0.5" footer="0.5"/>
  <pageSetup paperSize="9" orientation="portrait" horizontalDpi="4294967293" r:id="rId1"/>
  <headerFooter alignWithMargins="0"/>
  <ignoredErrors>
    <ignoredError sqref="C123 C125 C127 C134" formula="1"/>
  </ignoredError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82"/>
  <sheetViews>
    <sheetView workbookViewId="0"/>
  </sheetViews>
  <sheetFormatPr defaultRowHeight="12.5" x14ac:dyDescent="0.25"/>
  <cols>
    <col min="1" max="1" width="22.81640625" bestFit="1" customWidth="1"/>
    <col min="2" max="11" width="7" customWidth="1"/>
    <col min="12" max="12" width="11.81640625" bestFit="1" customWidth="1"/>
  </cols>
  <sheetData>
    <row r="1" spans="1:12" ht="13" x14ac:dyDescent="0.3">
      <c r="A1" s="2" t="str">
        <f>MODEL_NAME</f>
        <v>PAGE09</v>
      </c>
      <c r="B1" t="s">
        <v>44</v>
      </c>
      <c r="C1" s="71">
        <f>VERSION</f>
        <v>1.7</v>
      </c>
    </row>
    <row r="3" spans="1:12" ht="13" x14ac:dyDescent="0.3">
      <c r="A3" s="57" t="s">
        <v>56</v>
      </c>
      <c r="B3" s="151" t="s">
        <v>2163</v>
      </c>
      <c r="C3" s="128"/>
      <c r="D3" s="128"/>
      <c r="E3" s="128"/>
      <c r="F3" s="128"/>
      <c r="G3" s="128"/>
      <c r="H3" s="128"/>
      <c r="I3" s="128"/>
      <c r="J3" s="128"/>
      <c r="K3" s="128"/>
    </row>
    <row r="4" spans="1:12" s="2" customFormat="1" ht="13" x14ac:dyDescent="0.3">
      <c r="A4" s="151"/>
      <c r="B4" s="2">
        <f t="array" ref="B4:K4">Y</f>
        <v>2010</v>
      </c>
      <c r="C4" s="2">
        <v>2020</v>
      </c>
      <c r="D4" s="2">
        <v>2030</v>
      </c>
      <c r="E4" s="2">
        <v>2040</v>
      </c>
      <c r="F4" s="2">
        <v>2050</v>
      </c>
      <c r="G4" s="2">
        <v>2060</v>
      </c>
      <c r="H4" s="2">
        <v>2080</v>
      </c>
      <c r="I4" s="2">
        <v>2100</v>
      </c>
      <c r="J4" s="2">
        <v>2200</v>
      </c>
      <c r="K4" s="2">
        <v>2300</v>
      </c>
    </row>
    <row r="5" spans="1:12" x14ac:dyDescent="0.25">
      <c r="A5" t="str">
        <f t="array" ref="A5:A12">R_CODE&amp;" "&amp;'Base data'!$B$11&amp;" emissions"</f>
        <v>EU CO2 emissions</v>
      </c>
      <c r="B5" s="141">
        <v>101.99944105020478</v>
      </c>
      <c r="C5" s="141">
        <v>95.175227226743289</v>
      </c>
      <c r="D5" s="141">
        <v>78.18514129511172</v>
      </c>
      <c r="E5" s="141">
        <v>58.53059740588612</v>
      </c>
      <c r="F5" s="141">
        <v>37.2041692730538</v>
      </c>
      <c r="G5" s="141">
        <v>28.086259613381127</v>
      </c>
      <c r="H5" s="141">
        <v>16.473593142912463</v>
      </c>
      <c r="I5" s="141">
        <v>15.624045991541921</v>
      </c>
      <c r="J5" s="141">
        <v>17.336812838736098</v>
      </c>
      <c r="K5" s="141">
        <v>9.062102836546158</v>
      </c>
      <c r="L5" t="s">
        <v>46</v>
      </c>
    </row>
    <row r="6" spans="1:12" x14ac:dyDescent="0.25">
      <c r="A6" t="str">
        <v>US CO2 emissions</v>
      </c>
      <c r="B6" s="142">
        <v>93.289962228705676</v>
      </c>
      <c r="C6" s="142">
        <v>73.689423286377917</v>
      </c>
      <c r="D6" s="142">
        <v>62.857807532535759</v>
      </c>
      <c r="E6" s="142">
        <v>47.026083132627114</v>
      </c>
      <c r="F6" s="142">
        <v>30.767872576012785</v>
      </c>
      <c r="G6" s="142">
        <v>24.043547261785925</v>
      </c>
      <c r="H6" s="142">
        <v>14.14894590759433</v>
      </c>
      <c r="I6" s="142">
        <v>19.698122820778835</v>
      </c>
      <c r="J6" s="142">
        <v>14.548018970363618</v>
      </c>
      <c r="K6" s="142">
        <v>7.6043760294219496</v>
      </c>
      <c r="L6" t="s">
        <v>46</v>
      </c>
    </row>
    <row r="7" spans="1:12" x14ac:dyDescent="0.25">
      <c r="A7" t="str">
        <v>OT CO2 emissions</v>
      </c>
      <c r="B7" s="142">
        <v>132.5297297685299</v>
      </c>
      <c r="C7" s="142">
        <v>159.09063919295431</v>
      </c>
      <c r="D7" s="142">
        <v>160.15371421059953</v>
      </c>
      <c r="E7" s="142">
        <v>145.09360395009008</v>
      </c>
      <c r="F7" s="142">
        <v>107.13596029317583</v>
      </c>
      <c r="G7" s="142">
        <v>87.429640446478587</v>
      </c>
      <c r="H7" s="142">
        <v>59.249219020606191</v>
      </c>
      <c r="I7" s="142">
        <v>55.127871087085389</v>
      </c>
      <c r="J7" s="142">
        <v>81.757102601181117</v>
      </c>
      <c r="K7" s="142">
        <v>42.735148512105162</v>
      </c>
      <c r="L7" t="s">
        <v>46</v>
      </c>
    </row>
    <row r="8" spans="1:12" x14ac:dyDescent="0.25">
      <c r="A8" t="str">
        <v>EE CO2 emissions</v>
      </c>
      <c r="B8" s="142">
        <v>132.52972976852993</v>
      </c>
      <c r="C8" s="142">
        <v>159.09063919295434</v>
      </c>
      <c r="D8" s="142">
        <v>160.15371421059959</v>
      </c>
      <c r="E8" s="142">
        <v>145.09360395009008</v>
      </c>
      <c r="F8" s="142">
        <v>107.13596029317584</v>
      </c>
      <c r="G8" s="142">
        <v>87.429640446478601</v>
      </c>
      <c r="H8" s="142">
        <v>59.249219020606205</v>
      </c>
      <c r="I8" s="142">
        <v>55.127871087085403</v>
      </c>
      <c r="J8" s="142">
        <v>81.757102601181131</v>
      </c>
      <c r="K8" s="142">
        <v>42.73514851210517</v>
      </c>
      <c r="L8" t="s">
        <v>46</v>
      </c>
    </row>
    <row r="9" spans="1:12" x14ac:dyDescent="0.25">
      <c r="A9" t="str">
        <v>CA CO2 emissions</v>
      </c>
      <c r="B9" s="142">
        <v>132.52972976852993</v>
      </c>
      <c r="C9" s="142">
        <v>159.09063919295434</v>
      </c>
      <c r="D9" s="142">
        <v>160.15371421059956</v>
      </c>
      <c r="E9" s="142">
        <v>145.09360395009006</v>
      </c>
      <c r="F9" s="142">
        <v>107.13596029317584</v>
      </c>
      <c r="G9" s="142">
        <v>87.429640446478601</v>
      </c>
      <c r="H9" s="142">
        <v>59.249219020606191</v>
      </c>
      <c r="I9" s="142">
        <v>55.127871087085403</v>
      </c>
      <c r="J9" s="142">
        <v>81.757102601181131</v>
      </c>
      <c r="K9" s="142">
        <v>42.73514851210517</v>
      </c>
      <c r="L9" t="s">
        <v>46</v>
      </c>
    </row>
    <row r="10" spans="1:12" x14ac:dyDescent="0.25">
      <c r="A10" t="str">
        <v>IA CO2 emissions</v>
      </c>
      <c r="B10" s="142">
        <v>132.52972976852993</v>
      </c>
      <c r="C10" s="142">
        <v>159.09063919295434</v>
      </c>
      <c r="D10" s="142">
        <v>160.15371421059959</v>
      </c>
      <c r="E10" s="142">
        <v>145.09360395009006</v>
      </c>
      <c r="F10" s="142">
        <v>107.13596029317587</v>
      </c>
      <c r="G10" s="142">
        <v>87.429640446478601</v>
      </c>
      <c r="H10" s="142">
        <v>59.249219020606191</v>
      </c>
      <c r="I10" s="142">
        <v>55.127871087085403</v>
      </c>
      <c r="J10" s="142">
        <v>81.757102601181131</v>
      </c>
      <c r="K10" s="142">
        <v>42.735148512105177</v>
      </c>
      <c r="L10" t="s">
        <v>46</v>
      </c>
    </row>
    <row r="11" spans="1:12" x14ac:dyDescent="0.25">
      <c r="A11" t="str">
        <v>AF CO2 emissions</v>
      </c>
      <c r="B11" s="142">
        <v>132.52972976852993</v>
      </c>
      <c r="C11" s="142">
        <v>159.09063919295434</v>
      </c>
      <c r="D11" s="142">
        <v>160.15371421059959</v>
      </c>
      <c r="E11" s="142">
        <v>145.09360395009006</v>
      </c>
      <c r="F11" s="142">
        <v>107.13596029317584</v>
      </c>
      <c r="G11" s="142">
        <v>87.429640446478587</v>
      </c>
      <c r="H11" s="142">
        <v>59.249219020606191</v>
      </c>
      <c r="I11" s="142">
        <v>55.127871087085389</v>
      </c>
      <c r="J11" s="142">
        <v>81.757102601181117</v>
      </c>
      <c r="K11" s="142">
        <v>42.735148512105162</v>
      </c>
      <c r="L11" t="s">
        <v>46</v>
      </c>
    </row>
    <row r="12" spans="1:12" ht="13" thickBot="1" x14ac:dyDescent="0.3">
      <c r="A12" t="str">
        <v>LA CO2 emissions</v>
      </c>
      <c r="B12" s="143">
        <v>132.52972976852993</v>
      </c>
      <c r="C12" s="143">
        <v>159.09063919295434</v>
      </c>
      <c r="D12" s="143">
        <v>160.15371421059959</v>
      </c>
      <c r="E12" s="143">
        <v>145.09360395009008</v>
      </c>
      <c r="F12" s="143">
        <v>107.13596029317584</v>
      </c>
      <c r="G12" s="143">
        <v>87.429640446478601</v>
      </c>
      <c r="H12" s="143">
        <v>59.249219020606191</v>
      </c>
      <c r="I12" s="143">
        <v>55.127871087085403</v>
      </c>
      <c r="J12" s="143">
        <v>81.757102601181131</v>
      </c>
      <c r="K12" s="143">
        <v>42.735148512105177</v>
      </c>
      <c r="L12" t="s">
        <v>46</v>
      </c>
    </row>
    <row r="13" spans="1:12" ht="13" thickTop="1" x14ac:dyDescent="0.25"/>
    <row r="14" spans="1:12" x14ac:dyDescent="0.25">
      <c r="A14" t="str">
        <f t="array" ref="A14:A21">R_CODE&amp;" "&amp;'Base data'!$C$11&amp;" emissions"</f>
        <v>EU CH4 emissions</v>
      </c>
      <c r="B14" s="141">
        <v>0</v>
      </c>
      <c r="C14" s="141">
        <v>0</v>
      </c>
      <c r="D14" s="141">
        <v>0</v>
      </c>
      <c r="E14" s="141">
        <v>0</v>
      </c>
      <c r="F14" s="141">
        <v>0</v>
      </c>
      <c r="G14" s="141">
        <v>0</v>
      </c>
      <c r="H14" s="141">
        <v>0</v>
      </c>
      <c r="I14" s="141">
        <v>0</v>
      </c>
      <c r="J14" s="141">
        <v>0</v>
      </c>
      <c r="K14" s="141">
        <v>0</v>
      </c>
      <c r="L14" t="s">
        <v>46</v>
      </c>
    </row>
    <row r="15" spans="1:12" x14ac:dyDescent="0.25">
      <c r="A15" t="str">
        <v>US CH4 emissions</v>
      </c>
      <c r="B15" s="142">
        <v>0</v>
      </c>
      <c r="C15" s="142">
        <v>0</v>
      </c>
      <c r="D15" s="142">
        <v>0</v>
      </c>
      <c r="E15" s="142">
        <v>0</v>
      </c>
      <c r="F15" s="142">
        <v>0</v>
      </c>
      <c r="G15" s="142">
        <v>0</v>
      </c>
      <c r="H15" s="142">
        <v>0</v>
      </c>
      <c r="I15" s="142">
        <v>0</v>
      </c>
      <c r="J15" s="142">
        <v>0</v>
      </c>
      <c r="K15" s="142">
        <v>0</v>
      </c>
      <c r="L15" t="s">
        <v>46</v>
      </c>
    </row>
    <row r="16" spans="1:12" x14ac:dyDescent="0.25">
      <c r="A16" t="str">
        <v>OT CH4 emissions</v>
      </c>
      <c r="B16" s="142">
        <v>0</v>
      </c>
      <c r="C16" s="142">
        <v>0</v>
      </c>
      <c r="D16" s="142">
        <v>0</v>
      </c>
      <c r="E16" s="142">
        <v>0</v>
      </c>
      <c r="F16" s="142">
        <v>0</v>
      </c>
      <c r="G16" s="142">
        <v>0</v>
      </c>
      <c r="H16" s="142">
        <v>0</v>
      </c>
      <c r="I16" s="142">
        <v>0</v>
      </c>
      <c r="J16" s="142">
        <v>0</v>
      </c>
      <c r="K16" s="142">
        <v>0</v>
      </c>
      <c r="L16" t="s">
        <v>46</v>
      </c>
    </row>
    <row r="17" spans="1:12" x14ac:dyDescent="0.25">
      <c r="A17" t="str">
        <v>EE CH4 emissions</v>
      </c>
      <c r="B17" s="142">
        <v>0</v>
      </c>
      <c r="C17" s="142">
        <v>0</v>
      </c>
      <c r="D17" s="142">
        <v>0</v>
      </c>
      <c r="E17" s="142">
        <v>0</v>
      </c>
      <c r="F17" s="142">
        <v>0</v>
      </c>
      <c r="G17" s="142">
        <v>0</v>
      </c>
      <c r="H17" s="142">
        <v>0</v>
      </c>
      <c r="I17" s="142">
        <v>0</v>
      </c>
      <c r="J17" s="142">
        <v>0</v>
      </c>
      <c r="K17" s="142">
        <v>0</v>
      </c>
      <c r="L17" t="s">
        <v>46</v>
      </c>
    </row>
    <row r="18" spans="1:12" x14ac:dyDescent="0.25">
      <c r="A18" t="str">
        <v>CA CH4 emissions</v>
      </c>
      <c r="B18" s="142">
        <v>0</v>
      </c>
      <c r="C18" s="142">
        <v>0</v>
      </c>
      <c r="D18" s="142">
        <v>0</v>
      </c>
      <c r="E18" s="142">
        <v>0</v>
      </c>
      <c r="F18" s="142">
        <v>0</v>
      </c>
      <c r="G18" s="142">
        <v>0</v>
      </c>
      <c r="H18" s="142">
        <v>0</v>
      </c>
      <c r="I18" s="142">
        <v>0</v>
      </c>
      <c r="J18" s="142">
        <v>0</v>
      </c>
      <c r="K18" s="142">
        <v>0</v>
      </c>
      <c r="L18" t="s">
        <v>46</v>
      </c>
    </row>
    <row r="19" spans="1:12" x14ac:dyDescent="0.25">
      <c r="A19" t="str">
        <v>IA CH4 emissions</v>
      </c>
      <c r="B19" s="142">
        <v>0</v>
      </c>
      <c r="C19" s="142">
        <v>0</v>
      </c>
      <c r="D19" s="142">
        <v>0</v>
      </c>
      <c r="E19" s="142">
        <v>0</v>
      </c>
      <c r="F19" s="142">
        <v>0</v>
      </c>
      <c r="G19" s="142">
        <v>0</v>
      </c>
      <c r="H19" s="142">
        <v>0</v>
      </c>
      <c r="I19" s="142">
        <v>0</v>
      </c>
      <c r="J19" s="142">
        <v>0</v>
      </c>
      <c r="K19" s="142">
        <v>0</v>
      </c>
      <c r="L19" t="s">
        <v>46</v>
      </c>
    </row>
    <row r="20" spans="1:12" x14ac:dyDescent="0.25">
      <c r="A20" t="str">
        <v>AF CH4 emissions</v>
      </c>
      <c r="B20" s="142">
        <v>0</v>
      </c>
      <c r="C20" s="142">
        <v>0</v>
      </c>
      <c r="D20" s="142">
        <v>0</v>
      </c>
      <c r="E20" s="142">
        <v>0</v>
      </c>
      <c r="F20" s="142">
        <v>0</v>
      </c>
      <c r="G20" s="142">
        <v>0</v>
      </c>
      <c r="H20" s="142">
        <v>0</v>
      </c>
      <c r="I20" s="142">
        <v>0</v>
      </c>
      <c r="J20" s="142">
        <v>0</v>
      </c>
      <c r="K20" s="142">
        <v>0</v>
      </c>
      <c r="L20" t="s">
        <v>46</v>
      </c>
    </row>
    <row r="21" spans="1:12" ht="13" thickBot="1" x14ac:dyDescent="0.3">
      <c r="A21" t="str">
        <v>LA CH4 emissions</v>
      </c>
      <c r="B21" s="143">
        <v>0</v>
      </c>
      <c r="C21" s="143">
        <v>0</v>
      </c>
      <c r="D21" s="143">
        <v>0</v>
      </c>
      <c r="E21" s="143">
        <v>0</v>
      </c>
      <c r="F21" s="143">
        <v>0</v>
      </c>
      <c r="G21" s="143">
        <v>0</v>
      </c>
      <c r="H21" s="143">
        <v>0</v>
      </c>
      <c r="I21" s="143">
        <v>0</v>
      </c>
      <c r="J21" s="143">
        <v>0</v>
      </c>
      <c r="K21" s="143">
        <v>0</v>
      </c>
      <c r="L21" t="s">
        <v>46</v>
      </c>
    </row>
    <row r="22" spans="1:12" ht="13" thickTop="1" x14ac:dyDescent="0.25"/>
    <row r="23" spans="1:12" x14ac:dyDescent="0.25">
      <c r="A23" t="str">
        <f t="array" ref="A23:A30">R_CODE&amp;" "&amp;'Base data'!$D$11&amp;" emissions"</f>
        <v>EU N2O emissions</v>
      </c>
      <c r="B23" s="141">
        <v>0</v>
      </c>
      <c r="C23" s="141">
        <v>0</v>
      </c>
      <c r="D23" s="141">
        <v>0</v>
      </c>
      <c r="E23" s="141">
        <v>0</v>
      </c>
      <c r="F23" s="141">
        <v>0</v>
      </c>
      <c r="G23" s="141">
        <v>0</v>
      </c>
      <c r="H23" s="141">
        <v>0</v>
      </c>
      <c r="I23" s="141">
        <v>0</v>
      </c>
      <c r="J23" s="141">
        <v>0</v>
      </c>
      <c r="K23" s="141">
        <v>0</v>
      </c>
      <c r="L23" t="s">
        <v>46</v>
      </c>
    </row>
    <row r="24" spans="1:12" x14ac:dyDescent="0.25">
      <c r="A24" t="str">
        <v>US N2O emissions</v>
      </c>
      <c r="B24" s="142">
        <v>0</v>
      </c>
      <c r="C24" s="142">
        <v>0</v>
      </c>
      <c r="D24" s="142">
        <v>0</v>
      </c>
      <c r="E24" s="142">
        <v>0</v>
      </c>
      <c r="F24" s="142">
        <v>0</v>
      </c>
      <c r="G24" s="142">
        <v>0</v>
      </c>
      <c r="H24" s="142">
        <v>0</v>
      </c>
      <c r="I24" s="142">
        <v>0</v>
      </c>
      <c r="J24" s="142">
        <v>0</v>
      </c>
      <c r="K24" s="142">
        <v>0</v>
      </c>
      <c r="L24" t="s">
        <v>46</v>
      </c>
    </row>
    <row r="25" spans="1:12" x14ac:dyDescent="0.25">
      <c r="A25" t="str">
        <v>OT N2O emissions</v>
      </c>
      <c r="B25" s="142">
        <v>0</v>
      </c>
      <c r="C25" s="142">
        <v>0</v>
      </c>
      <c r="D25" s="142">
        <v>0</v>
      </c>
      <c r="E25" s="142">
        <v>0</v>
      </c>
      <c r="F25" s="142">
        <v>0</v>
      </c>
      <c r="G25" s="142">
        <v>0</v>
      </c>
      <c r="H25" s="142">
        <v>0</v>
      </c>
      <c r="I25" s="142">
        <v>0</v>
      </c>
      <c r="J25" s="142">
        <v>0</v>
      </c>
      <c r="K25" s="142">
        <v>0</v>
      </c>
      <c r="L25" t="s">
        <v>46</v>
      </c>
    </row>
    <row r="26" spans="1:12" x14ac:dyDescent="0.25">
      <c r="A26" t="str">
        <v>EE N2O emissions</v>
      </c>
      <c r="B26" s="142">
        <v>0</v>
      </c>
      <c r="C26" s="142">
        <v>0</v>
      </c>
      <c r="D26" s="142">
        <v>0</v>
      </c>
      <c r="E26" s="142">
        <v>0</v>
      </c>
      <c r="F26" s="142">
        <v>0</v>
      </c>
      <c r="G26" s="142">
        <v>0</v>
      </c>
      <c r="H26" s="142">
        <v>0</v>
      </c>
      <c r="I26" s="142">
        <v>0</v>
      </c>
      <c r="J26" s="142">
        <v>0</v>
      </c>
      <c r="K26" s="142">
        <v>0</v>
      </c>
      <c r="L26" t="s">
        <v>46</v>
      </c>
    </row>
    <row r="27" spans="1:12" x14ac:dyDescent="0.25">
      <c r="A27" t="str">
        <v>CA N2O emissions</v>
      </c>
      <c r="B27" s="142">
        <v>0</v>
      </c>
      <c r="C27" s="142">
        <v>0</v>
      </c>
      <c r="D27" s="142">
        <v>0</v>
      </c>
      <c r="E27" s="142">
        <v>0</v>
      </c>
      <c r="F27" s="142">
        <v>0</v>
      </c>
      <c r="G27" s="142">
        <v>0</v>
      </c>
      <c r="H27" s="142">
        <v>0</v>
      </c>
      <c r="I27" s="142">
        <v>0</v>
      </c>
      <c r="J27" s="142">
        <v>0</v>
      </c>
      <c r="K27" s="142">
        <v>0</v>
      </c>
      <c r="L27" t="s">
        <v>46</v>
      </c>
    </row>
    <row r="28" spans="1:12" x14ac:dyDescent="0.25">
      <c r="A28" t="str">
        <v>IA N2O emissions</v>
      </c>
      <c r="B28" s="142">
        <v>0</v>
      </c>
      <c r="C28" s="142">
        <v>0</v>
      </c>
      <c r="D28" s="142">
        <v>0</v>
      </c>
      <c r="E28" s="142">
        <v>0</v>
      </c>
      <c r="F28" s="142">
        <v>0</v>
      </c>
      <c r="G28" s="142">
        <v>0</v>
      </c>
      <c r="H28" s="142">
        <v>0</v>
      </c>
      <c r="I28" s="142">
        <v>0</v>
      </c>
      <c r="J28" s="142">
        <v>0</v>
      </c>
      <c r="K28" s="142">
        <v>0</v>
      </c>
      <c r="L28" t="s">
        <v>46</v>
      </c>
    </row>
    <row r="29" spans="1:12" x14ac:dyDescent="0.25">
      <c r="A29" t="str">
        <v>AF N2O emissions</v>
      </c>
      <c r="B29" s="142">
        <v>0</v>
      </c>
      <c r="C29" s="142">
        <v>0</v>
      </c>
      <c r="D29" s="142">
        <v>0</v>
      </c>
      <c r="E29" s="142">
        <v>0</v>
      </c>
      <c r="F29" s="142">
        <v>0</v>
      </c>
      <c r="G29" s="142">
        <v>0</v>
      </c>
      <c r="H29" s="142">
        <v>0</v>
      </c>
      <c r="I29" s="142">
        <v>0</v>
      </c>
      <c r="J29" s="142">
        <v>0</v>
      </c>
      <c r="K29" s="142">
        <v>0</v>
      </c>
      <c r="L29" t="s">
        <v>46</v>
      </c>
    </row>
    <row r="30" spans="1:12" ht="13" thickBot="1" x14ac:dyDescent="0.3">
      <c r="A30" t="str">
        <v>LA N2O emissions</v>
      </c>
      <c r="B30" s="143">
        <v>0</v>
      </c>
      <c r="C30" s="143">
        <v>0</v>
      </c>
      <c r="D30" s="143">
        <v>0</v>
      </c>
      <c r="E30" s="143">
        <v>0</v>
      </c>
      <c r="F30" s="143">
        <v>0</v>
      </c>
      <c r="G30" s="143">
        <v>0</v>
      </c>
      <c r="H30" s="143">
        <v>0</v>
      </c>
      <c r="I30" s="143">
        <v>0</v>
      </c>
      <c r="J30" s="143">
        <v>0</v>
      </c>
      <c r="K30" s="143">
        <v>0</v>
      </c>
      <c r="L30" t="s">
        <v>46</v>
      </c>
    </row>
    <row r="31" spans="1:12" ht="13" thickTop="1" x14ac:dyDescent="0.25"/>
    <row r="32" spans="1:12" x14ac:dyDescent="0.25">
      <c r="A32" t="str">
        <f t="array" ref="A32:A39">R_CODE&amp;" "&amp;GLIN_NAME&amp;" emissions"</f>
        <v>EU Lin emissions</v>
      </c>
      <c r="B32" s="141">
        <v>0</v>
      </c>
      <c r="C32" s="141">
        <v>0</v>
      </c>
      <c r="D32" s="141">
        <v>0</v>
      </c>
      <c r="E32" s="141">
        <v>0</v>
      </c>
      <c r="F32" s="141">
        <v>0</v>
      </c>
      <c r="G32" s="141">
        <v>0</v>
      </c>
      <c r="H32" s="141">
        <v>0</v>
      </c>
      <c r="I32" s="141">
        <v>0</v>
      </c>
      <c r="J32" s="141">
        <v>0</v>
      </c>
      <c r="K32" s="141">
        <v>0</v>
      </c>
      <c r="L32" t="s">
        <v>46</v>
      </c>
    </row>
    <row r="33" spans="1:12" x14ac:dyDescent="0.25">
      <c r="A33" t="str">
        <v>US Lin emissions</v>
      </c>
      <c r="B33" s="142">
        <v>0</v>
      </c>
      <c r="C33" s="142">
        <v>0</v>
      </c>
      <c r="D33" s="142">
        <v>0</v>
      </c>
      <c r="E33" s="142">
        <v>0</v>
      </c>
      <c r="F33" s="142">
        <v>0</v>
      </c>
      <c r="G33" s="142">
        <v>0</v>
      </c>
      <c r="H33" s="142">
        <v>0</v>
      </c>
      <c r="I33" s="142">
        <v>0</v>
      </c>
      <c r="J33" s="142">
        <v>0</v>
      </c>
      <c r="K33" s="142">
        <v>0</v>
      </c>
      <c r="L33" t="s">
        <v>46</v>
      </c>
    </row>
    <row r="34" spans="1:12" x14ac:dyDescent="0.25">
      <c r="A34" t="str">
        <v>OT Lin emissions</v>
      </c>
      <c r="B34" s="142">
        <v>0</v>
      </c>
      <c r="C34" s="142">
        <v>0</v>
      </c>
      <c r="D34" s="142">
        <v>0</v>
      </c>
      <c r="E34" s="142">
        <v>0</v>
      </c>
      <c r="F34" s="142">
        <v>0</v>
      </c>
      <c r="G34" s="142">
        <v>0</v>
      </c>
      <c r="H34" s="142">
        <v>0</v>
      </c>
      <c r="I34" s="142">
        <v>0</v>
      </c>
      <c r="J34" s="142">
        <v>0</v>
      </c>
      <c r="K34" s="142">
        <v>0</v>
      </c>
      <c r="L34" t="s">
        <v>46</v>
      </c>
    </row>
    <row r="35" spans="1:12" x14ac:dyDescent="0.25">
      <c r="A35" t="str">
        <v>EE Lin emissions</v>
      </c>
      <c r="B35" s="142">
        <v>0</v>
      </c>
      <c r="C35" s="142">
        <v>0</v>
      </c>
      <c r="D35" s="142">
        <v>0</v>
      </c>
      <c r="E35" s="142">
        <v>0</v>
      </c>
      <c r="F35" s="142">
        <v>0</v>
      </c>
      <c r="G35" s="142">
        <v>0</v>
      </c>
      <c r="H35" s="142">
        <v>0</v>
      </c>
      <c r="I35" s="142">
        <v>0</v>
      </c>
      <c r="J35" s="142">
        <v>0</v>
      </c>
      <c r="K35" s="142">
        <v>0</v>
      </c>
      <c r="L35" t="s">
        <v>46</v>
      </c>
    </row>
    <row r="36" spans="1:12" x14ac:dyDescent="0.25">
      <c r="A36" t="str">
        <v>CA Lin emissions</v>
      </c>
      <c r="B36" s="142">
        <v>0</v>
      </c>
      <c r="C36" s="142">
        <v>0</v>
      </c>
      <c r="D36" s="142">
        <v>0</v>
      </c>
      <c r="E36" s="142">
        <v>0</v>
      </c>
      <c r="F36" s="142">
        <v>0</v>
      </c>
      <c r="G36" s="142">
        <v>0</v>
      </c>
      <c r="H36" s="142">
        <v>0</v>
      </c>
      <c r="I36" s="142">
        <v>0</v>
      </c>
      <c r="J36" s="142">
        <v>0</v>
      </c>
      <c r="K36" s="142">
        <v>0</v>
      </c>
      <c r="L36" t="s">
        <v>46</v>
      </c>
    </row>
    <row r="37" spans="1:12" x14ac:dyDescent="0.25">
      <c r="A37" t="str">
        <v>IA Lin emissions</v>
      </c>
      <c r="B37" s="142">
        <v>0</v>
      </c>
      <c r="C37" s="142">
        <v>0</v>
      </c>
      <c r="D37" s="142">
        <v>0</v>
      </c>
      <c r="E37" s="142">
        <v>0</v>
      </c>
      <c r="F37" s="142">
        <v>0</v>
      </c>
      <c r="G37" s="142">
        <v>0</v>
      </c>
      <c r="H37" s="142">
        <v>0</v>
      </c>
      <c r="I37" s="142">
        <v>0</v>
      </c>
      <c r="J37" s="142">
        <v>0</v>
      </c>
      <c r="K37" s="142">
        <v>0</v>
      </c>
      <c r="L37" t="s">
        <v>46</v>
      </c>
    </row>
    <row r="38" spans="1:12" x14ac:dyDescent="0.25">
      <c r="A38" t="str">
        <v>AF Lin emissions</v>
      </c>
      <c r="B38" s="142">
        <v>0</v>
      </c>
      <c r="C38" s="142">
        <v>0</v>
      </c>
      <c r="D38" s="142">
        <v>0</v>
      </c>
      <c r="E38" s="142">
        <v>0</v>
      </c>
      <c r="F38" s="142">
        <v>0</v>
      </c>
      <c r="G38" s="142">
        <v>0</v>
      </c>
      <c r="H38" s="142">
        <v>0</v>
      </c>
      <c r="I38" s="142">
        <v>0</v>
      </c>
      <c r="J38" s="142">
        <v>0</v>
      </c>
      <c r="K38" s="142">
        <v>0</v>
      </c>
      <c r="L38" t="s">
        <v>46</v>
      </c>
    </row>
    <row r="39" spans="1:12" ht="13" thickBot="1" x14ac:dyDescent="0.3">
      <c r="A39" t="str">
        <v>LA Lin emissions</v>
      </c>
      <c r="B39" s="143">
        <v>0</v>
      </c>
      <c r="C39" s="143">
        <v>0</v>
      </c>
      <c r="D39" s="143">
        <v>0</v>
      </c>
      <c r="E39" s="143">
        <v>0</v>
      </c>
      <c r="F39" s="143">
        <v>0</v>
      </c>
      <c r="G39" s="143">
        <v>0</v>
      </c>
      <c r="H39" s="143">
        <v>0</v>
      </c>
      <c r="I39" s="143">
        <v>0</v>
      </c>
      <c r="J39" s="143">
        <v>0</v>
      </c>
      <c r="K39" s="143">
        <v>0</v>
      </c>
      <c r="L39" t="s">
        <v>46</v>
      </c>
    </row>
    <row r="40" spans="1:12" ht="13" thickTop="1" x14ac:dyDescent="0.25"/>
    <row r="41" spans="1:12" x14ac:dyDescent="0.25">
      <c r="A41" t="str">
        <f t="array" ref="A41:A48">R_CODE&amp;" sulphates"</f>
        <v>EU sulphates</v>
      </c>
      <c r="B41" s="141">
        <v>58.020274006747485</v>
      </c>
      <c r="C41" s="141">
        <v>40.3525638135512</v>
      </c>
      <c r="D41" s="141">
        <v>40.11945631094391</v>
      </c>
      <c r="E41" s="141">
        <v>37.093332805558113</v>
      </c>
      <c r="F41" s="141">
        <v>40.411666706833671</v>
      </c>
      <c r="G41" s="141">
        <v>37.738156531496642</v>
      </c>
      <c r="H41" s="141">
        <v>32.391136180822585</v>
      </c>
      <c r="I41" s="141">
        <v>27.04411583014852</v>
      </c>
      <c r="J41" s="141">
        <v>27.04411583014852</v>
      </c>
      <c r="K41" s="141">
        <v>27.04411583014852</v>
      </c>
      <c r="L41" t="s">
        <v>46</v>
      </c>
    </row>
    <row r="42" spans="1:12" x14ac:dyDescent="0.25">
      <c r="A42" t="str">
        <v>US sulphates</v>
      </c>
      <c r="B42" s="142">
        <v>58.020274006747485</v>
      </c>
      <c r="C42" s="142">
        <v>40.352563813551193</v>
      </c>
      <c r="D42" s="142">
        <v>40.11945631094391</v>
      </c>
      <c r="E42" s="142">
        <v>37.093332805558106</v>
      </c>
      <c r="F42" s="142">
        <v>40.411666706833671</v>
      </c>
      <c r="G42" s="142">
        <v>37.738156531496642</v>
      </c>
      <c r="H42" s="142">
        <v>32.391136180822585</v>
      </c>
      <c r="I42" s="142">
        <v>27.04411583014852</v>
      </c>
      <c r="J42" s="142">
        <v>27.04411583014852</v>
      </c>
      <c r="K42" s="142">
        <v>27.04411583014852</v>
      </c>
      <c r="L42" t="s">
        <v>46</v>
      </c>
    </row>
    <row r="43" spans="1:12" x14ac:dyDescent="0.25">
      <c r="A43" t="str">
        <v>OT sulphates</v>
      </c>
      <c r="B43" s="142">
        <v>58.020274006747485</v>
      </c>
      <c r="C43" s="142">
        <v>40.3525638135512</v>
      </c>
      <c r="D43" s="142">
        <v>40.11945631094391</v>
      </c>
      <c r="E43" s="142">
        <v>37.093332805558106</v>
      </c>
      <c r="F43" s="142">
        <v>40.411666706833671</v>
      </c>
      <c r="G43" s="142">
        <v>37.738156531496642</v>
      </c>
      <c r="H43" s="142">
        <v>32.391136180822585</v>
      </c>
      <c r="I43" s="142">
        <v>27.04411583014852</v>
      </c>
      <c r="J43" s="142">
        <v>27.04411583014852</v>
      </c>
      <c r="K43" s="142">
        <v>27.04411583014852</v>
      </c>
      <c r="L43" t="s">
        <v>46</v>
      </c>
    </row>
    <row r="44" spans="1:12" x14ac:dyDescent="0.25">
      <c r="A44" t="str">
        <v>EE sulphates</v>
      </c>
      <c r="B44" s="142">
        <v>110.35586956862728</v>
      </c>
      <c r="C44" s="142">
        <v>97.600882832508844</v>
      </c>
      <c r="D44" s="142">
        <v>71.06007508096414</v>
      </c>
      <c r="E44" s="142">
        <v>38.588333173741702</v>
      </c>
      <c r="F44" s="142">
        <v>31.434623496873058</v>
      </c>
      <c r="G44" s="142">
        <v>27.967462960588186</v>
      </c>
      <c r="H44" s="142">
        <v>21.033141888018442</v>
      </c>
      <c r="I44" s="142">
        <v>14.098820815448695</v>
      </c>
      <c r="J44" s="142">
        <v>14.098820815448695</v>
      </c>
      <c r="K44" s="142">
        <v>14.098820815448695</v>
      </c>
      <c r="L44" t="s">
        <v>46</v>
      </c>
    </row>
    <row r="45" spans="1:12" x14ac:dyDescent="0.25">
      <c r="A45" t="str">
        <v>CA sulphates</v>
      </c>
      <c r="B45" s="142">
        <v>166.30430588217396</v>
      </c>
      <c r="C45" s="142">
        <v>214.30034446944796</v>
      </c>
      <c r="D45" s="142">
        <v>151.45603567975175</v>
      </c>
      <c r="E45" s="142">
        <v>78.292937932150764</v>
      </c>
      <c r="F45" s="142">
        <v>59.810967368484569</v>
      </c>
      <c r="G45" s="142">
        <v>52.900983248231142</v>
      </c>
      <c r="H45" s="142">
        <v>39.081015007724289</v>
      </c>
      <c r="I45" s="142">
        <v>25.261046767217433</v>
      </c>
      <c r="J45" s="142">
        <v>25.261046767217433</v>
      </c>
      <c r="K45" s="142">
        <v>25.261046767217433</v>
      </c>
      <c r="L45" t="s">
        <v>46</v>
      </c>
    </row>
    <row r="46" spans="1:12" x14ac:dyDescent="0.25">
      <c r="A46" t="str">
        <v>IA sulphates</v>
      </c>
      <c r="B46" s="142">
        <v>166.30430588217396</v>
      </c>
      <c r="C46" s="142">
        <v>214.30034446944796</v>
      </c>
      <c r="D46" s="142">
        <v>151.45603567975172</v>
      </c>
      <c r="E46" s="142">
        <v>78.292937932150764</v>
      </c>
      <c r="F46" s="142">
        <v>59.810967368484569</v>
      </c>
      <c r="G46" s="142">
        <v>52.900983248231142</v>
      </c>
      <c r="H46" s="142">
        <v>39.081015007724275</v>
      </c>
      <c r="I46" s="142">
        <v>25.261046767217426</v>
      </c>
      <c r="J46" s="142">
        <v>25.261046767217426</v>
      </c>
      <c r="K46" s="142">
        <v>25.261046767217426</v>
      </c>
      <c r="L46" t="s">
        <v>46</v>
      </c>
    </row>
    <row r="47" spans="1:12" x14ac:dyDescent="0.25">
      <c r="A47" t="str">
        <v>AF sulphates</v>
      </c>
      <c r="B47" s="142">
        <v>156.19858107901484</v>
      </c>
      <c r="C47" s="142">
        <v>197.92171788554691</v>
      </c>
      <c r="D47" s="142">
        <v>291.43805464151484</v>
      </c>
      <c r="E47" s="142">
        <v>277.53362091491721</v>
      </c>
      <c r="F47" s="142">
        <v>278.39869789809103</v>
      </c>
      <c r="G47" s="142">
        <v>241.54174767326876</v>
      </c>
      <c r="H47" s="142">
        <v>167.82784722362419</v>
      </c>
      <c r="I47" s="142">
        <v>94.113946773979634</v>
      </c>
      <c r="J47" s="142">
        <v>94.113946773979634</v>
      </c>
      <c r="K47" s="142">
        <v>94.113946773979634</v>
      </c>
      <c r="L47" t="s">
        <v>46</v>
      </c>
    </row>
    <row r="48" spans="1:12" ht="13" thickBot="1" x14ac:dyDescent="0.3">
      <c r="A48" t="str">
        <v>LA sulphates</v>
      </c>
      <c r="B48" s="143">
        <v>156.19858107901487</v>
      </c>
      <c r="C48" s="143">
        <v>197.92171788554694</v>
      </c>
      <c r="D48" s="143">
        <v>246.13680262469902</v>
      </c>
      <c r="E48" s="143">
        <v>277.53362091491721</v>
      </c>
      <c r="F48" s="143">
        <v>278.39869789809103</v>
      </c>
      <c r="G48" s="143">
        <v>241.54174767326876</v>
      </c>
      <c r="H48" s="143">
        <v>167.82784722362419</v>
      </c>
      <c r="I48" s="143">
        <v>94.113946773979634</v>
      </c>
      <c r="J48" s="143">
        <v>94.113946773979634</v>
      </c>
      <c r="K48" s="143">
        <v>94.113946773979634</v>
      </c>
      <c r="L48" t="s">
        <v>46</v>
      </c>
    </row>
    <row r="49" spans="1:20" ht="13" thickTop="1" x14ac:dyDescent="0.25">
      <c r="B49" s="87"/>
      <c r="C49" s="87"/>
      <c r="D49" s="87"/>
      <c r="E49" s="87"/>
      <c r="F49" s="87"/>
      <c r="G49" s="87"/>
      <c r="H49" s="87"/>
      <c r="I49" s="87"/>
      <c r="J49" s="87"/>
      <c r="K49" s="87"/>
    </row>
    <row r="50" spans="1:20" s="12" customFormat="1" ht="13" thickBot="1" x14ac:dyDescent="0.3">
      <c r="A50" t="s">
        <v>42</v>
      </c>
      <c r="B50" s="146">
        <v>1.5422163220787493</v>
      </c>
      <c r="C50" s="146">
        <v>1.5787152033251137</v>
      </c>
      <c r="D50" s="146">
        <v>1.621731103602051</v>
      </c>
      <c r="E50" s="146">
        <v>1.6501311844225011</v>
      </c>
      <c r="F50" s="146">
        <v>1.6216083298916226</v>
      </c>
      <c r="G50" s="146">
        <v>1.5892640563291305</v>
      </c>
      <c r="H50" s="146">
        <v>1.5218532376710234</v>
      </c>
      <c r="I50" s="146">
        <v>1.4383108311930093</v>
      </c>
      <c r="J50" s="146">
        <v>1.4383108311930093</v>
      </c>
      <c r="K50" s="146">
        <v>1.4383108311930093</v>
      </c>
      <c r="L50" s="12" t="s">
        <v>51</v>
      </c>
    </row>
    <row r="51" spans="1:20" ht="13" thickTop="1" x14ac:dyDescent="0.25">
      <c r="B51" s="87"/>
      <c r="C51" s="87"/>
      <c r="D51" s="87"/>
      <c r="E51" s="87"/>
      <c r="F51" s="87"/>
      <c r="G51" s="87"/>
      <c r="H51" s="87"/>
      <c r="I51" s="87"/>
      <c r="J51" s="87"/>
      <c r="K51" s="87"/>
      <c r="L51" s="12"/>
      <c r="M51" s="126"/>
      <c r="N51" s="126"/>
      <c r="O51" s="126"/>
      <c r="P51" s="126"/>
      <c r="Q51" s="126"/>
      <c r="R51" s="126"/>
      <c r="S51" s="126"/>
      <c r="T51" s="126"/>
    </row>
    <row r="52" spans="1:20" ht="13" x14ac:dyDescent="0.3">
      <c r="A52" s="2" t="s">
        <v>244</v>
      </c>
    </row>
    <row r="53" spans="1:20" ht="13" x14ac:dyDescent="0.3">
      <c r="A53" s="2"/>
      <c r="B53" s="3" t="s">
        <v>249</v>
      </c>
      <c r="C53" s="3" t="s">
        <v>245</v>
      </c>
      <c r="D53" s="3" t="s">
        <v>246</v>
      </c>
      <c r="F53" s="3" t="s">
        <v>478</v>
      </c>
      <c r="G53" s="3" t="s">
        <v>247</v>
      </c>
      <c r="H53" s="3" t="s">
        <v>248</v>
      </c>
      <c r="I53" s="3" t="s">
        <v>479</v>
      </c>
    </row>
    <row r="54" spans="1:20" s="2" customFormat="1" ht="13" x14ac:dyDescent="0.3">
      <c r="A54" t="str">
        <f t="array" ref="A54:A61">R_CODE&amp;" sea level"</f>
        <v>EU sea level</v>
      </c>
      <c r="B54" s="120">
        <v>0.25</v>
      </c>
      <c r="C54" s="74">
        <v>2000</v>
      </c>
      <c r="D54" s="74">
        <v>20</v>
      </c>
      <c r="E54"/>
      <c r="F54" s="74">
        <v>50</v>
      </c>
      <c r="G54" s="74">
        <v>2020</v>
      </c>
      <c r="H54" s="74">
        <v>40</v>
      </c>
      <c r="I54" s="74">
        <v>1</v>
      </c>
      <c r="J54"/>
      <c r="K54"/>
      <c r="L54"/>
    </row>
    <row r="55" spans="1:20" x14ac:dyDescent="0.25">
      <c r="A55" t="str">
        <v>US sea level</v>
      </c>
      <c r="B55" s="121">
        <v>0.25</v>
      </c>
      <c r="C55" s="75">
        <v>2000</v>
      </c>
      <c r="D55" s="75">
        <v>20</v>
      </c>
      <c r="F55" s="75">
        <v>50</v>
      </c>
      <c r="G55" s="75">
        <v>2020</v>
      </c>
      <c r="H55" s="75">
        <v>40</v>
      </c>
      <c r="I55" s="75">
        <v>1</v>
      </c>
    </row>
    <row r="56" spans="1:20" x14ac:dyDescent="0.25">
      <c r="A56" t="str">
        <v>OT sea level</v>
      </c>
      <c r="B56" s="121">
        <v>0.25</v>
      </c>
      <c r="C56" s="75">
        <v>2000</v>
      </c>
      <c r="D56" s="75">
        <v>20</v>
      </c>
      <c r="F56" s="75">
        <v>50</v>
      </c>
      <c r="G56" s="75">
        <v>2020</v>
      </c>
      <c r="H56" s="75">
        <v>40</v>
      </c>
      <c r="I56" s="75">
        <v>1</v>
      </c>
    </row>
    <row r="57" spans="1:20" x14ac:dyDescent="0.25">
      <c r="A57" t="str">
        <v>EE sea level</v>
      </c>
      <c r="B57" s="121">
        <v>0.25</v>
      </c>
      <c r="C57" s="75">
        <v>2000</v>
      </c>
      <c r="D57" s="75">
        <v>20</v>
      </c>
      <c r="F57" s="75">
        <v>50</v>
      </c>
      <c r="G57" s="75">
        <v>2020</v>
      </c>
      <c r="H57" s="75">
        <v>40</v>
      </c>
      <c r="I57" s="75">
        <v>1</v>
      </c>
    </row>
    <row r="58" spans="1:20" x14ac:dyDescent="0.25">
      <c r="A58" t="str">
        <v>CA sea level</v>
      </c>
      <c r="B58" s="121">
        <v>0.2</v>
      </c>
      <c r="C58" s="75">
        <v>2000</v>
      </c>
      <c r="D58" s="75">
        <v>30</v>
      </c>
      <c r="F58" s="75">
        <v>25</v>
      </c>
      <c r="G58" s="75">
        <v>2020</v>
      </c>
      <c r="H58" s="75">
        <v>40</v>
      </c>
      <c r="I58" s="75">
        <v>1</v>
      </c>
    </row>
    <row r="59" spans="1:20" x14ac:dyDescent="0.25">
      <c r="A59" t="str">
        <v>IA sea level</v>
      </c>
      <c r="B59" s="121">
        <v>0.2</v>
      </c>
      <c r="C59" s="75">
        <v>2000</v>
      </c>
      <c r="D59" s="75">
        <v>30</v>
      </c>
      <c r="F59" s="75">
        <v>25</v>
      </c>
      <c r="G59" s="75">
        <v>2020</v>
      </c>
      <c r="H59" s="75">
        <v>40</v>
      </c>
      <c r="I59" s="75">
        <v>1</v>
      </c>
    </row>
    <row r="60" spans="1:20" x14ac:dyDescent="0.25">
      <c r="A60" t="str">
        <v>AF sea level</v>
      </c>
      <c r="B60" s="121">
        <v>0.2</v>
      </c>
      <c r="C60" s="75">
        <v>2000</v>
      </c>
      <c r="D60" s="75">
        <v>30</v>
      </c>
      <c r="F60" s="75">
        <v>25</v>
      </c>
      <c r="G60" s="75">
        <v>2020</v>
      </c>
      <c r="H60" s="75">
        <v>40</v>
      </c>
      <c r="I60" s="75">
        <v>1</v>
      </c>
    </row>
    <row r="61" spans="1:20" ht="13" thickBot="1" x14ac:dyDescent="0.3">
      <c r="A61" t="str">
        <v>LA sea level</v>
      </c>
      <c r="B61" s="88">
        <v>0.2</v>
      </c>
      <c r="C61" s="76">
        <v>2000</v>
      </c>
      <c r="D61" s="76">
        <v>30</v>
      </c>
      <c r="F61" s="76">
        <v>25</v>
      </c>
      <c r="G61" s="76">
        <v>2020</v>
      </c>
      <c r="H61" s="76">
        <v>40</v>
      </c>
      <c r="I61" s="76">
        <v>1</v>
      </c>
    </row>
    <row r="62" spans="1:20" ht="13" thickTop="1" x14ac:dyDescent="0.25"/>
    <row r="63" spans="1:20" ht="13" x14ac:dyDescent="0.3">
      <c r="A63" s="2"/>
      <c r="B63" s="3" t="s">
        <v>249</v>
      </c>
      <c r="C63" s="3" t="s">
        <v>245</v>
      </c>
      <c r="D63" s="3" t="s">
        <v>246</v>
      </c>
      <c r="F63" s="3" t="s">
        <v>478</v>
      </c>
      <c r="G63" s="3" t="s">
        <v>247</v>
      </c>
      <c r="H63" s="3" t="s">
        <v>248</v>
      </c>
      <c r="I63" s="3" t="s">
        <v>479</v>
      </c>
    </row>
    <row r="64" spans="1:20" x14ac:dyDescent="0.25">
      <c r="A64" t="str">
        <f t="array" ref="A64:A71">R_CODE&amp;" "&amp;I_1_NAME</f>
        <v>EU Economic</v>
      </c>
      <c r="B64" s="117">
        <v>1</v>
      </c>
      <c r="C64" s="74">
        <v>2000</v>
      </c>
      <c r="D64" s="74">
        <v>20</v>
      </c>
      <c r="F64" s="74">
        <v>30</v>
      </c>
      <c r="G64" s="74">
        <v>2010</v>
      </c>
      <c r="H64" s="74">
        <v>20</v>
      </c>
      <c r="I64" s="74">
        <v>2</v>
      </c>
    </row>
    <row r="65" spans="1:9" x14ac:dyDescent="0.25">
      <c r="A65" t="str">
        <v>US Economic</v>
      </c>
      <c r="B65" s="118">
        <v>1</v>
      </c>
      <c r="C65" s="75">
        <v>2000</v>
      </c>
      <c r="D65" s="75">
        <v>20</v>
      </c>
      <c r="F65" s="75">
        <v>30</v>
      </c>
      <c r="G65" s="75">
        <v>2010</v>
      </c>
      <c r="H65" s="75">
        <v>20</v>
      </c>
      <c r="I65" s="75">
        <v>2</v>
      </c>
    </row>
    <row r="66" spans="1:9" x14ac:dyDescent="0.25">
      <c r="A66" t="str">
        <v>OT Economic</v>
      </c>
      <c r="B66" s="118">
        <v>1</v>
      </c>
      <c r="C66" s="75">
        <v>2000</v>
      </c>
      <c r="D66" s="75">
        <v>20</v>
      </c>
      <c r="F66" s="75">
        <v>30</v>
      </c>
      <c r="G66" s="75">
        <v>2010</v>
      </c>
      <c r="H66" s="75">
        <v>20</v>
      </c>
      <c r="I66" s="75">
        <v>2</v>
      </c>
    </row>
    <row r="67" spans="1:9" x14ac:dyDescent="0.25">
      <c r="A67" t="str">
        <v>EE Economic</v>
      </c>
      <c r="B67" s="118">
        <v>1</v>
      </c>
      <c r="C67" s="75">
        <v>2000</v>
      </c>
      <c r="D67" s="75">
        <v>20</v>
      </c>
      <c r="F67" s="75">
        <v>30</v>
      </c>
      <c r="G67" s="75">
        <v>2010</v>
      </c>
      <c r="H67" s="75">
        <v>20</v>
      </c>
      <c r="I67" s="75">
        <v>2</v>
      </c>
    </row>
    <row r="68" spans="1:9" x14ac:dyDescent="0.25">
      <c r="A68" t="str">
        <v>CA Economic</v>
      </c>
      <c r="B68" s="118">
        <v>1</v>
      </c>
      <c r="C68" s="75">
        <v>2010</v>
      </c>
      <c r="D68" s="75">
        <v>30</v>
      </c>
      <c r="F68" s="75">
        <v>15</v>
      </c>
      <c r="G68" s="75">
        <v>2010</v>
      </c>
      <c r="H68" s="75">
        <v>30</v>
      </c>
      <c r="I68" s="75">
        <v>2</v>
      </c>
    </row>
    <row r="69" spans="1:9" x14ac:dyDescent="0.25">
      <c r="A69" t="str">
        <v>IA Economic</v>
      </c>
      <c r="B69" s="118">
        <v>1</v>
      </c>
      <c r="C69" s="75">
        <v>2010</v>
      </c>
      <c r="D69" s="75">
        <v>30</v>
      </c>
      <c r="F69" s="75">
        <v>15</v>
      </c>
      <c r="G69" s="75">
        <v>2010</v>
      </c>
      <c r="H69" s="75">
        <v>30</v>
      </c>
      <c r="I69" s="75">
        <v>2</v>
      </c>
    </row>
    <row r="70" spans="1:9" x14ac:dyDescent="0.25">
      <c r="A70" t="str">
        <v>AF Economic</v>
      </c>
      <c r="B70" s="118">
        <v>1</v>
      </c>
      <c r="C70" s="75">
        <v>2010</v>
      </c>
      <c r="D70" s="75">
        <v>30</v>
      </c>
      <c r="F70" s="75">
        <v>15</v>
      </c>
      <c r="G70" s="75">
        <v>2010</v>
      </c>
      <c r="H70" s="75">
        <v>30</v>
      </c>
      <c r="I70" s="75">
        <v>2</v>
      </c>
    </row>
    <row r="71" spans="1:9" ht="13" thickBot="1" x14ac:dyDescent="0.3">
      <c r="A71" t="str">
        <v>LA Economic</v>
      </c>
      <c r="B71" s="119">
        <v>1</v>
      </c>
      <c r="C71" s="76">
        <v>2010</v>
      </c>
      <c r="D71" s="76">
        <v>30</v>
      </c>
      <c r="F71" s="76">
        <v>15</v>
      </c>
      <c r="G71" s="76">
        <v>2010</v>
      </c>
      <c r="H71" s="76">
        <v>30</v>
      </c>
      <c r="I71" s="76">
        <v>2</v>
      </c>
    </row>
    <row r="72" spans="1:9" ht="13" thickTop="1" x14ac:dyDescent="0.25"/>
    <row r="73" spans="1:9" ht="13" x14ac:dyDescent="0.3">
      <c r="A73" s="2"/>
      <c r="B73" s="3" t="s">
        <v>249</v>
      </c>
      <c r="C73" s="3" t="s">
        <v>245</v>
      </c>
      <c r="D73" s="3" t="s">
        <v>246</v>
      </c>
      <c r="F73" s="3" t="s">
        <v>478</v>
      </c>
      <c r="G73" s="3" t="s">
        <v>247</v>
      </c>
      <c r="H73" s="3" t="s">
        <v>248</v>
      </c>
      <c r="I73" s="3" t="s">
        <v>479</v>
      </c>
    </row>
    <row r="74" spans="1:9" x14ac:dyDescent="0.25">
      <c r="A74" t="str">
        <f t="array" ref="A74:A81">R_CODE&amp;" "&amp;I_2_NAME</f>
        <v>EU Non-econ</v>
      </c>
      <c r="B74" s="74">
        <v>0</v>
      </c>
      <c r="C74" s="74">
        <v>2000</v>
      </c>
      <c r="D74" s="74">
        <v>100</v>
      </c>
      <c r="F74" s="74">
        <v>15</v>
      </c>
      <c r="G74" s="74">
        <v>2010</v>
      </c>
      <c r="H74" s="74">
        <v>40</v>
      </c>
      <c r="I74" s="74">
        <v>2</v>
      </c>
    </row>
    <row r="75" spans="1:9" x14ac:dyDescent="0.25">
      <c r="A75" t="str">
        <v>US Non-econ</v>
      </c>
      <c r="B75" s="75">
        <v>0</v>
      </c>
      <c r="C75" s="75">
        <v>2000</v>
      </c>
      <c r="D75" s="75">
        <v>100</v>
      </c>
      <c r="F75" s="75">
        <v>15</v>
      </c>
      <c r="G75" s="75">
        <v>2010</v>
      </c>
      <c r="H75" s="75">
        <v>40</v>
      </c>
      <c r="I75" s="75">
        <v>2</v>
      </c>
    </row>
    <row r="76" spans="1:9" x14ac:dyDescent="0.25">
      <c r="A76" t="str">
        <v>OT Non-econ</v>
      </c>
      <c r="B76" s="75">
        <v>0</v>
      </c>
      <c r="C76" s="75">
        <v>2000</v>
      </c>
      <c r="D76" s="75">
        <v>100</v>
      </c>
      <c r="F76" s="75">
        <v>15</v>
      </c>
      <c r="G76" s="75">
        <v>2010</v>
      </c>
      <c r="H76" s="75">
        <v>40</v>
      </c>
      <c r="I76" s="75">
        <v>2</v>
      </c>
    </row>
    <row r="77" spans="1:9" x14ac:dyDescent="0.25">
      <c r="A77" t="str">
        <v>EE Non-econ</v>
      </c>
      <c r="B77" s="75">
        <v>0</v>
      </c>
      <c r="C77" s="75">
        <v>2000</v>
      </c>
      <c r="D77" s="75">
        <v>100</v>
      </c>
      <c r="F77" s="75">
        <v>15</v>
      </c>
      <c r="G77" s="75">
        <v>2010</v>
      </c>
      <c r="H77" s="75">
        <v>40</v>
      </c>
      <c r="I77" s="75">
        <v>2</v>
      </c>
    </row>
    <row r="78" spans="1:9" x14ac:dyDescent="0.25">
      <c r="A78" t="str">
        <v>CA Non-econ</v>
      </c>
      <c r="B78" s="75">
        <v>0</v>
      </c>
      <c r="C78" s="75">
        <v>2000</v>
      </c>
      <c r="D78" s="75">
        <v>100</v>
      </c>
      <c r="F78" s="75">
        <v>15</v>
      </c>
      <c r="G78" s="75">
        <v>2010</v>
      </c>
      <c r="H78" s="75">
        <v>40</v>
      </c>
      <c r="I78" s="75">
        <v>2</v>
      </c>
    </row>
    <row r="79" spans="1:9" x14ac:dyDescent="0.25">
      <c r="A79" t="str">
        <v>IA Non-econ</v>
      </c>
      <c r="B79" s="75">
        <v>0</v>
      </c>
      <c r="C79" s="75">
        <v>2000</v>
      </c>
      <c r="D79" s="75">
        <v>100</v>
      </c>
      <c r="F79" s="75">
        <v>15</v>
      </c>
      <c r="G79" s="75">
        <v>2010</v>
      </c>
      <c r="H79" s="75">
        <v>40</v>
      </c>
      <c r="I79" s="75">
        <v>2</v>
      </c>
    </row>
    <row r="80" spans="1:9" x14ac:dyDescent="0.25">
      <c r="A80" t="str">
        <v>AF Non-econ</v>
      </c>
      <c r="B80" s="75">
        <v>0</v>
      </c>
      <c r="C80" s="75">
        <v>2000</v>
      </c>
      <c r="D80" s="75">
        <v>100</v>
      </c>
      <c r="F80" s="75">
        <v>15</v>
      </c>
      <c r="G80" s="75">
        <v>2010</v>
      </c>
      <c r="H80" s="75">
        <v>40</v>
      </c>
      <c r="I80" s="75">
        <v>2</v>
      </c>
    </row>
    <row r="81" spans="1:9" ht="13" thickBot="1" x14ac:dyDescent="0.3">
      <c r="A81" t="str">
        <v>LA Non-econ</v>
      </c>
      <c r="B81" s="76">
        <v>0</v>
      </c>
      <c r="C81" s="76">
        <v>2000</v>
      </c>
      <c r="D81" s="76">
        <v>100</v>
      </c>
      <c r="F81" s="76">
        <v>15</v>
      </c>
      <c r="G81" s="76">
        <v>2010</v>
      </c>
      <c r="H81" s="76">
        <v>40</v>
      </c>
      <c r="I81" s="76">
        <v>2</v>
      </c>
    </row>
    <row r="82" spans="1:9" ht="13" thickTop="1" x14ac:dyDescent="0.25"/>
  </sheetData>
  <phoneticPr fontId="0" type="noConversion"/>
  <pageMargins left="0.75" right="0.75" top="1" bottom="1" header="0.5" footer="0.5"/>
  <pageSetup paperSize="9" orientation="portrait" horizontalDpi="360"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81"/>
  <sheetViews>
    <sheetView topLeftCell="A36" workbookViewId="0">
      <selection activeCell="C49" sqref="C49"/>
    </sheetView>
  </sheetViews>
  <sheetFormatPr defaultRowHeight="12.5" x14ac:dyDescent="0.25"/>
  <cols>
    <col min="1" max="1" width="22.81640625" bestFit="1" customWidth="1"/>
    <col min="2" max="11" width="7" customWidth="1"/>
    <col min="12" max="12" width="11.81640625" bestFit="1" customWidth="1"/>
  </cols>
  <sheetData>
    <row r="1" spans="1:12" ht="13" x14ac:dyDescent="0.3">
      <c r="A1" s="2" t="str">
        <f>MODEL_NAME</f>
        <v>PAGE09</v>
      </c>
      <c r="B1" t="s">
        <v>44</v>
      </c>
      <c r="C1" s="71">
        <f>VERSION</f>
        <v>1.7</v>
      </c>
    </row>
    <row r="2" spans="1:12" x14ac:dyDescent="0.25">
      <c r="A2" s="3" t="s">
        <v>488</v>
      </c>
      <c r="B2" s="123">
        <f t="array" ref="B2:J2">100*DROP*OCCUR_SCC/(E_CO2_G_0*(YP+YP_NOT_1)/2)</f>
        <v>0</v>
      </c>
      <c r="C2" s="123">
        <v>-3.4314201859422816E-4</v>
      </c>
      <c r="D2" s="123">
        <v>0</v>
      </c>
      <c r="E2" s="123">
        <v>0</v>
      </c>
      <c r="F2" s="123">
        <v>0</v>
      </c>
      <c r="G2" s="123">
        <v>0</v>
      </c>
      <c r="H2" s="123">
        <v>0</v>
      </c>
      <c r="I2" s="123">
        <v>0</v>
      </c>
      <c r="J2" s="123">
        <v>0</v>
      </c>
      <c r="K2" s="123">
        <v>0</v>
      </c>
    </row>
    <row r="3" spans="1:12" ht="13" x14ac:dyDescent="0.3">
      <c r="A3" s="57" t="s">
        <v>56</v>
      </c>
      <c r="B3" s="67" t="str">
        <f>'Policy A'!B3</f>
        <v>EMF-22 (MiniCAM) Scenario</v>
      </c>
      <c r="C3" s="66"/>
      <c r="D3" s="66"/>
      <c r="E3" s="66"/>
      <c r="F3" s="66"/>
      <c r="G3" s="66"/>
      <c r="H3" s="66"/>
      <c r="I3" s="66"/>
      <c r="J3" s="66"/>
      <c r="K3" s="66"/>
    </row>
    <row r="4" spans="1:12" s="2" customFormat="1" ht="13" x14ac:dyDescent="0.3">
      <c r="A4" s="67"/>
      <c r="B4" s="2">
        <f t="array" ref="B4:K4">Y</f>
        <v>2010</v>
      </c>
      <c r="C4" s="2">
        <v>2020</v>
      </c>
      <c r="D4" s="2">
        <v>2030</v>
      </c>
      <c r="E4" s="2">
        <v>2040</v>
      </c>
      <c r="F4" s="2">
        <v>2050</v>
      </c>
      <c r="G4" s="2">
        <v>2060</v>
      </c>
      <c r="H4" s="2">
        <v>2080</v>
      </c>
      <c r="I4" s="2">
        <v>2100</v>
      </c>
      <c r="J4" s="2">
        <v>2200</v>
      </c>
      <c r="K4" s="2">
        <v>2300</v>
      </c>
    </row>
    <row r="5" spans="1:12" x14ac:dyDescent="0.25">
      <c r="A5" t="str">
        <f t="array" ref="A5:A12">R_CODE&amp;" "&amp;'Base data'!$B$11&amp;" emissions"</f>
        <v>EU CO2 emissions</v>
      </c>
      <c r="B5" s="158">
        <v>101.99944105020478</v>
      </c>
      <c r="C5" s="158">
        <v>95.175227226743289</v>
      </c>
      <c r="D5" s="158">
        <v>78.18514129511172</v>
      </c>
      <c r="E5" s="158">
        <v>58.53059740588612</v>
      </c>
      <c r="F5" s="158">
        <v>37.2041692730538</v>
      </c>
      <c r="G5" s="158">
        <v>28.086259613381127</v>
      </c>
      <c r="H5" s="158">
        <v>16.473593142912463</v>
      </c>
      <c r="I5" s="158">
        <v>15.624045991541921</v>
      </c>
      <c r="J5" s="158">
        <v>17.336812838736098</v>
      </c>
      <c r="K5" s="158">
        <v>9.062102836546158</v>
      </c>
      <c r="L5" t="s">
        <v>46</v>
      </c>
    </row>
    <row r="6" spans="1:12" x14ac:dyDescent="0.25">
      <c r="A6" t="str">
        <v>US CO2 emissions</v>
      </c>
      <c r="B6" s="159">
        <v>93.289962228705676</v>
      </c>
      <c r="C6" s="159">
        <v>73.689423286377917</v>
      </c>
      <c r="D6" s="159">
        <v>62.857807532535759</v>
      </c>
      <c r="E6" s="159">
        <v>47.026083132627114</v>
      </c>
      <c r="F6" s="159">
        <v>30.767872576012785</v>
      </c>
      <c r="G6" s="159">
        <v>24.043547261785925</v>
      </c>
      <c r="H6" s="159">
        <v>14.14894590759433</v>
      </c>
      <c r="I6" s="159">
        <v>19.698122820778835</v>
      </c>
      <c r="J6" s="159">
        <v>14.548018970363618</v>
      </c>
      <c r="K6" s="159">
        <v>7.6043760294219496</v>
      </c>
      <c r="L6" t="s">
        <v>46</v>
      </c>
    </row>
    <row r="7" spans="1:12" x14ac:dyDescent="0.25">
      <c r="A7" t="str">
        <v>OT CO2 emissions</v>
      </c>
      <c r="B7" s="159">
        <v>132.5297297685299</v>
      </c>
      <c r="C7" s="159">
        <v>159.09063919295431</v>
      </c>
      <c r="D7" s="159">
        <v>160.15371421059953</v>
      </c>
      <c r="E7" s="159">
        <v>145.09360395009008</v>
      </c>
      <c r="F7" s="159">
        <v>107.13596029317583</v>
      </c>
      <c r="G7" s="159">
        <v>87.429640446478587</v>
      </c>
      <c r="H7" s="159">
        <v>59.249219020606191</v>
      </c>
      <c r="I7" s="159">
        <v>55.127871087085389</v>
      </c>
      <c r="J7" s="159">
        <v>81.757102601181117</v>
      </c>
      <c r="K7" s="159">
        <v>42.735148512105162</v>
      </c>
      <c r="L7" t="s">
        <v>46</v>
      </c>
    </row>
    <row r="8" spans="1:12" x14ac:dyDescent="0.25">
      <c r="A8" t="str">
        <v>EE CO2 emissions</v>
      </c>
      <c r="B8" s="159">
        <v>132.52972976852993</v>
      </c>
      <c r="C8" s="159">
        <v>159.09063919295434</v>
      </c>
      <c r="D8" s="159">
        <v>160.15371421059959</v>
      </c>
      <c r="E8" s="159">
        <v>145.09360395009008</v>
      </c>
      <c r="F8" s="159">
        <v>107.13596029317584</v>
      </c>
      <c r="G8" s="159">
        <v>87.429640446478601</v>
      </c>
      <c r="H8" s="159">
        <v>59.249219020606205</v>
      </c>
      <c r="I8" s="159">
        <v>55.127871087085403</v>
      </c>
      <c r="J8" s="159">
        <v>81.757102601181131</v>
      </c>
      <c r="K8" s="159">
        <v>42.73514851210517</v>
      </c>
      <c r="L8" t="s">
        <v>46</v>
      </c>
    </row>
    <row r="9" spans="1:12" x14ac:dyDescent="0.25">
      <c r="A9" t="str">
        <v>CA CO2 emissions</v>
      </c>
      <c r="B9" s="159">
        <v>132.52972976852993</v>
      </c>
      <c r="C9" s="159">
        <v>159.09063919295434</v>
      </c>
      <c r="D9" s="159">
        <v>160.15371421059956</v>
      </c>
      <c r="E9" s="159">
        <v>145.09360395009006</v>
      </c>
      <c r="F9" s="159">
        <v>107.13596029317584</v>
      </c>
      <c r="G9" s="159">
        <v>87.429640446478601</v>
      </c>
      <c r="H9" s="159">
        <v>59.249219020606191</v>
      </c>
      <c r="I9" s="159">
        <v>55.127871087085403</v>
      </c>
      <c r="J9" s="159">
        <v>81.757102601181131</v>
      </c>
      <c r="K9" s="159">
        <v>42.73514851210517</v>
      </c>
      <c r="L9" t="s">
        <v>46</v>
      </c>
    </row>
    <row r="10" spans="1:12" x14ac:dyDescent="0.25">
      <c r="A10" t="str">
        <v>IA CO2 emissions</v>
      </c>
      <c r="B10" s="159">
        <v>132.52972976852993</v>
      </c>
      <c r="C10" s="159">
        <v>159.09063919295434</v>
      </c>
      <c r="D10" s="159">
        <v>160.15371421059959</v>
      </c>
      <c r="E10" s="159">
        <v>145.09360395009006</v>
      </c>
      <c r="F10" s="159">
        <v>107.13596029317587</v>
      </c>
      <c r="G10" s="159">
        <v>87.429640446478601</v>
      </c>
      <c r="H10" s="159">
        <v>59.249219020606191</v>
      </c>
      <c r="I10" s="159">
        <v>55.127871087085403</v>
      </c>
      <c r="J10" s="159">
        <v>81.757102601181131</v>
      </c>
      <c r="K10" s="159">
        <v>42.735148512105177</v>
      </c>
      <c r="L10" t="s">
        <v>46</v>
      </c>
    </row>
    <row r="11" spans="1:12" x14ac:dyDescent="0.25">
      <c r="A11" t="str">
        <v>AF CO2 emissions</v>
      </c>
      <c r="B11" s="159">
        <v>132.52972976852993</v>
      </c>
      <c r="C11" s="159">
        <v>159.09063919295434</v>
      </c>
      <c r="D11" s="159">
        <v>160.15371421059959</v>
      </c>
      <c r="E11" s="159">
        <v>145.09360395009006</v>
      </c>
      <c r="F11" s="159">
        <v>107.13596029317584</v>
      </c>
      <c r="G11" s="159">
        <v>87.429640446478587</v>
      </c>
      <c r="H11" s="159">
        <v>59.249219020606191</v>
      </c>
      <c r="I11" s="159">
        <v>55.127871087085389</v>
      </c>
      <c r="J11" s="159">
        <v>81.757102601181117</v>
      </c>
      <c r="K11" s="159">
        <v>42.735148512105162</v>
      </c>
      <c r="L11" t="s">
        <v>46</v>
      </c>
    </row>
    <row r="12" spans="1:12" ht="13" thickBot="1" x14ac:dyDescent="0.3">
      <c r="A12" t="str">
        <v>LA CO2 emissions</v>
      </c>
      <c r="B12" s="160">
        <v>132.52972976852993</v>
      </c>
      <c r="C12" s="160">
        <v>159.09063919295434</v>
      </c>
      <c r="D12" s="160">
        <v>160.15371421059959</v>
      </c>
      <c r="E12" s="160">
        <v>145.09360395009008</v>
      </c>
      <c r="F12" s="160">
        <v>107.13596029317584</v>
      </c>
      <c r="G12" s="160">
        <v>87.429640446478601</v>
      </c>
      <c r="H12" s="160">
        <v>59.249219020606191</v>
      </c>
      <c r="I12" s="160">
        <v>55.127871087085403</v>
      </c>
      <c r="J12" s="160">
        <v>81.757102601181131</v>
      </c>
      <c r="K12" s="160">
        <v>42.735148512105177</v>
      </c>
      <c r="L12" t="s">
        <v>46</v>
      </c>
    </row>
    <row r="13" spans="1:12" ht="13" thickTop="1" x14ac:dyDescent="0.25"/>
    <row r="14" spans="1:12" x14ac:dyDescent="0.25">
      <c r="A14" t="str">
        <f t="array" ref="A14:A21">R_CODE&amp;" "&amp;'Base data'!$C$11&amp;" emissions"</f>
        <v>EU CH4 emissions</v>
      </c>
      <c r="B14" s="123">
        <f t="array" ref="B14:K21">er_ch4_a</f>
        <v>0</v>
      </c>
      <c r="C14" s="123">
        <v>0</v>
      </c>
      <c r="D14" s="123">
        <v>0</v>
      </c>
      <c r="E14" s="123">
        <v>0</v>
      </c>
      <c r="F14" s="123">
        <v>0</v>
      </c>
      <c r="G14" s="123">
        <v>0</v>
      </c>
      <c r="H14" s="123">
        <v>0</v>
      </c>
      <c r="I14" s="123">
        <v>0</v>
      </c>
      <c r="J14" s="123">
        <v>0</v>
      </c>
      <c r="K14" s="123">
        <v>0</v>
      </c>
      <c r="L14" t="s">
        <v>46</v>
      </c>
    </row>
    <row r="15" spans="1:12" x14ac:dyDescent="0.25">
      <c r="A15" t="str">
        <v>US CH4 emissions</v>
      </c>
      <c r="B15" s="123">
        <v>0</v>
      </c>
      <c r="C15" s="123">
        <v>0</v>
      </c>
      <c r="D15" s="123">
        <v>0</v>
      </c>
      <c r="E15" s="123">
        <v>0</v>
      </c>
      <c r="F15" s="123">
        <v>0</v>
      </c>
      <c r="G15" s="123">
        <v>0</v>
      </c>
      <c r="H15" s="123">
        <v>0</v>
      </c>
      <c r="I15" s="123">
        <v>0</v>
      </c>
      <c r="J15" s="123">
        <v>0</v>
      </c>
      <c r="K15" s="123">
        <v>0</v>
      </c>
      <c r="L15" t="s">
        <v>46</v>
      </c>
    </row>
    <row r="16" spans="1:12" x14ac:dyDescent="0.25">
      <c r="A16" t="str">
        <v>OT CH4 emissions</v>
      </c>
      <c r="B16" s="123">
        <v>0</v>
      </c>
      <c r="C16" s="123">
        <v>0</v>
      </c>
      <c r="D16" s="123">
        <v>0</v>
      </c>
      <c r="E16" s="123">
        <v>0</v>
      </c>
      <c r="F16" s="123">
        <v>0</v>
      </c>
      <c r="G16" s="123">
        <v>0</v>
      </c>
      <c r="H16" s="123">
        <v>0</v>
      </c>
      <c r="I16" s="123">
        <v>0</v>
      </c>
      <c r="J16" s="123">
        <v>0</v>
      </c>
      <c r="K16" s="123">
        <v>0</v>
      </c>
      <c r="L16" t="s">
        <v>46</v>
      </c>
    </row>
    <row r="17" spans="1:12" x14ac:dyDescent="0.25">
      <c r="A17" t="str">
        <v>EE CH4 emissions</v>
      </c>
      <c r="B17" s="123">
        <v>0</v>
      </c>
      <c r="C17" s="123">
        <v>0</v>
      </c>
      <c r="D17" s="123">
        <v>0</v>
      </c>
      <c r="E17" s="123">
        <v>0</v>
      </c>
      <c r="F17" s="123">
        <v>0</v>
      </c>
      <c r="G17" s="123">
        <v>0</v>
      </c>
      <c r="H17" s="123">
        <v>0</v>
      </c>
      <c r="I17" s="123">
        <v>0</v>
      </c>
      <c r="J17" s="123">
        <v>0</v>
      </c>
      <c r="K17" s="123">
        <v>0</v>
      </c>
      <c r="L17" t="s">
        <v>46</v>
      </c>
    </row>
    <row r="18" spans="1:12" x14ac:dyDescent="0.25">
      <c r="A18" t="str">
        <v>CA CH4 emissions</v>
      </c>
      <c r="B18" s="123">
        <v>0</v>
      </c>
      <c r="C18" s="123">
        <v>0</v>
      </c>
      <c r="D18" s="123">
        <v>0</v>
      </c>
      <c r="E18" s="123">
        <v>0</v>
      </c>
      <c r="F18" s="123">
        <v>0</v>
      </c>
      <c r="G18" s="123">
        <v>0</v>
      </c>
      <c r="H18" s="123">
        <v>0</v>
      </c>
      <c r="I18" s="123">
        <v>0</v>
      </c>
      <c r="J18" s="123">
        <v>0</v>
      </c>
      <c r="K18" s="123">
        <v>0</v>
      </c>
      <c r="L18" t="s">
        <v>46</v>
      </c>
    </row>
    <row r="19" spans="1:12" x14ac:dyDescent="0.25">
      <c r="A19" t="str">
        <v>IA CH4 emissions</v>
      </c>
      <c r="B19" s="123">
        <v>0</v>
      </c>
      <c r="C19" s="123">
        <v>0</v>
      </c>
      <c r="D19" s="123">
        <v>0</v>
      </c>
      <c r="E19" s="123">
        <v>0</v>
      </c>
      <c r="F19" s="123">
        <v>0</v>
      </c>
      <c r="G19" s="123">
        <v>0</v>
      </c>
      <c r="H19" s="123">
        <v>0</v>
      </c>
      <c r="I19" s="123">
        <v>0</v>
      </c>
      <c r="J19" s="123">
        <v>0</v>
      </c>
      <c r="K19" s="123">
        <v>0</v>
      </c>
      <c r="L19" t="s">
        <v>46</v>
      </c>
    </row>
    <row r="20" spans="1:12" x14ac:dyDescent="0.25">
      <c r="A20" t="str">
        <v>AF CH4 emissions</v>
      </c>
      <c r="B20" s="123">
        <v>0</v>
      </c>
      <c r="C20" s="123">
        <v>0</v>
      </c>
      <c r="D20" s="123">
        <v>0</v>
      </c>
      <c r="E20" s="123">
        <v>0</v>
      </c>
      <c r="F20" s="123">
        <v>0</v>
      </c>
      <c r="G20" s="123">
        <v>0</v>
      </c>
      <c r="H20" s="123">
        <v>0</v>
      </c>
      <c r="I20" s="123">
        <v>0</v>
      </c>
      <c r="J20" s="123">
        <v>0</v>
      </c>
      <c r="K20" s="123">
        <v>0</v>
      </c>
      <c r="L20" t="s">
        <v>46</v>
      </c>
    </row>
    <row r="21" spans="1:12" x14ac:dyDescent="0.25">
      <c r="A21" t="str">
        <v>LA CH4 emissions</v>
      </c>
      <c r="B21" s="123">
        <v>0</v>
      </c>
      <c r="C21" s="123">
        <v>0</v>
      </c>
      <c r="D21" s="123">
        <v>0</v>
      </c>
      <c r="E21" s="123">
        <v>0</v>
      </c>
      <c r="F21" s="123">
        <v>0</v>
      </c>
      <c r="G21" s="123">
        <v>0</v>
      </c>
      <c r="H21" s="123">
        <v>0</v>
      </c>
      <c r="I21" s="123">
        <v>0</v>
      </c>
      <c r="J21" s="123">
        <v>0</v>
      </c>
      <c r="K21" s="123">
        <v>0</v>
      </c>
      <c r="L21" t="s">
        <v>46</v>
      </c>
    </row>
    <row r="23" spans="1:12" x14ac:dyDescent="0.25">
      <c r="A23" t="str">
        <f t="array" ref="A23:A30">R_CODE&amp;" "&amp;'Base data'!$D$11&amp;" emissions"</f>
        <v>EU N2O emissions</v>
      </c>
      <c r="B23" s="123">
        <f t="array" ref="B23:K30">er_n2o_a</f>
        <v>0</v>
      </c>
      <c r="C23" s="123">
        <v>0</v>
      </c>
      <c r="D23" s="123">
        <v>0</v>
      </c>
      <c r="E23" s="123">
        <v>0</v>
      </c>
      <c r="F23" s="123">
        <v>0</v>
      </c>
      <c r="G23" s="123">
        <v>0</v>
      </c>
      <c r="H23" s="123">
        <v>0</v>
      </c>
      <c r="I23" s="123">
        <v>0</v>
      </c>
      <c r="J23" s="123">
        <v>0</v>
      </c>
      <c r="K23" s="123">
        <v>0</v>
      </c>
      <c r="L23" t="s">
        <v>46</v>
      </c>
    </row>
    <row r="24" spans="1:12" x14ac:dyDescent="0.25">
      <c r="A24" t="str">
        <v>US N2O emissions</v>
      </c>
      <c r="B24" s="123">
        <v>0</v>
      </c>
      <c r="C24" s="123">
        <v>0</v>
      </c>
      <c r="D24" s="123">
        <v>0</v>
      </c>
      <c r="E24" s="123">
        <v>0</v>
      </c>
      <c r="F24" s="123">
        <v>0</v>
      </c>
      <c r="G24" s="123">
        <v>0</v>
      </c>
      <c r="H24" s="123">
        <v>0</v>
      </c>
      <c r="I24" s="123">
        <v>0</v>
      </c>
      <c r="J24" s="123">
        <v>0</v>
      </c>
      <c r="K24" s="123">
        <v>0</v>
      </c>
      <c r="L24" t="s">
        <v>46</v>
      </c>
    </row>
    <row r="25" spans="1:12" x14ac:dyDescent="0.25">
      <c r="A25" t="str">
        <v>OT N2O emissions</v>
      </c>
      <c r="B25" s="123">
        <v>0</v>
      </c>
      <c r="C25" s="123">
        <v>0</v>
      </c>
      <c r="D25" s="123">
        <v>0</v>
      </c>
      <c r="E25" s="123">
        <v>0</v>
      </c>
      <c r="F25" s="123">
        <v>0</v>
      </c>
      <c r="G25" s="123">
        <v>0</v>
      </c>
      <c r="H25" s="123">
        <v>0</v>
      </c>
      <c r="I25" s="123">
        <v>0</v>
      </c>
      <c r="J25" s="123">
        <v>0</v>
      </c>
      <c r="K25" s="123">
        <v>0</v>
      </c>
      <c r="L25" t="s">
        <v>46</v>
      </c>
    </row>
    <row r="26" spans="1:12" x14ac:dyDescent="0.25">
      <c r="A26" t="str">
        <v>EE N2O emissions</v>
      </c>
      <c r="B26" s="123">
        <v>0</v>
      </c>
      <c r="C26" s="123">
        <v>0</v>
      </c>
      <c r="D26" s="123">
        <v>0</v>
      </c>
      <c r="E26" s="123">
        <v>0</v>
      </c>
      <c r="F26" s="123">
        <v>0</v>
      </c>
      <c r="G26" s="123">
        <v>0</v>
      </c>
      <c r="H26" s="123">
        <v>0</v>
      </c>
      <c r="I26" s="123">
        <v>0</v>
      </c>
      <c r="J26" s="123">
        <v>0</v>
      </c>
      <c r="K26" s="123">
        <v>0</v>
      </c>
      <c r="L26" t="s">
        <v>46</v>
      </c>
    </row>
    <row r="27" spans="1:12" x14ac:dyDescent="0.25">
      <c r="A27" t="str">
        <v>CA N2O emissions</v>
      </c>
      <c r="B27" s="123">
        <v>0</v>
      </c>
      <c r="C27" s="123">
        <v>0</v>
      </c>
      <c r="D27" s="123">
        <v>0</v>
      </c>
      <c r="E27" s="123">
        <v>0</v>
      </c>
      <c r="F27" s="123">
        <v>0</v>
      </c>
      <c r="G27" s="123">
        <v>0</v>
      </c>
      <c r="H27" s="123">
        <v>0</v>
      </c>
      <c r="I27" s="123">
        <v>0</v>
      </c>
      <c r="J27" s="123">
        <v>0</v>
      </c>
      <c r="K27" s="123">
        <v>0</v>
      </c>
      <c r="L27" t="s">
        <v>46</v>
      </c>
    </row>
    <row r="28" spans="1:12" x14ac:dyDescent="0.25">
      <c r="A28" t="str">
        <v>IA N2O emissions</v>
      </c>
      <c r="B28" s="123">
        <v>0</v>
      </c>
      <c r="C28" s="123">
        <v>0</v>
      </c>
      <c r="D28" s="123">
        <v>0</v>
      </c>
      <c r="E28" s="123">
        <v>0</v>
      </c>
      <c r="F28" s="123">
        <v>0</v>
      </c>
      <c r="G28" s="123">
        <v>0</v>
      </c>
      <c r="H28" s="123">
        <v>0</v>
      </c>
      <c r="I28" s="123">
        <v>0</v>
      </c>
      <c r="J28" s="123">
        <v>0</v>
      </c>
      <c r="K28" s="123">
        <v>0</v>
      </c>
      <c r="L28" t="s">
        <v>46</v>
      </c>
    </row>
    <row r="29" spans="1:12" x14ac:dyDescent="0.25">
      <c r="A29" t="str">
        <v>AF N2O emissions</v>
      </c>
      <c r="B29" s="123">
        <v>0</v>
      </c>
      <c r="C29" s="123">
        <v>0</v>
      </c>
      <c r="D29" s="123">
        <v>0</v>
      </c>
      <c r="E29" s="123">
        <v>0</v>
      </c>
      <c r="F29" s="123">
        <v>0</v>
      </c>
      <c r="G29" s="123">
        <v>0</v>
      </c>
      <c r="H29" s="123">
        <v>0</v>
      </c>
      <c r="I29" s="123">
        <v>0</v>
      </c>
      <c r="J29" s="123">
        <v>0</v>
      </c>
      <c r="K29" s="123">
        <v>0</v>
      </c>
      <c r="L29" t="s">
        <v>46</v>
      </c>
    </row>
    <row r="30" spans="1:12" x14ac:dyDescent="0.25">
      <c r="A30" t="str">
        <v>LA N2O emissions</v>
      </c>
      <c r="B30" s="123">
        <v>0</v>
      </c>
      <c r="C30" s="123">
        <v>0</v>
      </c>
      <c r="D30" s="123">
        <v>0</v>
      </c>
      <c r="E30" s="123">
        <v>0</v>
      </c>
      <c r="F30" s="123">
        <v>0</v>
      </c>
      <c r="G30" s="123">
        <v>0</v>
      </c>
      <c r="H30" s="123">
        <v>0</v>
      </c>
      <c r="I30" s="123">
        <v>0</v>
      </c>
      <c r="J30" s="123">
        <v>0</v>
      </c>
      <c r="K30" s="123">
        <v>0</v>
      </c>
      <c r="L30" t="s">
        <v>46</v>
      </c>
    </row>
    <row r="32" spans="1:12" x14ac:dyDescent="0.25">
      <c r="A32" t="str">
        <f t="array" ref="A32:A39">R_CODE&amp;" "&amp;GLIN_NAME&amp;" emissions"</f>
        <v>EU Lin emissions</v>
      </c>
      <c r="B32" s="123">
        <f t="array" ref="B32:K39">er_glin_a</f>
        <v>0</v>
      </c>
      <c r="C32" s="123">
        <v>0</v>
      </c>
      <c r="D32" s="123">
        <v>0</v>
      </c>
      <c r="E32" s="123">
        <v>0</v>
      </c>
      <c r="F32" s="123">
        <v>0</v>
      </c>
      <c r="G32" s="123">
        <v>0</v>
      </c>
      <c r="H32" s="123">
        <v>0</v>
      </c>
      <c r="I32" s="123">
        <v>0</v>
      </c>
      <c r="J32" s="123">
        <v>0</v>
      </c>
      <c r="K32" s="123">
        <v>0</v>
      </c>
      <c r="L32" t="s">
        <v>46</v>
      </c>
    </row>
    <row r="33" spans="1:12" x14ac:dyDescent="0.25">
      <c r="A33" t="str">
        <v>US Lin emissions</v>
      </c>
      <c r="B33" s="123">
        <v>0</v>
      </c>
      <c r="C33" s="123">
        <v>0</v>
      </c>
      <c r="D33" s="123">
        <v>0</v>
      </c>
      <c r="E33" s="123">
        <v>0</v>
      </c>
      <c r="F33" s="123">
        <v>0</v>
      </c>
      <c r="G33" s="123">
        <v>0</v>
      </c>
      <c r="H33" s="123">
        <v>0</v>
      </c>
      <c r="I33" s="123">
        <v>0</v>
      </c>
      <c r="J33" s="123">
        <v>0</v>
      </c>
      <c r="K33" s="123">
        <v>0</v>
      </c>
      <c r="L33" t="s">
        <v>46</v>
      </c>
    </row>
    <row r="34" spans="1:12" x14ac:dyDescent="0.25">
      <c r="A34" t="str">
        <v>OT Lin emissions</v>
      </c>
      <c r="B34" s="123">
        <v>0</v>
      </c>
      <c r="C34" s="123">
        <v>0</v>
      </c>
      <c r="D34" s="123">
        <v>0</v>
      </c>
      <c r="E34" s="123">
        <v>0</v>
      </c>
      <c r="F34" s="123">
        <v>0</v>
      </c>
      <c r="G34" s="123">
        <v>0</v>
      </c>
      <c r="H34" s="123">
        <v>0</v>
      </c>
      <c r="I34" s="123">
        <v>0</v>
      </c>
      <c r="J34" s="123">
        <v>0</v>
      </c>
      <c r="K34" s="123">
        <v>0</v>
      </c>
      <c r="L34" t="s">
        <v>46</v>
      </c>
    </row>
    <row r="35" spans="1:12" x14ac:dyDescent="0.25">
      <c r="A35" t="str">
        <v>EE Lin emissions</v>
      </c>
      <c r="B35" s="123">
        <v>0</v>
      </c>
      <c r="C35" s="123">
        <v>0</v>
      </c>
      <c r="D35" s="123">
        <v>0</v>
      </c>
      <c r="E35" s="123">
        <v>0</v>
      </c>
      <c r="F35" s="123">
        <v>0</v>
      </c>
      <c r="G35" s="123">
        <v>0</v>
      </c>
      <c r="H35" s="123">
        <v>0</v>
      </c>
      <c r="I35" s="123">
        <v>0</v>
      </c>
      <c r="J35" s="123">
        <v>0</v>
      </c>
      <c r="K35" s="123">
        <v>0</v>
      </c>
      <c r="L35" t="s">
        <v>46</v>
      </c>
    </row>
    <row r="36" spans="1:12" x14ac:dyDescent="0.25">
      <c r="A36" t="str">
        <v>CA Lin emissions</v>
      </c>
      <c r="B36" s="123">
        <v>0</v>
      </c>
      <c r="C36" s="123">
        <v>0</v>
      </c>
      <c r="D36" s="123">
        <v>0</v>
      </c>
      <c r="E36" s="123">
        <v>0</v>
      </c>
      <c r="F36" s="123">
        <v>0</v>
      </c>
      <c r="G36" s="123">
        <v>0</v>
      </c>
      <c r="H36" s="123">
        <v>0</v>
      </c>
      <c r="I36" s="123">
        <v>0</v>
      </c>
      <c r="J36" s="123">
        <v>0</v>
      </c>
      <c r="K36" s="123">
        <v>0</v>
      </c>
      <c r="L36" t="s">
        <v>46</v>
      </c>
    </row>
    <row r="37" spans="1:12" x14ac:dyDescent="0.25">
      <c r="A37" t="str">
        <v>IA Lin emissions</v>
      </c>
      <c r="B37" s="123">
        <v>0</v>
      </c>
      <c r="C37" s="123">
        <v>0</v>
      </c>
      <c r="D37" s="123">
        <v>0</v>
      </c>
      <c r="E37" s="123">
        <v>0</v>
      </c>
      <c r="F37" s="123">
        <v>0</v>
      </c>
      <c r="G37" s="123">
        <v>0</v>
      </c>
      <c r="H37" s="123">
        <v>0</v>
      </c>
      <c r="I37" s="123">
        <v>0</v>
      </c>
      <c r="J37" s="123">
        <v>0</v>
      </c>
      <c r="K37" s="123">
        <v>0</v>
      </c>
      <c r="L37" t="s">
        <v>46</v>
      </c>
    </row>
    <row r="38" spans="1:12" x14ac:dyDescent="0.25">
      <c r="A38" t="str">
        <v>AF Lin emissions</v>
      </c>
      <c r="B38" s="123">
        <v>0</v>
      </c>
      <c r="C38" s="123">
        <v>0</v>
      </c>
      <c r="D38" s="123">
        <v>0</v>
      </c>
      <c r="E38" s="123">
        <v>0</v>
      </c>
      <c r="F38" s="123">
        <v>0</v>
      </c>
      <c r="G38" s="123">
        <v>0</v>
      </c>
      <c r="H38" s="123">
        <v>0</v>
      </c>
      <c r="I38" s="123">
        <v>0</v>
      </c>
      <c r="J38" s="123">
        <v>0</v>
      </c>
      <c r="K38" s="123">
        <v>0</v>
      </c>
      <c r="L38" t="s">
        <v>46</v>
      </c>
    </row>
    <row r="39" spans="1:12" x14ac:dyDescent="0.25">
      <c r="A39" t="str">
        <v>LA Lin emissions</v>
      </c>
      <c r="B39" s="123">
        <v>0</v>
      </c>
      <c r="C39" s="123">
        <v>0</v>
      </c>
      <c r="D39" s="123">
        <v>0</v>
      </c>
      <c r="E39" s="123">
        <v>0</v>
      </c>
      <c r="F39" s="123">
        <v>0</v>
      </c>
      <c r="G39" s="123">
        <v>0</v>
      </c>
      <c r="H39" s="123">
        <v>0</v>
      </c>
      <c r="I39" s="123">
        <v>0</v>
      </c>
      <c r="J39" s="123">
        <v>0</v>
      </c>
      <c r="K39" s="123">
        <v>0</v>
      </c>
      <c r="L39" t="s">
        <v>46</v>
      </c>
    </row>
    <row r="41" spans="1:12" x14ac:dyDescent="0.25">
      <c r="A41" t="str">
        <f t="array" ref="A41:A48">R_CODE&amp;" sulphates"</f>
        <v>EU sulphates</v>
      </c>
      <c r="B41" s="123">
        <f t="array" ref="B41:K48">pse_a</f>
        <v>58.020274006747485</v>
      </c>
      <c r="C41" s="123">
        <v>40.3525638135512</v>
      </c>
      <c r="D41" s="123">
        <v>40.11945631094391</v>
      </c>
      <c r="E41" s="123">
        <v>37.093332805558113</v>
      </c>
      <c r="F41" s="123">
        <v>40.411666706833671</v>
      </c>
      <c r="G41" s="123">
        <v>37.738156531496642</v>
      </c>
      <c r="H41" s="123">
        <v>32.391136180822585</v>
      </c>
      <c r="I41" s="123">
        <v>27.04411583014852</v>
      </c>
      <c r="J41" s="123">
        <v>27.04411583014852</v>
      </c>
      <c r="K41" s="123">
        <v>27.04411583014852</v>
      </c>
      <c r="L41" t="s">
        <v>46</v>
      </c>
    </row>
    <row r="42" spans="1:12" x14ac:dyDescent="0.25">
      <c r="A42" t="str">
        <v>US sulphates</v>
      </c>
      <c r="B42" s="123">
        <v>58.020274006747485</v>
      </c>
      <c r="C42" s="123">
        <v>40.352563813551193</v>
      </c>
      <c r="D42" s="123">
        <v>40.11945631094391</v>
      </c>
      <c r="E42" s="123">
        <v>37.093332805558106</v>
      </c>
      <c r="F42" s="123">
        <v>40.411666706833671</v>
      </c>
      <c r="G42" s="123">
        <v>37.738156531496642</v>
      </c>
      <c r="H42" s="123">
        <v>32.391136180822585</v>
      </c>
      <c r="I42" s="123">
        <v>27.04411583014852</v>
      </c>
      <c r="J42" s="123">
        <v>27.04411583014852</v>
      </c>
      <c r="K42" s="123">
        <v>27.04411583014852</v>
      </c>
      <c r="L42" t="s">
        <v>46</v>
      </c>
    </row>
    <row r="43" spans="1:12" x14ac:dyDescent="0.25">
      <c r="A43" t="str">
        <v>OT sulphates</v>
      </c>
      <c r="B43" s="123">
        <v>58.020274006747485</v>
      </c>
      <c r="C43" s="123">
        <v>40.3525638135512</v>
      </c>
      <c r="D43" s="123">
        <v>40.11945631094391</v>
      </c>
      <c r="E43" s="123">
        <v>37.093332805558106</v>
      </c>
      <c r="F43" s="123">
        <v>40.411666706833671</v>
      </c>
      <c r="G43" s="123">
        <v>37.738156531496642</v>
      </c>
      <c r="H43" s="123">
        <v>32.391136180822585</v>
      </c>
      <c r="I43" s="123">
        <v>27.04411583014852</v>
      </c>
      <c r="J43" s="123">
        <v>27.04411583014852</v>
      </c>
      <c r="K43" s="123">
        <v>27.04411583014852</v>
      </c>
      <c r="L43" t="s">
        <v>46</v>
      </c>
    </row>
    <row r="44" spans="1:12" x14ac:dyDescent="0.25">
      <c r="A44" t="str">
        <v>EE sulphates</v>
      </c>
      <c r="B44" s="123">
        <v>110.35586956862728</v>
      </c>
      <c r="C44" s="123">
        <v>97.600882832508844</v>
      </c>
      <c r="D44" s="123">
        <v>71.06007508096414</v>
      </c>
      <c r="E44" s="123">
        <v>38.588333173741702</v>
      </c>
      <c r="F44" s="123">
        <v>31.434623496873058</v>
      </c>
      <c r="G44" s="123">
        <v>27.967462960588186</v>
      </c>
      <c r="H44" s="123">
        <v>21.033141888018442</v>
      </c>
      <c r="I44" s="123">
        <v>14.098820815448695</v>
      </c>
      <c r="J44" s="123">
        <v>14.098820815448695</v>
      </c>
      <c r="K44" s="123">
        <v>14.098820815448695</v>
      </c>
      <c r="L44" t="s">
        <v>46</v>
      </c>
    </row>
    <row r="45" spans="1:12" x14ac:dyDescent="0.25">
      <c r="A45" t="str">
        <v>CA sulphates</v>
      </c>
      <c r="B45" s="123">
        <v>166.30430588217396</v>
      </c>
      <c r="C45" s="123">
        <v>214.30034446944796</v>
      </c>
      <c r="D45" s="123">
        <v>151.45603567975175</v>
      </c>
      <c r="E45" s="123">
        <v>78.292937932150764</v>
      </c>
      <c r="F45" s="123">
        <v>59.810967368484569</v>
      </c>
      <c r="G45" s="123">
        <v>52.900983248231142</v>
      </c>
      <c r="H45" s="123">
        <v>39.081015007724289</v>
      </c>
      <c r="I45" s="123">
        <v>25.261046767217433</v>
      </c>
      <c r="J45" s="123">
        <v>25.261046767217433</v>
      </c>
      <c r="K45" s="123">
        <v>25.261046767217433</v>
      </c>
      <c r="L45" t="s">
        <v>46</v>
      </c>
    </row>
    <row r="46" spans="1:12" x14ac:dyDescent="0.25">
      <c r="A46" t="str">
        <v>IA sulphates</v>
      </c>
      <c r="B46" s="123">
        <v>166.30430588217396</v>
      </c>
      <c r="C46" s="123">
        <v>214.30034446944796</v>
      </c>
      <c r="D46" s="123">
        <v>151.45603567975172</v>
      </c>
      <c r="E46" s="123">
        <v>78.292937932150764</v>
      </c>
      <c r="F46" s="123">
        <v>59.810967368484569</v>
      </c>
      <c r="G46" s="123">
        <v>52.900983248231142</v>
      </c>
      <c r="H46" s="123">
        <v>39.081015007724275</v>
      </c>
      <c r="I46" s="123">
        <v>25.261046767217426</v>
      </c>
      <c r="J46" s="123">
        <v>25.261046767217426</v>
      </c>
      <c r="K46" s="123">
        <v>25.261046767217426</v>
      </c>
      <c r="L46" t="s">
        <v>46</v>
      </c>
    </row>
    <row r="47" spans="1:12" x14ac:dyDescent="0.25">
      <c r="A47" t="str">
        <v>AF sulphates</v>
      </c>
      <c r="B47" s="123">
        <v>156.19858107901484</v>
      </c>
      <c r="C47" s="123">
        <v>197.92171788554691</v>
      </c>
      <c r="D47" s="123">
        <v>291.43805464151484</v>
      </c>
      <c r="E47" s="123">
        <v>277.53362091491721</v>
      </c>
      <c r="F47" s="123">
        <v>278.39869789809103</v>
      </c>
      <c r="G47" s="123">
        <v>241.54174767326876</v>
      </c>
      <c r="H47" s="123">
        <v>167.82784722362419</v>
      </c>
      <c r="I47" s="123">
        <v>94.113946773979634</v>
      </c>
      <c r="J47" s="123">
        <v>94.113946773979634</v>
      </c>
      <c r="K47" s="123">
        <v>94.113946773979634</v>
      </c>
      <c r="L47" t="s">
        <v>46</v>
      </c>
    </row>
    <row r="48" spans="1:12" x14ac:dyDescent="0.25">
      <c r="A48" t="str">
        <v>LA sulphates</v>
      </c>
      <c r="B48" s="123">
        <v>156.19858107901487</v>
      </c>
      <c r="C48" s="123">
        <v>197.92171788554694</v>
      </c>
      <c r="D48" s="123">
        <v>246.13680262469902</v>
      </c>
      <c r="E48" s="123">
        <v>277.53362091491721</v>
      </c>
      <c r="F48" s="123">
        <v>278.39869789809103</v>
      </c>
      <c r="G48" s="123">
        <v>241.54174767326876</v>
      </c>
      <c r="H48" s="123">
        <v>167.82784722362419</v>
      </c>
      <c r="I48" s="123">
        <v>94.113946773979634</v>
      </c>
      <c r="J48" s="123">
        <v>94.113946773979634</v>
      </c>
      <c r="K48" s="123">
        <v>94.113946773979634</v>
      </c>
      <c r="L48" t="s">
        <v>46</v>
      </c>
    </row>
    <row r="49" spans="1:12" x14ac:dyDescent="0.25">
      <c r="A49" s="155" t="s">
        <v>2165</v>
      </c>
      <c r="B49" s="161">
        <v>0</v>
      </c>
      <c r="C49" s="161">
        <v>3.5446010874002899E-4</v>
      </c>
      <c r="D49" s="161">
        <v>3.578083455716641E-4</v>
      </c>
      <c r="E49" s="161">
        <v>3.2371175880767654E-4</v>
      </c>
      <c r="F49" s="161">
        <v>2.9324781947963064E-4</v>
      </c>
      <c r="G49" s="161">
        <v>2.539948824734267E-4</v>
      </c>
      <c r="H49" s="161">
        <v>2.1054633206775143E-4</v>
      </c>
      <c r="I49" s="161">
        <v>1.2740258872880717E-4</v>
      </c>
      <c r="J49" s="161">
        <v>5.2788977008755843E-5</v>
      </c>
      <c r="K49" s="161">
        <v>3.2760916403584694E-5</v>
      </c>
    </row>
    <row r="50" spans="1:12" s="12" customFormat="1" x14ac:dyDescent="0.25">
      <c r="A50" s="156" t="s">
        <v>42</v>
      </c>
      <c r="B50" s="162">
        <f t="array" ref="B50:K50">exf_a+Shock</f>
        <v>1.5422163220787493</v>
      </c>
      <c r="C50" s="162">
        <v>1.5790696634338537</v>
      </c>
      <c r="D50" s="162">
        <v>1.6220889119476227</v>
      </c>
      <c r="E50" s="162">
        <v>1.6504548961813088</v>
      </c>
      <c r="F50" s="162">
        <v>1.6219015777111023</v>
      </c>
      <c r="G50" s="162">
        <v>1.5895180512116038</v>
      </c>
      <c r="H50" s="162">
        <v>1.5220637840030913</v>
      </c>
      <c r="I50" s="162">
        <v>1.4384382337817381</v>
      </c>
      <c r="J50" s="162">
        <v>1.4383636201700181</v>
      </c>
      <c r="K50" s="162">
        <v>1.4383435921094128</v>
      </c>
      <c r="L50" s="12" t="s">
        <v>51</v>
      </c>
    </row>
    <row r="51" spans="1:12" x14ac:dyDescent="0.25">
      <c r="B51" s="87"/>
      <c r="C51" s="87"/>
      <c r="D51" s="87"/>
      <c r="E51" s="87"/>
      <c r="F51" s="87"/>
      <c r="G51" s="87"/>
      <c r="H51" s="87"/>
      <c r="I51" s="87"/>
      <c r="J51" s="87"/>
      <c r="K51" s="87"/>
      <c r="L51" s="12"/>
    </row>
    <row r="52" spans="1:12" ht="13" x14ac:dyDescent="0.3">
      <c r="A52" s="2" t="s">
        <v>244</v>
      </c>
    </row>
    <row r="53" spans="1:12" ht="13" x14ac:dyDescent="0.3">
      <c r="A53" s="2"/>
      <c r="B53" s="3" t="s">
        <v>249</v>
      </c>
      <c r="C53" s="3" t="s">
        <v>245</v>
      </c>
      <c r="D53" s="3" t="s">
        <v>246</v>
      </c>
      <c r="F53" s="3" t="s">
        <v>478</v>
      </c>
      <c r="G53" s="3" t="s">
        <v>247</v>
      </c>
      <c r="H53" s="3" t="s">
        <v>248</v>
      </c>
      <c r="I53" s="3" t="s">
        <v>479</v>
      </c>
    </row>
    <row r="54" spans="1:12" s="2" customFormat="1" ht="13" x14ac:dyDescent="0.3">
      <c r="A54" t="str">
        <f t="array" ref="A54:A61">R_CODE&amp;" sea level"</f>
        <v>EU sea level</v>
      </c>
      <c r="B54" s="62">
        <f>'Policy A'!B54</f>
        <v>0.25</v>
      </c>
      <c r="C54" s="48">
        <f>'Policy A'!C54</f>
        <v>2000</v>
      </c>
      <c r="D54" s="48">
        <f>'Policy A'!D54</f>
        <v>20</v>
      </c>
      <c r="E54"/>
      <c r="F54" s="48">
        <f>'Policy A'!F54</f>
        <v>50</v>
      </c>
      <c r="G54" s="48">
        <f>'Policy A'!G54</f>
        <v>2020</v>
      </c>
      <c r="H54" s="48">
        <f>'Policy A'!H54</f>
        <v>40</v>
      </c>
      <c r="I54" s="48">
        <f>'Policy A'!I54</f>
        <v>1</v>
      </c>
      <c r="J54"/>
      <c r="K54"/>
      <c r="L54"/>
    </row>
    <row r="55" spans="1:12" x14ac:dyDescent="0.25">
      <c r="A55" t="str">
        <v>US sea level</v>
      </c>
      <c r="B55" s="62">
        <f>'Policy A'!B55</f>
        <v>0.25</v>
      </c>
      <c r="C55" s="48">
        <f>'Policy A'!C55</f>
        <v>2000</v>
      </c>
      <c r="D55" s="48">
        <f>'Policy A'!D55</f>
        <v>20</v>
      </c>
      <c r="F55" s="48">
        <f>'Policy A'!F55</f>
        <v>50</v>
      </c>
      <c r="G55" s="48">
        <f>'Policy A'!G55</f>
        <v>2020</v>
      </c>
      <c r="H55" s="48">
        <f>'Policy A'!H55</f>
        <v>40</v>
      </c>
      <c r="I55" s="48">
        <f>'Policy A'!I55</f>
        <v>1</v>
      </c>
    </row>
    <row r="56" spans="1:12" x14ac:dyDescent="0.25">
      <c r="A56" t="str">
        <v>OT sea level</v>
      </c>
      <c r="B56" s="62">
        <f>'Policy A'!B56</f>
        <v>0.25</v>
      </c>
      <c r="C56" s="48">
        <f>'Policy A'!C56</f>
        <v>2000</v>
      </c>
      <c r="D56" s="48">
        <f>'Policy A'!D56</f>
        <v>20</v>
      </c>
      <c r="F56" s="48">
        <f>'Policy A'!F56</f>
        <v>50</v>
      </c>
      <c r="G56" s="48">
        <f>'Policy A'!G56</f>
        <v>2020</v>
      </c>
      <c r="H56" s="48">
        <f>'Policy A'!H56</f>
        <v>40</v>
      </c>
      <c r="I56" s="48">
        <f>'Policy A'!I56</f>
        <v>1</v>
      </c>
    </row>
    <row r="57" spans="1:12" x14ac:dyDescent="0.25">
      <c r="A57" t="str">
        <v>EE sea level</v>
      </c>
      <c r="B57" s="62">
        <f>'Policy A'!B57</f>
        <v>0.25</v>
      </c>
      <c r="C57" s="48">
        <f>'Policy A'!C57</f>
        <v>2000</v>
      </c>
      <c r="D57" s="48">
        <f>'Policy A'!D57</f>
        <v>20</v>
      </c>
      <c r="F57" s="48">
        <f>'Policy A'!F57</f>
        <v>50</v>
      </c>
      <c r="G57" s="48">
        <f>'Policy A'!G57</f>
        <v>2020</v>
      </c>
      <c r="H57" s="48">
        <f>'Policy A'!H57</f>
        <v>40</v>
      </c>
      <c r="I57" s="48">
        <f>'Policy A'!I57</f>
        <v>1</v>
      </c>
    </row>
    <row r="58" spans="1:12" x14ac:dyDescent="0.25">
      <c r="A58" t="str">
        <v>CA sea level</v>
      </c>
      <c r="B58" s="62">
        <f>'Policy A'!B58</f>
        <v>0.2</v>
      </c>
      <c r="C58" s="48">
        <f>'Policy A'!C58</f>
        <v>2000</v>
      </c>
      <c r="D58" s="48">
        <f>'Policy A'!D58</f>
        <v>30</v>
      </c>
      <c r="F58" s="48">
        <f>'Policy A'!F58</f>
        <v>25</v>
      </c>
      <c r="G58" s="48">
        <f>'Policy A'!G58</f>
        <v>2020</v>
      </c>
      <c r="H58" s="48">
        <f>'Policy A'!H58</f>
        <v>40</v>
      </c>
      <c r="I58" s="48">
        <f>'Policy A'!I58</f>
        <v>1</v>
      </c>
    </row>
    <row r="59" spans="1:12" x14ac:dyDescent="0.25">
      <c r="A59" t="str">
        <v>IA sea level</v>
      </c>
      <c r="B59" s="62">
        <f>'Policy A'!B59</f>
        <v>0.2</v>
      </c>
      <c r="C59" s="48">
        <f>'Policy A'!C59</f>
        <v>2000</v>
      </c>
      <c r="D59" s="48">
        <f>'Policy A'!D59</f>
        <v>30</v>
      </c>
      <c r="F59" s="48">
        <f>'Policy A'!F59</f>
        <v>25</v>
      </c>
      <c r="G59" s="48">
        <f>'Policy A'!G59</f>
        <v>2020</v>
      </c>
      <c r="H59" s="48">
        <f>'Policy A'!H59</f>
        <v>40</v>
      </c>
      <c r="I59" s="48">
        <f>'Policy A'!I59</f>
        <v>1</v>
      </c>
    </row>
    <row r="60" spans="1:12" x14ac:dyDescent="0.25">
      <c r="A60" t="str">
        <v>AF sea level</v>
      </c>
      <c r="B60" s="62">
        <f>'Policy A'!B60</f>
        <v>0.2</v>
      </c>
      <c r="C60" s="48">
        <f>'Policy A'!C60</f>
        <v>2000</v>
      </c>
      <c r="D60" s="48">
        <f>'Policy A'!D60</f>
        <v>30</v>
      </c>
      <c r="F60" s="48">
        <f>'Policy A'!F60</f>
        <v>25</v>
      </c>
      <c r="G60" s="48">
        <f>'Policy A'!G60</f>
        <v>2020</v>
      </c>
      <c r="H60" s="48">
        <f>'Policy A'!H60</f>
        <v>40</v>
      </c>
      <c r="I60" s="48">
        <f>'Policy A'!I60</f>
        <v>1</v>
      </c>
    </row>
    <row r="61" spans="1:12" x14ac:dyDescent="0.25">
      <c r="A61" t="str">
        <v>LA sea level</v>
      </c>
      <c r="B61" s="62">
        <f>'Policy A'!B61</f>
        <v>0.2</v>
      </c>
      <c r="C61" s="48">
        <f>'Policy A'!C61</f>
        <v>2000</v>
      </c>
      <c r="D61" s="48">
        <f>'Policy A'!D61</f>
        <v>30</v>
      </c>
      <c r="F61" s="48">
        <f>'Policy A'!F61</f>
        <v>25</v>
      </c>
      <c r="G61" s="48">
        <f>'Policy A'!G61</f>
        <v>2020</v>
      </c>
      <c r="H61" s="48">
        <f>'Policy A'!H61</f>
        <v>40</v>
      </c>
      <c r="I61" s="48">
        <f>'Policy A'!I61</f>
        <v>1</v>
      </c>
    </row>
    <row r="63" spans="1:12" ht="13" x14ac:dyDescent="0.3">
      <c r="A63" s="2"/>
      <c r="B63" s="3" t="s">
        <v>249</v>
      </c>
      <c r="C63" s="3" t="s">
        <v>245</v>
      </c>
      <c r="D63" s="3" t="s">
        <v>246</v>
      </c>
      <c r="F63" s="3" t="s">
        <v>478</v>
      </c>
      <c r="G63" s="3" t="s">
        <v>247</v>
      </c>
      <c r="H63" s="3" t="s">
        <v>248</v>
      </c>
      <c r="I63" s="3" t="s">
        <v>479</v>
      </c>
    </row>
    <row r="64" spans="1:12" x14ac:dyDescent="0.25">
      <c r="A64" t="str">
        <f t="array" ref="A64:A71">R_CODE&amp;" "&amp;I_1_NAME</f>
        <v>EU Economic</v>
      </c>
      <c r="B64" s="62">
        <f>'Policy A'!B64</f>
        <v>1</v>
      </c>
      <c r="C64" s="48">
        <f>'Policy A'!C64</f>
        <v>2000</v>
      </c>
      <c r="D64" s="48">
        <f>'Policy A'!D64</f>
        <v>20</v>
      </c>
      <c r="F64" s="48">
        <f>'Policy A'!F64</f>
        <v>30</v>
      </c>
      <c r="G64" s="48">
        <f>'Policy A'!G64</f>
        <v>2010</v>
      </c>
      <c r="H64" s="48">
        <f>'Policy A'!H64</f>
        <v>20</v>
      </c>
      <c r="I64" s="48">
        <f>'Policy A'!I64</f>
        <v>2</v>
      </c>
    </row>
    <row r="65" spans="1:9" x14ac:dyDescent="0.25">
      <c r="A65" t="str">
        <v>US Economic</v>
      </c>
      <c r="B65" s="62">
        <f>'Policy A'!B65</f>
        <v>1</v>
      </c>
      <c r="C65" s="48">
        <f>'Policy A'!C65</f>
        <v>2000</v>
      </c>
      <c r="D65" s="48">
        <f>'Policy A'!D65</f>
        <v>20</v>
      </c>
      <c r="F65" s="48">
        <f>'Policy A'!F65</f>
        <v>30</v>
      </c>
      <c r="G65" s="48">
        <f>'Policy A'!G65</f>
        <v>2010</v>
      </c>
      <c r="H65" s="48">
        <f>'Policy A'!H65</f>
        <v>20</v>
      </c>
      <c r="I65" s="48">
        <f>'Policy A'!I65</f>
        <v>2</v>
      </c>
    </row>
    <row r="66" spans="1:9" x14ac:dyDescent="0.25">
      <c r="A66" t="str">
        <v>OT Economic</v>
      </c>
      <c r="B66" s="62">
        <f>'Policy A'!B66</f>
        <v>1</v>
      </c>
      <c r="C66" s="48">
        <f>'Policy A'!C66</f>
        <v>2000</v>
      </c>
      <c r="D66" s="48">
        <f>'Policy A'!D66</f>
        <v>20</v>
      </c>
      <c r="F66" s="48">
        <f>'Policy A'!F66</f>
        <v>30</v>
      </c>
      <c r="G66" s="48">
        <f>'Policy A'!G66</f>
        <v>2010</v>
      </c>
      <c r="H66" s="48">
        <f>'Policy A'!H66</f>
        <v>20</v>
      </c>
      <c r="I66" s="48">
        <f>'Policy A'!I66</f>
        <v>2</v>
      </c>
    </row>
    <row r="67" spans="1:9" x14ac:dyDescent="0.25">
      <c r="A67" t="str">
        <v>EE Economic</v>
      </c>
      <c r="B67" s="62">
        <f>'Policy A'!B67</f>
        <v>1</v>
      </c>
      <c r="C67" s="48">
        <f>'Policy A'!C67</f>
        <v>2000</v>
      </c>
      <c r="D67" s="48">
        <f>'Policy A'!D67</f>
        <v>20</v>
      </c>
      <c r="F67" s="48">
        <f>'Policy A'!F67</f>
        <v>30</v>
      </c>
      <c r="G67" s="48">
        <f>'Policy A'!G67</f>
        <v>2010</v>
      </c>
      <c r="H67" s="48">
        <f>'Policy A'!H67</f>
        <v>20</v>
      </c>
      <c r="I67" s="48">
        <f>'Policy A'!I67</f>
        <v>2</v>
      </c>
    </row>
    <row r="68" spans="1:9" x14ac:dyDescent="0.25">
      <c r="A68" t="str">
        <v>CA Economic</v>
      </c>
      <c r="B68" s="62">
        <f>'Policy A'!B68</f>
        <v>1</v>
      </c>
      <c r="C68" s="48">
        <f>'Policy A'!C68</f>
        <v>2010</v>
      </c>
      <c r="D68" s="48">
        <f>'Policy A'!D68</f>
        <v>30</v>
      </c>
      <c r="F68" s="48">
        <f>'Policy A'!F68</f>
        <v>15</v>
      </c>
      <c r="G68" s="48">
        <f>'Policy A'!G68</f>
        <v>2010</v>
      </c>
      <c r="H68" s="48">
        <f>'Policy A'!H68</f>
        <v>30</v>
      </c>
      <c r="I68" s="48">
        <f>'Policy A'!I68</f>
        <v>2</v>
      </c>
    </row>
    <row r="69" spans="1:9" x14ac:dyDescent="0.25">
      <c r="A69" t="str">
        <v>IA Economic</v>
      </c>
      <c r="B69" s="62">
        <f>'Policy A'!B69</f>
        <v>1</v>
      </c>
      <c r="C69" s="48">
        <f>'Policy A'!C69</f>
        <v>2010</v>
      </c>
      <c r="D69" s="48">
        <f>'Policy A'!D69</f>
        <v>30</v>
      </c>
      <c r="F69" s="48">
        <f>'Policy A'!F69</f>
        <v>15</v>
      </c>
      <c r="G69" s="48">
        <f>'Policy A'!G69</f>
        <v>2010</v>
      </c>
      <c r="H69" s="48">
        <f>'Policy A'!H69</f>
        <v>30</v>
      </c>
      <c r="I69" s="48">
        <f>'Policy A'!I69</f>
        <v>2</v>
      </c>
    </row>
    <row r="70" spans="1:9" x14ac:dyDescent="0.25">
      <c r="A70" t="str">
        <v>AF Economic</v>
      </c>
      <c r="B70" s="62">
        <f>'Policy A'!B70</f>
        <v>1</v>
      </c>
      <c r="C70" s="48">
        <f>'Policy A'!C70</f>
        <v>2010</v>
      </c>
      <c r="D70" s="48">
        <f>'Policy A'!D70</f>
        <v>30</v>
      </c>
      <c r="F70" s="48">
        <f>'Policy A'!F70</f>
        <v>15</v>
      </c>
      <c r="G70" s="48">
        <f>'Policy A'!G70</f>
        <v>2010</v>
      </c>
      <c r="H70" s="48">
        <f>'Policy A'!H70</f>
        <v>30</v>
      </c>
      <c r="I70" s="48">
        <f>'Policy A'!I70</f>
        <v>2</v>
      </c>
    </row>
    <row r="71" spans="1:9" x14ac:dyDescent="0.25">
      <c r="A71" t="str">
        <v>LA Economic</v>
      </c>
      <c r="B71" s="62">
        <f>'Policy A'!B71</f>
        <v>1</v>
      </c>
      <c r="C71" s="48">
        <f>'Policy A'!C71</f>
        <v>2010</v>
      </c>
      <c r="D71" s="48">
        <f>'Policy A'!D71</f>
        <v>30</v>
      </c>
      <c r="F71" s="48">
        <f>'Policy A'!F71</f>
        <v>15</v>
      </c>
      <c r="G71" s="48">
        <f>'Policy A'!G71</f>
        <v>2010</v>
      </c>
      <c r="H71" s="48">
        <f>'Policy A'!H71</f>
        <v>30</v>
      </c>
      <c r="I71" s="48">
        <f>'Policy A'!I71</f>
        <v>2</v>
      </c>
    </row>
    <row r="73" spans="1:9" ht="13" x14ac:dyDescent="0.3">
      <c r="A73" s="2"/>
      <c r="B73" s="3" t="s">
        <v>249</v>
      </c>
      <c r="C73" s="3" t="s">
        <v>245</v>
      </c>
      <c r="D73" s="3" t="s">
        <v>246</v>
      </c>
      <c r="F73" s="3" t="s">
        <v>478</v>
      </c>
      <c r="G73" s="3" t="s">
        <v>247</v>
      </c>
      <c r="H73" s="3" t="s">
        <v>248</v>
      </c>
      <c r="I73" s="3" t="s">
        <v>479</v>
      </c>
    </row>
    <row r="74" spans="1:9" x14ac:dyDescent="0.25">
      <c r="A74" t="str">
        <f t="array" ref="A74:A81">R_CODE&amp;" "&amp;I_2_NAME</f>
        <v>EU Non-econ</v>
      </c>
      <c r="B74" s="62">
        <f>'Policy A'!B74</f>
        <v>0</v>
      </c>
      <c r="C74" s="48">
        <f>'Policy A'!C74</f>
        <v>2000</v>
      </c>
      <c r="D74" s="48">
        <f>'Policy A'!D74</f>
        <v>100</v>
      </c>
      <c r="F74" s="48">
        <f>'Policy A'!F74</f>
        <v>15</v>
      </c>
      <c r="G74" s="48">
        <f>'Policy A'!G74</f>
        <v>2010</v>
      </c>
      <c r="H74" s="48">
        <f>'Policy A'!H74</f>
        <v>40</v>
      </c>
      <c r="I74" s="48">
        <f>'Policy A'!I74</f>
        <v>2</v>
      </c>
    </row>
    <row r="75" spans="1:9" x14ac:dyDescent="0.25">
      <c r="A75" t="str">
        <v>US Non-econ</v>
      </c>
      <c r="B75" s="62">
        <f>'Policy A'!B75</f>
        <v>0</v>
      </c>
      <c r="C75" s="48">
        <f>'Policy A'!C75</f>
        <v>2000</v>
      </c>
      <c r="D75" s="48">
        <f>'Policy A'!D75</f>
        <v>100</v>
      </c>
      <c r="F75" s="48">
        <f>'Policy A'!F75</f>
        <v>15</v>
      </c>
      <c r="G75" s="48">
        <f>'Policy A'!G75</f>
        <v>2010</v>
      </c>
      <c r="H75" s="48">
        <f>'Policy A'!H75</f>
        <v>40</v>
      </c>
      <c r="I75" s="48">
        <f>'Policy A'!I75</f>
        <v>2</v>
      </c>
    </row>
    <row r="76" spans="1:9" x14ac:dyDescent="0.25">
      <c r="A76" t="str">
        <v>OT Non-econ</v>
      </c>
      <c r="B76" s="62">
        <f>'Policy A'!B76</f>
        <v>0</v>
      </c>
      <c r="C76" s="48">
        <f>'Policy A'!C76</f>
        <v>2000</v>
      </c>
      <c r="D76" s="48">
        <f>'Policy A'!D76</f>
        <v>100</v>
      </c>
      <c r="F76" s="48">
        <f>'Policy A'!F76</f>
        <v>15</v>
      </c>
      <c r="G76" s="48">
        <f>'Policy A'!G76</f>
        <v>2010</v>
      </c>
      <c r="H76" s="48">
        <f>'Policy A'!H76</f>
        <v>40</v>
      </c>
      <c r="I76" s="48">
        <f>'Policy A'!I76</f>
        <v>2</v>
      </c>
    </row>
    <row r="77" spans="1:9" x14ac:dyDescent="0.25">
      <c r="A77" t="str">
        <v>EE Non-econ</v>
      </c>
      <c r="B77" s="62">
        <f>'Policy A'!B77</f>
        <v>0</v>
      </c>
      <c r="C77" s="48">
        <f>'Policy A'!C77</f>
        <v>2000</v>
      </c>
      <c r="D77" s="48">
        <f>'Policy A'!D77</f>
        <v>100</v>
      </c>
      <c r="F77" s="48">
        <f>'Policy A'!F77</f>
        <v>15</v>
      </c>
      <c r="G77" s="48">
        <f>'Policy A'!G77</f>
        <v>2010</v>
      </c>
      <c r="H77" s="48">
        <f>'Policy A'!H77</f>
        <v>40</v>
      </c>
      <c r="I77" s="48">
        <f>'Policy A'!I77</f>
        <v>2</v>
      </c>
    </row>
    <row r="78" spans="1:9" x14ac:dyDescent="0.25">
      <c r="A78" t="str">
        <v>CA Non-econ</v>
      </c>
      <c r="B78" s="62">
        <f>'Policy A'!B78</f>
        <v>0</v>
      </c>
      <c r="C78" s="48">
        <f>'Policy A'!C78</f>
        <v>2000</v>
      </c>
      <c r="D78" s="48">
        <f>'Policy A'!D78</f>
        <v>100</v>
      </c>
      <c r="F78" s="48">
        <f>'Policy A'!F78</f>
        <v>15</v>
      </c>
      <c r="G78" s="48">
        <f>'Policy A'!G78</f>
        <v>2010</v>
      </c>
      <c r="H78" s="48">
        <f>'Policy A'!H78</f>
        <v>40</v>
      </c>
      <c r="I78" s="48">
        <f>'Policy A'!I78</f>
        <v>2</v>
      </c>
    </row>
    <row r="79" spans="1:9" x14ac:dyDescent="0.25">
      <c r="A79" t="str">
        <v>IA Non-econ</v>
      </c>
      <c r="B79" s="62">
        <f>'Policy A'!B79</f>
        <v>0</v>
      </c>
      <c r="C79" s="48">
        <f>'Policy A'!C79</f>
        <v>2000</v>
      </c>
      <c r="D79" s="48">
        <f>'Policy A'!D79</f>
        <v>100</v>
      </c>
      <c r="F79" s="48">
        <f>'Policy A'!F79</f>
        <v>15</v>
      </c>
      <c r="G79" s="48">
        <f>'Policy A'!G79</f>
        <v>2010</v>
      </c>
      <c r="H79" s="48">
        <f>'Policy A'!H79</f>
        <v>40</v>
      </c>
      <c r="I79" s="48">
        <f>'Policy A'!I79</f>
        <v>2</v>
      </c>
    </row>
    <row r="80" spans="1:9" x14ac:dyDescent="0.25">
      <c r="A80" t="str">
        <v>AF Non-econ</v>
      </c>
      <c r="B80" s="62">
        <f>'Policy A'!B80</f>
        <v>0</v>
      </c>
      <c r="C80" s="48">
        <f>'Policy A'!C80</f>
        <v>2000</v>
      </c>
      <c r="D80" s="48">
        <f>'Policy A'!D80</f>
        <v>100</v>
      </c>
      <c r="F80" s="48">
        <f>'Policy A'!F80</f>
        <v>15</v>
      </c>
      <c r="G80" s="48">
        <f>'Policy A'!G80</f>
        <v>2010</v>
      </c>
      <c r="H80" s="48">
        <f>'Policy A'!H80</f>
        <v>40</v>
      </c>
      <c r="I80" s="48">
        <f>'Policy A'!I80</f>
        <v>2</v>
      </c>
    </row>
    <row r="81" spans="1:9" x14ac:dyDescent="0.25">
      <c r="A81" t="str">
        <v>LA Non-econ</v>
      </c>
      <c r="B81" s="62">
        <f>'Policy A'!B81</f>
        <v>0</v>
      </c>
      <c r="C81" s="48">
        <f>'Policy A'!C81</f>
        <v>2000</v>
      </c>
      <c r="D81" s="48">
        <f>'Policy A'!D81</f>
        <v>100</v>
      </c>
      <c r="F81" s="48">
        <f>'Policy A'!F81</f>
        <v>15</v>
      </c>
      <c r="G81" s="48">
        <f>'Policy A'!G81</f>
        <v>2010</v>
      </c>
      <c r="H81" s="48">
        <f>'Policy A'!H81</f>
        <v>40</v>
      </c>
      <c r="I81" s="48">
        <f>'Policy A'!I81</f>
        <v>2</v>
      </c>
    </row>
  </sheetData>
  <pageMargins left="0.75" right="0.75" top="1" bottom="1" header="0.5" footer="0.5"/>
  <pageSetup paperSize="9" orientation="portrait" horizontalDpi="360"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81"/>
  <sheetViews>
    <sheetView workbookViewId="0"/>
  </sheetViews>
  <sheetFormatPr defaultRowHeight="12.5" x14ac:dyDescent="0.25"/>
  <cols>
    <col min="1" max="1" width="22.81640625" bestFit="1" customWidth="1"/>
    <col min="2" max="11" width="7" customWidth="1"/>
    <col min="12" max="12" width="11.81640625" bestFit="1" customWidth="1"/>
  </cols>
  <sheetData>
    <row r="1" spans="1:12" ht="13" x14ac:dyDescent="0.3">
      <c r="A1" s="2" t="str">
        <f>MODEL_NAME</f>
        <v>PAGE09</v>
      </c>
      <c r="B1" t="s">
        <v>44</v>
      </c>
      <c r="C1" s="71">
        <f>VERSION</f>
        <v>1.7</v>
      </c>
    </row>
    <row r="3" spans="1:12" ht="13" x14ac:dyDescent="0.3">
      <c r="A3" s="57" t="s">
        <v>56</v>
      </c>
      <c r="B3" s="67" t="s">
        <v>317</v>
      </c>
      <c r="C3" s="66"/>
      <c r="D3" s="66"/>
      <c r="E3" s="66"/>
      <c r="F3" s="66"/>
      <c r="G3" s="66"/>
      <c r="H3" s="66"/>
      <c r="I3" s="66"/>
      <c r="J3" s="66"/>
      <c r="K3" s="66"/>
    </row>
    <row r="4" spans="1:12" s="2" customFormat="1" ht="13" x14ac:dyDescent="0.3">
      <c r="A4" s="67"/>
      <c r="B4" s="2">
        <f t="array" ref="B4:K4">Y</f>
        <v>2010</v>
      </c>
      <c r="C4" s="2">
        <v>2020</v>
      </c>
      <c r="D4" s="2">
        <v>2030</v>
      </c>
      <c r="E4" s="2">
        <v>2040</v>
      </c>
      <c r="F4" s="2">
        <v>2050</v>
      </c>
      <c r="G4" s="2">
        <v>2060</v>
      </c>
      <c r="H4" s="2">
        <v>2080</v>
      </c>
      <c r="I4" s="2">
        <v>2100</v>
      </c>
      <c r="J4" s="2">
        <v>2200</v>
      </c>
      <c r="K4" s="2">
        <v>2300</v>
      </c>
    </row>
    <row r="5" spans="1:12" x14ac:dyDescent="0.25">
      <c r="A5" t="str">
        <f t="array" ref="A5:A12">R_CODE&amp;" "&amp;'Base data'!$B$11&amp;" emissions"</f>
        <v>EU CO2 emissions</v>
      </c>
      <c r="B5" s="48">
        <f>'Policy A'!B5-'Policy B'!B5</f>
        <v>0</v>
      </c>
      <c r="C5" s="48">
        <f>'Policy A'!C5-'Policy B'!C5</f>
        <v>0</v>
      </c>
      <c r="D5" s="48">
        <f>'Policy A'!D5-'Policy B'!D5</f>
        <v>0</v>
      </c>
      <c r="E5" s="48">
        <f>'Policy A'!E5-'Policy B'!E5</f>
        <v>0</v>
      </c>
      <c r="F5" s="48">
        <f>'Policy A'!F5-'Policy B'!F5</f>
        <v>0</v>
      </c>
      <c r="G5" s="48">
        <f>'Policy A'!G5-'Policy B'!G5</f>
        <v>0</v>
      </c>
      <c r="H5" s="48">
        <f>'Policy A'!H5-'Policy B'!H5</f>
        <v>0</v>
      </c>
      <c r="I5" s="48">
        <f>'Policy A'!I5-'Policy B'!I5</f>
        <v>0</v>
      </c>
      <c r="J5" s="48">
        <f>'Policy A'!J5-'Policy B'!J5</f>
        <v>0</v>
      </c>
      <c r="K5" s="48">
        <f>'Policy A'!K5-'Policy B'!K5</f>
        <v>0</v>
      </c>
      <c r="L5" t="s">
        <v>46</v>
      </c>
    </row>
    <row r="6" spans="1:12" x14ac:dyDescent="0.25">
      <c r="A6" t="str">
        <v>US CO2 emissions</v>
      </c>
      <c r="B6" s="48">
        <f>'Policy A'!B6-'Policy B'!B6</f>
        <v>0</v>
      </c>
      <c r="C6" s="48">
        <f>'Policy A'!C6-'Policy B'!C6</f>
        <v>0</v>
      </c>
      <c r="D6" s="48">
        <f>'Policy A'!D6-'Policy B'!D6</f>
        <v>0</v>
      </c>
      <c r="E6" s="48">
        <f>'Policy A'!E6-'Policy B'!E6</f>
        <v>0</v>
      </c>
      <c r="F6" s="48">
        <f>'Policy A'!F6-'Policy B'!F6</f>
        <v>0</v>
      </c>
      <c r="G6" s="48">
        <f>'Policy A'!G6-'Policy B'!G6</f>
        <v>0</v>
      </c>
      <c r="H6" s="48">
        <f>'Policy A'!H6-'Policy B'!H6</f>
        <v>0</v>
      </c>
      <c r="I6" s="48">
        <f>'Policy A'!I6-'Policy B'!I6</f>
        <v>0</v>
      </c>
      <c r="J6" s="48">
        <f>'Policy A'!J6-'Policy B'!J6</f>
        <v>0</v>
      </c>
      <c r="K6" s="48">
        <f>'Policy A'!K6-'Policy B'!K6</f>
        <v>0</v>
      </c>
      <c r="L6" t="s">
        <v>46</v>
      </c>
    </row>
    <row r="7" spans="1:12" x14ac:dyDescent="0.25">
      <c r="A7" t="str">
        <v>OT CO2 emissions</v>
      </c>
      <c r="B7" s="48">
        <f>'Policy A'!B7-'Policy B'!B7</f>
        <v>0</v>
      </c>
      <c r="C7" s="48">
        <f>'Policy A'!C7-'Policy B'!C7</f>
        <v>0</v>
      </c>
      <c r="D7" s="48">
        <f>'Policy A'!D7-'Policy B'!D7</f>
        <v>0</v>
      </c>
      <c r="E7" s="48">
        <f>'Policy A'!E7-'Policy B'!E7</f>
        <v>0</v>
      </c>
      <c r="F7" s="48">
        <f>'Policy A'!F7-'Policy B'!F7</f>
        <v>0</v>
      </c>
      <c r="G7" s="48">
        <f>'Policy A'!G7-'Policy B'!G7</f>
        <v>0</v>
      </c>
      <c r="H7" s="48">
        <f>'Policy A'!H7-'Policy B'!H7</f>
        <v>0</v>
      </c>
      <c r="I7" s="48">
        <f>'Policy A'!I7-'Policy B'!I7</f>
        <v>0</v>
      </c>
      <c r="J7" s="48">
        <f>'Policy A'!J7-'Policy B'!J7</f>
        <v>0</v>
      </c>
      <c r="K7" s="48">
        <f>'Policy A'!K7-'Policy B'!K7</f>
        <v>0</v>
      </c>
      <c r="L7" t="s">
        <v>46</v>
      </c>
    </row>
    <row r="8" spans="1:12" x14ac:dyDescent="0.25">
      <c r="A8" t="str">
        <v>EE CO2 emissions</v>
      </c>
      <c r="B8" s="48">
        <f>'Policy A'!B8-'Policy B'!B8</f>
        <v>0</v>
      </c>
      <c r="C8" s="48">
        <f>'Policy A'!C8-'Policy B'!C8</f>
        <v>0</v>
      </c>
      <c r="D8" s="48">
        <f>'Policy A'!D8-'Policy B'!D8</f>
        <v>0</v>
      </c>
      <c r="E8" s="48">
        <f>'Policy A'!E8-'Policy B'!E8</f>
        <v>0</v>
      </c>
      <c r="F8" s="48">
        <f>'Policy A'!F8-'Policy B'!F8</f>
        <v>0</v>
      </c>
      <c r="G8" s="48">
        <f>'Policy A'!G8-'Policy B'!G8</f>
        <v>0</v>
      </c>
      <c r="H8" s="48">
        <f>'Policy A'!H8-'Policy B'!H8</f>
        <v>0</v>
      </c>
      <c r="I8" s="48">
        <f>'Policy A'!I8-'Policy B'!I8</f>
        <v>0</v>
      </c>
      <c r="J8" s="48">
        <f>'Policy A'!J8-'Policy B'!J8</f>
        <v>0</v>
      </c>
      <c r="K8" s="48">
        <f>'Policy A'!K8-'Policy B'!K8</f>
        <v>0</v>
      </c>
      <c r="L8" t="s">
        <v>46</v>
      </c>
    </row>
    <row r="9" spans="1:12" x14ac:dyDescent="0.25">
      <c r="A9" t="str">
        <v>CA CO2 emissions</v>
      </c>
      <c r="B9" s="48">
        <f>'Policy A'!B9-'Policy B'!B9</f>
        <v>0</v>
      </c>
      <c r="C9" s="48">
        <f>'Policy A'!C9-'Policy B'!C9</f>
        <v>0</v>
      </c>
      <c r="D9" s="48">
        <f>'Policy A'!D9-'Policy B'!D9</f>
        <v>0</v>
      </c>
      <c r="E9" s="48">
        <f>'Policy A'!E9-'Policy B'!E9</f>
        <v>0</v>
      </c>
      <c r="F9" s="48">
        <f>'Policy A'!F9-'Policy B'!F9</f>
        <v>0</v>
      </c>
      <c r="G9" s="48">
        <f>'Policy A'!G9-'Policy B'!G9</f>
        <v>0</v>
      </c>
      <c r="H9" s="48">
        <f>'Policy A'!H9-'Policy B'!H9</f>
        <v>0</v>
      </c>
      <c r="I9" s="48">
        <f>'Policy A'!I9-'Policy B'!I9</f>
        <v>0</v>
      </c>
      <c r="J9" s="48">
        <f>'Policy A'!J9-'Policy B'!J9</f>
        <v>0</v>
      </c>
      <c r="K9" s="48">
        <f>'Policy A'!K9-'Policy B'!K9</f>
        <v>0</v>
      </c>
      <c r="L9" t="s">
        <v>46</v>
      </c>
    </row>
    <row r="10" spans="1:12" x14ac:dyDescent="0.25">
      <c r="A10" t="str">
        <v>IA CO2 emissions</v>
      </c>
      <c r="B10" s="48">
        <f>'Policy A'!B10-'Policy B'!B10</f>
        <v>0</v>
      </c>
      <c r="C10" s="48">
        <f>'Policy A'!C10-'Policy B'!C10</f>
        <v>0</v>
      </c>
      <c r="D10" s="48">
        <f>'Policy A'!D10-'Policy B'!D10</f>
        <v>0</v>
      </c>
      <c r="E10" s="48">
        <f>'Policy A'!E10-'Policy B'!E10</f>
        <v>0</v>
      </c>
      <c r="F10" s="48">
        <f>'Policy A'!F10-'Policy B'!F10</f>
        <v>0</v>
      </c>
      <c r="G10" s="48">
        <f>'Policy A'!G10-'Policy B'!G10</f>
        <v>0</v>
      </c>
      <c r="H10" s="48">
        <f>'Policy A'!H10-'Policy B'!H10</f>
        <v>0</v>
      </c>
      <c r="I10" s="48">
        <f>'Policy A'!I10-'Policy B'!I10</f>
        <v>0</v>
      </c>
      <c r="J10" s="48">
        <f>'Policy A'!J10-'Policy B'!J10</f>
        <v>0</v>
      </c>
      <c r="K10" s="48">
        <f>'Policy A'!K10-'Policy B'!K10</f>
        <v>0</v>
      </c>
      <c r="L10" t="s">
        <v>46</v>
      </c>
    </row>
    <row r="11" spans="1:12" x14ac:dyDescent="0.25">
      <c r="A11" t="str">
        <v>AF CO2 emissions</v>
      </c>
      <c r="B11" s="48">
        <f>'Policy A'!B11-'Policy B'!B11</f>
        <v>0</v>
      </c>
      <c r="C11" s="48">
        <f>'Policy A'!C11-'Policy B'!C11</f>
        <v>0</v>
      </c>
      <c r="D11" s="48">
        <f>'Policy A'!D11-'Policy B'!D11</f>
        <v>0</v>
      </c>
      <c r="E11" s="48">
        <f>'Policy A'!E11-'Policy B'!E11</f>
        <v>0</v>
      </c>
      <c r="F11" s="48">
        <f>'Policy A'!F11-'Policy B'!F11</f>
        <v>0</v>
      </c>
      <c r="G11" s="48">
        <f>'Policy A'!G11-'Policy B'!G11</f>
        <v>0</v>
      </c>
      <c r="H11" s="48">
        <f>'Policy A'!H11-'Policy B'!H11</f>
        <v>0</v>
      </c>
      <c r="I11" s="48">
        <f>'Policy A'!I11-'Policy B'!I11</f>
        <v>0</v>
      </c>
      <c r="J11" s="48">
        <f>'Policy A'!J11-'Policy B'!J11</f>
        <v>0</v>
      </c>
      <c r="K11" s="48">
        <f>'Policy A'!K11-'Policy B'!K11</f>
        <v>0</v>
      </c>
      <c r="L11" t="s">
        <v>46</v>
      </c>
    </row>
    <row r="12" spans="1:12" x14ac:dyDescent="0.25">
      <c r="A12" t="str">
        <v>LA CO2 emissions</v>
      </c>
      <c r="B12" s="48">
        <f>'Policy A'!B12-'Policy B'!B12</f>
        <v>0</v>
      </c>
      <c r="C12" s="48">
        <f>'Policy A'!C12-'Policy B'!C12</f>
        <v>0</v>
      </c>
      <c r="D12" s="48">
        <f>'Policy A'!D12-'Policy B'!D12</f>
        <v>0</v>
      </c>
      <c r="E12" s="48">
        <f>'Policy A'!E12-'Policy B'!E12</f>
        <v>0</v>
      </c>
      <c r="F12" s="48">
        <f>'Policy A'!F12-'Policy B'!F12</f>
        <v>0</v>
      </c>
      <c r="G12" s="48">
        <f>'Policy A'!G12-'Policy B'!G12</f>
        <v>0</v>
      </c>
      <c r="H12" s="48">
        <f>'Policy A'!H12-'Policy B'!H12</f>
        <v>0</v>
      </c>
      <c r="I12" s="48">
        <f>'Policy A'!I12-'Policy B'!I12</f>
        <v>0</v>
      </c>
      <c r="J12" s="48">
        <f>'Policy A'!J12-'Policy B'!J12</f>
        <v>0</v>
      </c>
      <c r="K12" s="48">
        <f>'Policy A'!K12-'Policy B'!K12</f>
        <v>0</v>
      </c>
      <c r="L12" t="s">
        <v>46</v>
      </c>
    </row>
    <row r="14" spans="1:12" x14ac:dyDescent="0.25">
      <c r="A14" t="str">
        <f t="array" ref="A14:A21">R_CODE&amp;" "&amp;'Base data'!$C$11&amp;" emissions"</f>
        <v>EU CH4 emissions</v>
      </c>
      <c r="B14" s="48">
        <f>'Policy A'!B14-'Policy B'!B14</f>
        <v>0</v>
      </c>
      <c r="C14" s="48">
        <f>'Policy A'!C14-'Policy B'!C14</f>
        <v>0</v>
      </c>
      <c r="D14" s="48">
        <f>'Policy A'!D14-'Policy B'!D14</f>
        <v>0</v>
      </c>
      <c r="E14" s="48">
        <f>'Policy A'!E14-'Policy B'!E14</f>
        <v>0</v>
      </c>
      <c r="F14" s="48">
        <f>'Policy A'!F14-'Policy B'!F14</f>
        <v>0</v>
      </c>
      <c r="G14" s="48">
        <f>'Policy A'!G14-'Policy B'!G14</f>
        <v>0</v>
      </c>
      <c r="H14" s="48">
        <f>'Policy A'!H14-'Policy B'!H14</f>
        <v>0</v>
      </c>
      <c r="I14" s="48">
        <f>'Policy A'!I14-'Policy B'!I14</f>
        <v>0</v>
      </c>
      <c r="J14" s="48">
        <f>'Policy A'!J14-'Policy B'!J14</f>
        <v>0</v>
      </c>
      <c r="K14" s="48">
        <f>'Policy A'!K14-'Policy B'!K14</f>
        <v>0</v>
      </c>
      <c r="L14" t="s">
        <v>46</v>
      </c>
    </row>
    <row r="15" spans="1:12" x14ac:dyDescent="0.25">
      <c r="A15" t="str">
        <v>US CH4 emissions</v>
      </c>
      <c r="B15" s="48">
        <f>'Policy A'!B15-'Policy B'!B15</f>
        <v>0</v>
      </c>
      <c r="C15" s="48">
        <f>'Policy A'!C15-'Policy B'!C15</f>
        <v>0</v>
      </c>
      <c r="D15" s="48">
        <f>'Policy A'!D15-'Policy B'!D15</f>
        <v>0</v>
      </c>
      <c r="E15" s="48">
        <f>'Policy A'!E15-'Policy B'!E15</f>
        <v>0</v>
      </c>
      <c r="F15" s="48">
        <f>'Policy A'!F15-'Policy B'!F15</f>
        <v>0</v>
      </c>
      <c r="G15" s="48">
        <f>'Policy A'!G15-'Policy B'!G15</f>
        <v>0</v>
      </c>
      <c r="H15" s="48">
        <f>'Policy A'!H15-'Policy B'!H15</f>
        <v>0</v>
      </c>
      <c r="I15" s="48">
        <f>'Policy A'!I15-'Policy B'!I15</f>
        <v>0</v>
      </c>
      <c r="J15" s="48">
        <f>'Policy A'!J15-'Policy B'!J15</f>
        <v>0</v>
      </c>
      <c r="K15" s="48">
        <f>'Policy A'!K15-'Policy B'!K15</f>
        <v>0</v>
      </c>
      <c r="L15" t="s">
        <v>46</v>
      </c>
    </row>
    <row r="16" spans="1:12" x14ac:dyDescent="0.25">
      <c r="A16" t="str">
        <v>OT CH4 emissions</v>
      </c>
      <c r="B16" s="48">
        <f>'Policy A'!B16-'Policy B'!B16</f>
        <v>0</v>
      </c>
      <c r="C16" s="48">
        <f>'Policy A'!C16-'Policy B'!C16</f>
        <v>0</v>
      </c>
      <c r="D16" s="48">
        <f>'Policy A'!D16-'Policy B'!D16</f>
        <v>0</v>
      </c>
      <c r="E16" s="48">
        <f>'Policy A'!E16-'Policy B'!E16</f>
        <v>0</v>
      </c>
      <c r="F16" s="48">
        <f>'Policy A'!F16-'Policy B'!F16</f>
        <v>0</v>
      </c>
      <c r="G16" s="48">
        <f>'Policy A'!G16-'Policy B'!G16</f>
        <v>0</v>
      </c>
      <c r="H16" s="48">
        <f>'Policy A'!H16-'Policy B'!H16</f>
        <v>0</v>
      </c>
      <c r="I16" s="48">
        <f>'Policy A'!I16-'Policy B'!I16</f>
        <v>0</v>
      </c>
      <c r="J16" s="48">
        <f>'Policy A'!J16-'Policy B'!J16</f>
        <v>0</v>
      </c>
      <c r="K16" s="48">
        <f>'Policy A'!K16-'Policy B'!K16</f>
        <v>0</v>
      </c>
      <c r="L16" t="s">
        <v>46</v>
      </c>
    </row>
    <row r="17" spans="1:12" x14ac:dyDescent="0.25">
      <c r="A17" t="str">
        <v>EE CH4 emissions</v>
      </c>
      <c r="B17" s="48">
        <f>'Policy A'!B17-'Policy B'!B17</f>
        <v>0</v>
      </c>
      <c r="C17" s="48">
        <f>'Policy A'!C17-'Policy B'!C17</f>
        <v>0</v>
      </c>
      <c r="D17" s="48">
        <f>'Policy A'!D17-'Policy B'!D17</f>
        <v>0</v>
      </c>
      <c r="E17" s="48">
        <f>'Policy A'!E17-'Policy B'!E17</f>
        <v>0</v>
      </c>
      <c r="F17" s="48">
        <f>'Policy A'!F17-'Policy B'!F17</f>
        <v>0</v>
      </c>
      <c r="G17" s="48">
        <f>'Policy A'!G17-'Policy B'!G17</f>
        <v>0</v>
      </c>
      <c r="H17" s="48">
        <f>'Policy A'!H17-'Policy B'!H17</f>
        <v>0</v>
      </c>
      <c r="I17" s="48">
        <f>'Policy A'!I17-'Policy B'!I17</f>
        <v>0</v>
      </c>
      <c r="J17" s="48">
        <f>'Policy A'!J17-'Policy B'!J17</f>
        <v>0</v>
      </c>
      <c r="K17" s="48">
        <f>'Policy A'!K17-'Policy B'!K17</f>
        <v>0</v>
      </c>
      <c r="L17" t="s">
        <v>46</v>
      </c>
    </row>
    <row r="18" spans="1:12" x14ac:dyDescent="0.25">
      <c r="A18" t="str">
        <v>CA CH4 emissions</v>
      </c>
      <c r="B18" s="48">
        <f>'Policy A'!B18-'Policy B'!B18</f>
        <v>0</v>
      </c>
      <c r="C18" s="48">
        <f>'Policy A'!C18-'Policy B'!C18</f>
        <v>0</v>
      </c>
      <c r="D18" s="48">
        <f>'Policy A'!D18-'Policy B'!D18</f>
        <v>0</v>
      </c>
      <c r="E18" s="48">
        <f>'Policy A'!E18-'Policy B'!E18</f>
        <v>0</v>
      </c>
      <c r="F18" s="48">
        <f>'Policy A'!F18-'Policy B'!F18</f>
        <v>0</v>
      </c>
      <c r="G18" s="48">
        <f>'Policy A'!G18-'Policy B'!G18</f>
        <v>0</v>
      </c>
      <c r="H18" s="48">
        <f>'Policy A'!H18-'Policy B'!H18</f>
        <v>0</v>
      </c>
      <c r="I18" s="48">
        <f>'Policy A'!I18-'Policy B'!I18</f>
        <v>0</v>
      </c>
      <c r="J18" s="48">
        <f>'Policy A'!J18-'Policy B'!J18</f>
        <v>0</v>
      </c>
      <c r="K18" s="48">
        <f>'Policy A'!K18-'Policy B'!K18</f>
        <v>0</v>
      </c>
      <c r="L18" t="s">
        <v>46</v>
      </c>
    </row>
    <row r="19" spans="1:12" x14ac:dyDescent="0.25">
      <c r="A19" t="str">
        <v>IA CH4 emissions</v>
      </c>
      <c r="B19" s="48">
        <f>'Policy A'!B19-'Policy B'!B19</f>
        <v>0</v>
      </c>
      <c r="C19" s="48">
        <f>'Policy A'!C19-'Policy B'!C19</f>
        <v>0</v>
      </c>
      <c r="D19" s="48">
        <f>'Policy A'!D19-'Policy B'!D19</f>
        <v>0</v>
      </c>
      <c r="E19" s="48">
        <f>'Policy A'!E19-'Policy B'!E19</f>
        <v>0</v>
      </c>
      <c r="F19" s="48">
        <f>'Policy A'!F19-'Policy B'!F19</f>
        <v>0</v>
      </c>
      <c r="G19" s="48">
        <f>'Policy A'!G19-'Policy B'!G19</f>
        <v>0</v>
      </c>
      <c r="H19" s="48">
        <f>'Policy A'!H19-'Policy B'!H19</f>
        <v>0</v>
      </c>
      <c r="I19" s="48">
        <f>'Policy A'!I19-'Policy B'!I19</f>
        <v>0</v>
      </c>
      <c r="J19" s="48">
        <f>'Policy A'!J19-'Policy B'!J19</f>
        <v>0</v>
      </c>
      <c r="K19" s="48">
        <f>'Policy A'!K19-'Policy B'!K19</f>
        <v>0</v>
      </c>
      <c r="L19" t="s">
        <v>46</v>
      </c>
    </row>
    <row r="20" spans="1:12" x14ac:dyDescent="0.25">
      <c r="A20" t="str">
        <v>AF CH4 emissions</v>
      </c>
      <c r="B20" s="48">
        <f>'Policy A'!B20-'Policy B'!B20</f>
        <v>0</v>
      </c>
      <c r="C20" s="48">
        <f>'Policy A'!C20-'Policy B'!C20</f>
        <v>0</v>
      </c>
      <c r="D20" s="48">
        <f>'Policy A'!D20-'Policy B'!D20</f>
        <v>0</v>
      </c>
      <c r="E20" s="48">
        <f>'Policy A'!E20-'Policy B'!E20</f>
        <v>0</v>
      </c>
      <c r="F20" s="48">
        <f>'Policy A'!F20-'Policy B'!F20</f>
        <v>0</v>
      </c>
      <c r="G20" s="48">
        <f>'Policy A'!G20-'Policy B'!G20</f>
        <v>0</v>
      </c>
      <c r="H20" s="48">
        <f>'Policy A'!H20-'Policy B'!H20</f>
        <v>0</v>
      </c>
      <c r="I20" s="48">
        <f>'Policy A'!I20-'Policy B'!I20</f>
        <v>0</v>
      </c>
      <c r="J20" s="48">
        <f>'Policy A'!J20-'Policy B'!J20</f>
        <v>0</v>
      </c>
      <c r="K20" s="48">
        <f>'Policy A'!K20-'Policy B'!K20</f>
        <v>0</v>
      </c>
      <c r="L20" t="s">
        <v>46</v>
      </c>
    </row>
    <row r="21" spans="1:12" x14ac:dyDescent="0.25">
      <c r="A21" t="str">
        <v>LA CH4 emissions</v>
      </c>
      <c r="B21" s="48">
        <f>'Policy A'!B21-'Policy B'!B21</f>
        <v>0</v>
      </c>
      <c r="C21" s="48">
        <f>'Policy A'!C21-'Policy B'!C21</f>
        <v>0</v>
      </c>
      <c r="D21" s="48">
        <f>'Policy A'!D21-'Policy B'!D21</f>
        <v>0</v>
      </c>
      <c r="E21" s="48">
        <f>'Policy A'!E21-'Policy B'!E21</f>
        <v>0</v>
      </c>
      <c r="F21" s="48">
        <f>'Policy A'!F21-'Policy B'!F21</f>
        <v>0</v>
      </c>
      <c r="G21" s="48">
        <f>'Policy A'!G21-'Policy B'!G21</f>
        <v>0</v>
      </c>
      <c r="H21" s="48">
        <f>'Policy A'!H21-'Policy B'!H21</f>
        <v>0</v>
      </c>
      <c r="I21" s="48">
        <f>'Policy A'!I21-'Policy B'!I21</f>
        <v>0</v>
      </c>
      <c r="J21" s="48">
        <f>'Policy A'!J21-'Policy B'!J21</f>
        <v>0</v>
      </c>
      <c r="K21" s="48">
        <f>'Policy A'!K21-'Policy B'!K21</f>
        <v>0</v>
      </c>
      <c r="L21" t="s">
        <v>46</v>
      </c>
    </row>
    <row r="23" spans="1:12" x14ac:dyDescent="0.25">
      <c r="A23" t="str">
        <f t="array" ref="A23:A30">R_CODE&amp;" "&amp;'Base data'!$D$11&amp;" emissions"</f>
        <v>EU N2O emissions</v>
      </c>
      <c r="B23" s="48">
        <f>'Policy A'!B23-'Policy B'!B23</f>
        <v>0</v>
      </c>
      <c r="C23" s="48">
        <f>'Policy A'!C23-'Policy B'!C23</f>
        <v>0</v>
      </c>
      <c r="D23" s="48">
        <f>'Policy A'!D23-'Policy B'!D23</f>
        <v>0</v>
      </c>
      <c r="E23" s="48">
        <f>'Policy A'!E23-'Policy B'!E23</f>
        <v>0</v>
      </c>
      <c r="F23" s="48">
        <f>'Policy A'!F23-'Policy B'!F23</f>
        <v>0</v>
      </c>
      <c r="G23" s="48">
        <f>'Policy A'!G23-'Policy B'!G23</f>
        <v>0</v>
      </c>
      <c r="H23" s="48">
        <f>'Policy A'!H23-'Policy B'!H23</f>
        <v>0</v>
      </c>
      <c r="I23" s="48">
        <f>'Policy A'!I23-'Policy B'!I23</f>
        <v>0</v>
      </c>
      <c r="J23" s="48">
        <f>'Policy A'!J23-'Policy B'!J23</f>
        <v>0</v>
      </c>
      <c r="K23" s="48">
        <f>'Policy A'!K23-'Policy B'!K23</f>
        <v>0</v>
      </c>
      <c r="L23" t="s">
        <v>46</v>
      </c>
    </row>
    <row r="24" spans="1:12" x14ac:dyDescent="0.25">
      <c r="A24" t="str">
        <v>US N2O emissions</v>
      </c>
      <c r="B24" s="48">
        <f>'Policy A'!B24-'Policy B'!B24</f>
        <v>0</v>
      </c>
      <c r="C24" s="48">
        <f>'Policy A'!C24-'Policy B'!C24</f>
        <v>0</v>
      </c>
      <c r="D24" s="48">
        <f>'Policy A'!D24-'Policy B'!D24</f>
        <v>0</v>
      </c>
      <c r="E24" s="48">
        <f>'Policy A'!E24-'Policy B'!E24</f>
        <v>0</v>
      </c>
      <c r="F24" s="48">
        <f>'Policy A'!F24-'Policy B'!F24</f>
        <v>0</v>
      </c>
      <c r="G24" s="48">
        <f>'Policy A'!G24-'Policy B'!G24</f>
        <v>0</v>
      </c>
      <c r="H24" s="48">
        <f>'Policy A'!H24-'Policy B'!H24</f>
        <v>0</v>
      </c>
      <c r="I24" s="48">
        <f>'Policy A'!I24-'Policy B'!I24</f>
        <v>0</v>
      </c>
      <c r="J24" s="48">
        <f>'Policy A'!J24-'Policy B'!J24</f>
        <v>0</v>
      </c>
      <c r="K24" s="48">
        <f>'Policy A'!K24-'Policy B'!K24</f>
        <v>0</v>
      </c>
      <c r="L24" t="s">
        <v>46</v>
      </c>
    </row>
    <row r="25" spans="1:12" x14ac:dyDescent="0.25">
      <c r="A25" t="str">
        <v>OT N2O emissions</v>
      </c>
      <c r="B25" s="48">
        <f>'Policy A'!B25-'Policy B'!B25</f>
        <v>0</v>
      </c>
      <c r="C25" s="48">
        <f>'Policy A'!C25-'Policy B'!C25</f>
        <v>0</v>
      </c>
      <c r="D25" s="48">
        <f>'Policy A'!D25-'Policy B'!D25</f>
        <v>0</v>
      </c>
      <c r="E25" s="48">
        <f>'Policy A'!E25-'Policy B'!E25</f>
        <v>0</v>
      </c>
      <c r="F25" s="48">
        <f>'Policy A'!F25-'Policy B'!F25</f>
        <v>0</v>
      </c>
      <c r="G25" s="48">
        <f>'Policy A'!G25-'Policy B'!G25</f>
        <v>0</v>
      </c>
      <c r="H25" s="48">
        <f>'Policy A'!H25-'Policy B'!H25</f>
        <v>0</v>
      </c>
      <c r="I25" s="48">
        <f>'Policy A'!I25-'Policy B'!I25</f>
        <v>0</v>
      </c>
      <c r="J25" s="48">
        <f>'Policy A'!J25-'Policy B'!J25</f>
        <v>0</v>
      </c>
      <c r="K25" s="48">
        <f>'Policy A'!K25-'Policy B'!K25</f>
        <v>0</v>
      </c>
      <c r="L25" t="s">
        <v>46</v>
      </c>
    </row>
    <row r="26" spans="1:12" x14ac:dyDescent="0.25">
      <c r="A26" t="str">
        <v>EE N2O emissions</v>
      </c>
      <c r="B26" s="48">
        <f>'Policy A'!B26-'Policy B'!B26</f>
        <v>0</v>
      </c>
      <c r="C26" s="48">
        <f>'Policy A'!C26-'Policy B'!C26</f>
        <v>0</v>
      </c>
      <c r="D26" s="48">
        <f>'Policy A'!D26-'Policy B'!D26</f>
        <v>0</v>
      </c>
      <c r="E26" s="48">
        <f>'Policy A'!E26-'Policy B'!E26</f>
        <v>0</v>
      </c>
      <c r="F26" s="48">
        <f>'Policy A'!F26-'Policy B'!F26</f>
        <v>0</v>
      </c>
      <c r="G26" s="48">
        <f>'Policy A'!G26-'Policy B'!G26</f>
        <v>0</v>
      </c>
      <c r="H26" s="48">
        <f>'Policy A'!H26-'Policy B'!H26</f>
        <v>0</v>
      </c>
      <c r="I26" s="48">
        <f>'Policy A'!I26-'Policy B'!I26</f>
        <v>0</v>
      </c>
      <c r="J26" s="48">
        <f>'Policy A'!J26-'Policy B'!J26</f>
        <v>0</v>
      </c>
      <c r="K26" s="48">
        <f>'Policy A'!K26-'Policy B'!K26</f>
        <v>0</v>
      </c>
      <c r="L26" t="s">
        <v>46</v>
      </c>
    </row>
    <row r="27" spans="1:12" x14ac:dyDescent="0.25">
      <c r="A27" t="str">
        <v>CA N2O emissions</v>
      </c>
      <c r="B27" s="48">
        <f>'Policy A'!B27-'Policy B'!B27</f>
        <v>0</v>
      </c>
      <c r="C27" s="48">
        <f>'Policy A'!C27-'Policy B'!C27</f>
        <v>0</v>
      </c>
      <c r="D27" s="48">
        <f>'Policy A'!D27-'Policy B'!D27</f>
        <v>0</v>
      </c>
      <c r="E27" s="48">
        <f>'Policy A'!E27-'Policy B'!E27</f>
        <v>0</v>
      </c>
      <c r="F27" s="48">
        <f>'Policy A'!F27-'Policy B'!F27</f>
        <v>0</v>
      </c>
      <c r="G27" s="48">
        <f>'Policy A'!G27-'Policy B'!G27</f>
        <v>0</v>
      </c>
      <c r="H27" s="48">
        <f>'Policy A'!H27-'Policy B'!H27</f>
        <v>0</v>
      </c>
      <c r="I27" s="48">
        <f>'Policy A'!I27-'Policy B'!I27</f>
        <v>0</v>
      </c>
      <c r="J27" s="48">
        <f>'Policy A'!J27-'Policy B'!J27</f>
        <v>0</v>
      </c>
      <c r="K27" s="48">
        <f>'Policy A'!K27-'Policy B'!K27</f>
        <v>0</v>
      </c>
      <c r="L27" t="s">
        <v>46</v>
      </c>
    </row>
    <row r="28" spans="1:12" x14ac:dyDescent="0.25">
      <c r="A28" t="str">
        <v>IA N2O emissions</v>
      </c>
      <c r="B28" s="48">
        <f>'Policy A'!B28-'Policy B'!B28</f>
        <v>0</v>
      </c>
      <c r="C28" s="48">
        <f>'Policy A'!C28-'Policy B'!C28</f>
        <v>0</v>
      </c>
      <c r="D28" s="48">
        <f>'Policy A'!D28-'Policy B'!D28</f>
        <v>0</v>
      </c>
      <c r="E28" s="48">
        <f>'Policy A'!E28-'Policy B'!E28</f>
        <v>0</v>
      </c>
      <c r="F28" s="48">
        <f>'Policy A'!F28-'Policy B'!F28</f>
        <v>0</v>
      </c>
      <c r="G28" s="48">
        <f>'Policy A'!G28-'Policy B'!G28</f>
        <v>0</v>
      </c>
      <c r="H28" s="48">
        <f>'Policy A'!H28-'Policy B'!H28</f>
        <v>0</v>
      </c>
      <c r="I28" s="48">
        <f>'Policy A'!I28-'Policy B'!I28</f>
        <v>0</v>
      </c>
      <c r="J28" s="48">
        <f>'Policy A'!J28-'Policy B'!J28</f>
        <v>0</v>
      </c>
      <c r="K28" s="48">
        <f>'Policy A'!K28-'Policy B'!K28</f>
        <v>0</v>
      </c>
      <c r="L28" t="s">
        <v>46</v>
      </c>
    </row>
    <row r="29" spans="1:12" x14ac:dyDescent="0.25">
      <c r="A29" t="str">
        <v>AF N2O emissions</v>
      </c>
      <c r="B29" s="48">
        <f>'Policy A'!B29-'Policy B'!B29</f>
        <v>0</v>
      </c>
      <c r="C29" s="48">
        <f>'Policy A'!C29-'Policy B'!C29</f>
        <v>0</v>
      </c>
      <c r="D29" s="48">
        <f>'Policy A'!D29-'Policy B'!D29</f>
        <v>0</v>
      </c>
      <c r="E29" s="48">
        <f>'Policy A'!E29-'Policy B'!E29</f>
        <v>0</v>
      </c>
      <c r="F29" s="48">
        <f>'Policy A'!F29-'Policy B'!F29</f>
        <v>0</v>
      </c>
      <c r="G29" s="48">
        <f>'Policy A'!G29-'Policy B'!G29</f>
        <v>0</v>
      </c>
      <c r="H29" s="48">
        <f>'Policy A'!H29-'Policy B'!H29</f>
        <v>0</v>
      </c>
      <c r="I29" s="48">
        <f>'Policy A'!I29-'Policy B'!I29</f>
        <v>0</v>
      </c>
      <c r="J29" s="48">
        <f>'Policy A'!J29-'Policy B'!J29</f>
        <v>0</v>
      </c>
      <c r="K29" s="48">
        <f>'Policy A'!K29-'Policy B'!K29</f>
        <v>0</v>
      </c>
      <c r="L29" t="s">
        <v>46</v>
      </c>
    </row>
    <row r="30" spans="1:12" x14ac:dyDescent="0.25">
      <c r="A30" t="str">
        <v>LA N2O emissions</v>
      </c>
      <c r="B30" s="48">
        <f>'Policy A'!B30-'Policy B'!B30</f>
        <v>0</v>
      </c>
      <c r="C30" s="48">
        <f>'Policy A'!C30-'Policy B'!C30</f>
        <v>0</v>
      </c>
      <c r="D30" s="48">
        <f>'Policy A'!D30-'Policy B'!D30</f>
        <v>0</v>
      </c>
      <c r="E30" s="48">
        <f>'Policy A'!E30-'Policy B'!E30</f>
        <v>0</v>
      </c>
      <c r="F30" s="48">
        <f>'Policy A'!F30-'Policy B'!F30</f>
        <v>0</v>
      </c>
      <c r="G30" s="48">
        <f>'Policy A'!G30-'Policy B'!G30</f>
        <v>0</v>
      </c>
      <c r="H30" s="48">
        <f>'Policy A'!H30-'Policy B'!H30</f>
        <v>0</v>
      </c>
      <c r="I30" s="48">
        <f>'Policy A'!I30-'Policy B'!I30</f>
        <v>0</v>
      </c>
      <c r="J30" s="48">
        <f>'Policy A'!J30-'Policy B'!J30</f>
        <v>0</v>
      </c>
      <c r="K30" s="48">
        <f>'Policy A'!K30-'Policy B'!K30</f>
        <v>0</v>
      </c>
      <c r="L30" t="s">
        <v>46</v>
      </c>
    </row>
    <row r="32" spans="1:12" x14ac:dyDescent="0.25">
      <c r="A32" t="str">
        <f t="array" ref="A32:A39">R_CODE&amp;" "&amp;GLIN_NAME&amp;" emissions"</f>
        <v>EU Lin emissions</v>
      </c>
      <c r="B32" s="48">
        <f>'Policy A'!B32-'Policy B'!B32</f>
        <v>0</v>
      </c>
      <c r="C32" s="48">
        <f>'Policy A'!C32-'Policy B'!C32</f>
        <v>0</v>
      </c>
      <c r="D32" s="48">
        <f>'Policy A'!D32-'Policy B'!D32</f>
        <v>0</v>
      </c>
      <c r="E32" s="48">
        <f>'Policy A'!E32-'Policy B'!E32</f>
        <v>0</v>
      </c>
      <c r="F32" s="48">
        <f>'Policy A'!F32-'Policy B'!F32</f>
        <v>0</v>
      </c>
      <c r="G32" s="48">
        <f>'Policy A'!G32-'Policy B'!G32</f>
        <v>0</v>
      </c>
      <c r="H32" s="48">
        <f>'Policy A'!H32-'Policy B'!H32</f>
        <v>0</v>
      </c>
      <c r="I32" s="48">
        <f>'Policy A'!I32-'Policy B'!I32</f>
        <v>0</v>
      </c>
      <c r="J32" s="48">
        <f>'Policy A'!J32-'Policy B'!J32</f>
        <v>0</v>
      </c>
      <c r="K32" s="48">
        <f>'Policy A'!K32-'Policy B'!K32</f>
        <v>0</v>
      </c>
      <c r="L32" t="s">
        <v>46</v>
      </c>
    </row>
    <row r="33" spans="1:12" x14ac:dyDescent="0.25">
      <c r="A33" t="str">
        <v>US Lin emissions</v>
      </c>
      <c r="B33" s="48">
        <f>'Policy A'!B33-'Policy B'!B33</f>
        <v>0</v>
      </c>
      <c r="C33" s="48">
        <f>'Policy A'!C33-'Policy B'!C33</f>
        <v>0</v>
      </c>
      <c r="D33" s="48">
        <f>'Policy A'!D33-'Policy B'!D33</f>
        <v>0</v>
      </c>
      <c r="E33" s="48">
        <f>'Policy A'!E33-'Policy B'!E33</f>
        <v>0</v>
      </c>
      <c r="F33" s="48">
        <f>'Policy A'!F33-'Policy B'!F33</f>
        <v>0</v>
      </c>
      <c r="G33" s="48">
        <f>'Policy A'!G33-'Policy B'!G33</f>
        <v>0</v>
      </c>
      <c r="H33" s="48">
        <f>'Policy A'!H33-'Policy B'!H33</f>
        <v>0</v>
      </c>
      <c r="I33" s="48">
        <f>'Policy A'!I33-'Policy B'!I33</f>
        <v>0</v>
      </c>
      <c r="J33" s="48">
        <f>'Policy A'!J33-'Policy B'!J33</f>
        <v>0</v>
      </c>
      <c r="K33" s="48">
        <f>'Policy A'!K33-'Policy B'!K33</f>
        <v>0</v>
      </c>
      <c r="L33" t="s">
        <v>46</v>
      </c>
    </row>
    <row r="34" spans="1:12" x14ac:dyDescent="0.25">
      <c r="A34" t="str">
        <v>OT Lin emissions</v>
      </c>
      <c r="B34" s="48">
        <f>'Policy A'!B34-'Policy B'!B34</f>
        <v>0</v>
      </c>
      <c r="C34" s="48">
        <f>'Policy A'!C34-'Policy B'!C34</f>
        <v>0</v>
      </c>
      <c r="D34" s="48">
        <f>'Policy A'!D34-'Policy B'!D34</f>
        <v>0</v>
      </c>
      <c r="E34" s="48">
        <f>'Policy A'!E34-'Policy B'!E34</f>
        <v>0</v>
      </c>
      <c r="F34" s="48">
        <f>'Policy A'!F34-'Policy B'!F34</f>
        <v>0</v>
      </c>
      <c r="G34" s="48">
        <f>'Policy A'!G34-'Policy B'!G34</f>
        <v>0</v>
      </c>
      <c r="H34" s="48">
        <f>'Policy A'!H34-'Policy B'!H34</f>
        <v>0</v>
      </c>
      <c r="I34" s="48">
        <f>'Policy A'!I34-'Policy B'!I34</f>
        <v>0</v>
      </c>
      <c r="J34" s="48">
        <f>'Policy A'!J34-'Policy B'!J34</f>
        <v>0</v>
      </c>
      <c r="K34" s="48">
        <f>'Policy A'!K34-'Policy B'!K34</f>
        <v>0</v>
      </c>
      <c r="L34" t="s">
        <v>46</v>
      </c>
    </row>
    <row r="35" spans="1:12" x14ac:dyDescent="0.25">
      <c r="A35" t="str">
        <v>EE Lin emissions</v>
      </c>
      <c r="B35" s="48">
        <f>'Policy A'!B35-'Policy B'!B35</f>
        <v>0</v>
      </c>
      <c r="C35" s="48">
        <f>'Policy A'!C35-'Policy B'!C35</f>
        <v>0</v>
      </c>
      <c r="D35" s="48">
        <f>'Policy A'!D35-'Policy B'!D35</f>
        <v>0</v>
      </c>
      <c r="E35" s="48">
        <f>'Policy A'!E35-'Policy B'!E35</f>
        <v>0</v>
      </c>
      <c r="F35" s="48">
        <f>'Policy A'!F35-'Policy B'!F35</f>
        <v>0</v>
      </c>
      <c r="G35" s="48">
        <f>'Policy A'!G35-'Policy B'!G35</f>
        <v>0</v>
      </c>
      <c r="H35" s="48">
        <f>'Policy A'!H35-'Policy B'!H35</f>
        <v>0</v>
      </c>
      <c r="I35" s="48">
        <f>'Policy A'!I35-'Policy B'!I35</f>
        <v>0</v>
      </c>
      <c r="J35" s="48">
        <f>'Policy A'!J35-'Policy B'!J35</f>
        <v>0</v>
      </c>
      <c r="K35" s="48">
        <f>'Policy A'!K35-'Policy B'!K35</f>
        <v>0</v>
      </c>
      <c r="L35" t="s">
        <v>46</v>
      </c>
    </row>
    <row r="36" spans="1:12" x14ac:dyDescent="0.25">
      <c r="A36" t="str">
        <v>CA Lin emissions</v>
      </c>
      <c r="B36" s="48">
        <f>'Policy A'!B36-'Policy B'!B36</f>
        <v>0</v>
      </c>
      <c r="C36" s="48">
        <f>'Policy A'!C36-'Policy B'!C36</f>
        <v>0</v>
      </c>
      <c r="D36" s="48">
        <f>'Policy A'!D36-'Policy B'!D36</f>
        <v>0</v>
      </c>
      <c r="E36" s="48">
        <f>'Policy A'!E36-'Policy B'!E36</f>
        <v>0</v>
      </c>
      <c r="F36" s="48">
        <f>'Policy A'!F36-'Policy B'!F36</f>
        <v>0</v>
      </c>
      <c r="G36" s="48">
        <f>'Policy A'!G36-'Policy B'!G36</f>
        <v>0</v>
      </c>
      <c r="H36" s="48">
        <f>'Policy A'!H36-'Policy B'!H36</f>
        <v>0</v>
      </c>
      <c r="I36" s="48">
        <f>'Policy A'!I36-'Policy B'!I36</f>
        <v>0</v>
      </c>
      <c r="J36" s="48">
        <f>'Policy A'!J36-'Policy B'!J36</f>
        <v>0</v>
      </c>
      <c r="K36" s="48">
        <f>'Policy A'!K36-'Policy B'!K36</f>
        <v>0</v>
      </c>
      <c r="L36" t="s">
        <v>46</v>
      </c>
    </row>
    <row r="37" spans="1:12" x14ac:dyDescent="0.25">
      <c r="A37" t="str">
        <v>IA Lin emissions</v>
      </c>
      <c r="B37" s="48">
        <f>'Policy A'!B37-'Policy B'!B37</f>
        <v>0</v>
      </c>
      <c r="C37" s="48">
        <f>'Policy A'!C37-'Policy B'!C37</f>
        <v>0</v>
      </c>
      <c r="D37" s="48">
        <f>'Policy A'!D37-'Policy B'!D37</f>
        <v>0</v>
      </c>
      <c r="E37" s="48">
        <f>'Policy A'!E37-'Policy B'!E37</f>
        <v>0</v>
      </c>
      <c r="F37" s="48">
        <f>'Policy A'!F37-'Policy B'!F37</f>
        <v>0</v>
      </c>
      <c r="G37" s="48">
        <f>'Policy A'!G37-'Policy B'!G37</f>
        <v>0</v>
      </c>
      <c r="H37" s="48">
        <f>'Policy A'!H37-'Policy B'!H37</f>
        <v>0</v>
      </c>
      <c r="I37" s="48">
        <f>'Policy A'!I37-'Policy B'!I37</f>
        <v>0</v>
      </c>
      <c r="J37" s="48">
        <f>'Policy A'!J37-'Policy B'!J37</f>
        <v>0</v>
      </c>
      <c r="K37" s="48">
        <f>'Policy A'!K37-'Policy B'!K37</f>
        <v>0</v>
      </c>
      <c r="L37" t="s">
        <v>46</v>
      </c>
    </row>
    <row r="38" spans="1:12" x14ac:dyDescent="0.25">
      <c r="A38" t="str">
        <v>AF Lin emissions</v>
      </c>
      <c r="B38" s="48">
        <f>'Policy A'!B38-'Policy B'!B38</f>
        <v>0</v>
      </c>
      <c r="C38" s="48">
        <f>'Policy A'!C38-'Policy B'!C38</f>
        <v>0</v>
      </c>
      <c r="D38" s="48">
        <f>'Policy A'!D38-'Policy B'!D38</f>
        <v>0</v>
      </c>
      <c r="E38" s="48">
        <f>'Policy A'!E38-'Policy B'!E38</f>
        <v>0</v>
      </c>
      <c r="F38" s="48">
        <f>'Policy A'!F38-'Policy B'!F38</f>
        <v>0</v>
      </c>
      <c r="G38" s="48">
        <f>'Policy A'!G38-'Policy B'!G38</f>
        <v>0</v>
      </c>
      <c r="H38" s="48">
        <f>'Policy A'!H38-'Policy B'!H38</f>
        <v>0</v>
      </c>
      <c r="I38" s="48">
        <f>'Policy A'!I38-'Policy B'!I38</f>
        <v>0</v>
      </c>
      <c r="J38" s="48">
        <f>'Policy A'!J38-'Policy B'!J38</f>
        <v>0</v>
      </c>
      <c r="K38" s="48">
        <f>'Policy A'!K38-'Policy B'!K38</f>
        <v>0</v>
      </c>
      <c r="L38" t="s">
        <v>46</v>
      </c>
    </row>
    <row r="39" spans="1:12" x14ac:dyDescent="0.25">
      <c r="A39" t="str">
        <v>LA Lin emissions</v>
      </c>
      <c r="B39" s="48">
        <f>'Policy A'!B39-'Policy B'!B39</f>
        <v>0</v>
      </c>
      <c r="C39" s="48">
        <f>'Policy A'!C39-'Policy B'!C39</f>
        <v>0</v>
      </c>
      <c r="D39" s="48">
        <f>'Policy A'!D39-'Policy B'!D39</f>
        <v>0</v>
      </c>
      <c r="E39" s="48">
        <f>'Policy A'!E39-'Policy B'!E39</f>
        <v>0</v>
      </c>
      <c r="F39" s="48">
        <f>'Policy A'!F39-'Policy B'!F39</f>
        <v>0</v>
      </c>
      <c r="G39" s="48">
        <f>'Policy A'!G39-'Policy B'!G39</f>
        <v>0</v>
      </c>
      <c r="H39" s="48">
        <f>'Policy A'!H39-'Policy B'!H39</f>
        <v>0</v>
      </c>
      <c r="I39" s="48">
        <f>'Policy A'!I39-'Policy B'!I39</f>
        <v>0</v>
      </c>
      <c r="J39" s="48">
        <f>'Policy A'!J39-'Policy B'!J39</f>
        <v>0</v>
      </c>
      <c r="K39" s="48">
        <f>'Policy A'!K39-'Policy B'!K39</f>
        <v>0</v>
      </c>
      <c r="L39" t="s">
        <v>46</v>
      </c>
    </row>
    <row r="41" spans="1:12" x14ac:dyDescent="0.25">
      <c r="A41" t="str">
        <f t="array" ref="A41:A48">R_CODE&amp;" sulphates"</f>
        <v>EU sulphates</v>
      </c>
      <c r="B41" s="48">
        <f>'Policy A'!B41-'Policy B'!B41</f>
        <v>0</v>
      </c>
      <c r="C41" s="48">
        <f>'Policy A'!C41-'Policy B'!C41</f>
        <v>0</v>
      </c>
      <c r="D41" s="48">
        <f>'Policy A'!D41-'Policy B'!D41</f>
        <v>0</v>
      </c>
      <c r="E41" s="48">
        <f>'Policy A'!E41-'Policy B'!E41</f>
        <v>0</v>
      </c>
      <c r="F41" s="48">
        <f>'Policy A'!F41-'Policy B'!F41</f>
        <v>0</v>
      </c>
      <c r="G41" s="48">
        <f>'Policy A'!G41-'Policy B'!G41</f>
        <v>0</v>
      </c>
      <c r="H41" s="48">
        <f>'Policy A'!H41-'Policy B'!H41</f>
        <v>0</v>
      </c>
      <c r="I41" s="48">
        <f>'Policy A'!I41-'Policy B'!I41</f>
        <v>0</v>
      </c>
      <c r="J41" s="48">
        <f>'Policy A'!J41-'Policy B'!J41</f>
        <v>0</v>
      </c>
      <c r="K41" s="48">
        <f>'Policy A'!K41-'Policy B'!K41</f>
        <v>0</v>
      </c>
      <c r="L41" t="s">
        <v>46</v>
      </c>
    </row>
    <row r="42" spans="1:12" x14ac:dyDescent="0.25">
      <c r="A42" t="str">
        <v>US sulphates</v>
      </c>
      <c r="B42" s="48">
        <f>'Policy A'!B42-'Policy B'!B42</f>
        <v>0</v>
      </c>
      <c r="C42" s="48">
        <f>'Policy A'!C42-'Policy B'!C42</f>
        <v>0</v>
      </c>
      <c r="D42" s="48">
        <f>'Policy A'!D42-'Policy B'!D42</f>
        <v>0</v>
      </c>
      <c r="E42" s="48">
        <f>'Policy A'!E42-'Policy B'!E42</f>
        <v>0</v>
      </c>
      <c r="F42" s="48">
        <f>'Policy A'!F42-'Policy B'!F42</f>
        <v>0</v>
      </c>
      <c r="G42" s="48">
        <f>'Policy A'!G42-'Policy B'!G42</f>
        <v>0</v>
      </c>
      <c r="H42" s="48">
        <f>'Policy A'!H42-'Policy B'!H42</f>
        <v>0</v>
      </c>
      <c r="I42" s="48">
        <f>'Policy A'!I42-'Policy B'!I42</f>
        <v>0</v>
      </c>
      <c r="J42" s="48">
        <f>'Policy A'!J42-'Policy B'!J42</f>
        <v>0</v>
      </c>
      <c r="K42" s="48">
        <f>'Policy A'!K42-'Policy B'!K42</f>
        <v>0</v>
      </c>
      <c r="L42" t="s">
        <v>46</v>
      </c>
    </row>
    <row r="43" spans="1:12" x14ac:dyDescent="0.25">
      <c r="A43" t="str">
        <v>OT sulphates</v>
      </c>
      <c r="B43" s="48">
        <f>'Policy A'!B43-'Policy B'!B43</f>
        <v>0</v>
      </c>
      <c r="C43" s="48">
        <f>'Policy A'!C43-'Policy B'!C43</f>
        <v>0</v>
      </c>
      <c r="D43" s="48">
        <f>'Policy A'!D43-'Policy B'!D43</f>
        <v>0</v>
      </c>
      <c r="E43" s="48">
        <f>'Policy A'!E43-'Policy B'!E43</f>
        <v>0</v>
      </c>
      <c r="F43" s="48">
        <f>'Policy A'!F43-'Policy B'!F43</f>
        <v>0</v>
      </c>
      <c r="G43" s="48">
        <f>'Policy A'!G43-'Policy B'!G43</f>
        <v>0</v>
      </c>
      <c r="H43" s="48">
        <f>'Policy A'!H43-'Policy B'!H43</f>
        <v>0</v>
      </c>
      <c r="I43" s="48">
        <f>'Policy A'!I43-'Policy B'!I43</f>
        <v>0</v>
      </c>
      <c r="J43" s="48">
        <f>'Policy A'!J43-'Policy B'!J43</f>
        <v>0</v>
      </c>
      <c r="K43" s="48">
        <f>'Policy A'!K43-'Policy B'!K43</f>
        <v>0</v>
      </c>
      <c r="L43" t="s">
        <v>46</v>
      </c>
    </row>
    <row r="44" spans="1:12" x14ac:dyDescent="0.25">
      <c r="A44" t="str">
        <v>EE sulphates</v>
      </c>
      <c r="B44" s="48">
        <f>'Policy A'!B44-'Policy B'!B44</f>
        <v>0</v>
      </c>
      <c r="C44" s="48">
        <f>'Policy A'!C44-'Policy B'!C44</f>
        <v>0</v>
      </c>
      <c r="D44" s="48">
        <f>'Policy A'!D44-'Policy B'!D44</f>
        <v>0</v>
      </c>
      <c r="E44" s="48">
        <f>'Policy A'!E44-'Policy B'!E44</f>
        <v>0</v>
      </c>
      <c r="F44" s="48">
        <f>'Policy A'!F44-'Policy B'!F44</f>
        <v>0</v>
      </c>
      <c r="G44" s="48">
        <f>'Policy A'!G44-'Policy B'!G44</f>
        <v>0</v>
      </c>
      <c r="H44" s="48">
        <f>'Policy A'!H44-'Policy B'!H44</f>
        <v>0</v>
      </c>
      <c r="I44" s="48">
        <f>'Policy A'!I44-'Policy B'!I44</f>
        <v>0</v>
      </c>
      <c r="J44" s="48">
        <f>'Policy A'!J44-'Policy B'!J44</f>
        <v>0</v>
      </c>
      <c r="K44" s="48">
        <f>'Policy A'!K44-'Policy B'!K44</f>
        <v>0</v>
      </c>
      <c r="L44" t="s">
        <v>46</v>
      </c>
    </row>
    <row r="45" spans="1:12" x14ac:dyDescent="0.25">
      <c r="A45" t="str">
        <v>CA sulphates</v>
      </c>
      <c r="B45" s="48">
        <f>'Policy A'!B45-'Policy B'!B45</f>
        <v>0</v>
      </c>
      <c r="C45" s="48">
        <f>'Policy A'!C45-'Policy B'!C45</f>
        <v>0</v>
      </c>
      <c r="D45" s="48">
        <f>'Policy A'!D45-'Policy B'!D45</f>
        <v>0</v>
      </c>
      <c r="E45" s="48">
        <f>'Policy A'!E45-'Policy B'!E45</f>
        <v>0</v>
      </c>
      <c r="F45" s="48">
        <f>'Policy A'!F45-'Policy B'!F45</f>
        <v>0</v>
      </c>
      <c r="G45" s="48">
        <f>'Policy A'!G45-'Policy B'!G45</f>
        <v>0</v>
      </c>
      <c r="H45" s="48">
        <f>'Policy A'!H45-'Policy B'!H45</f>
        <v>0</v>
      </c>
      <c r="I45" s="48">
        <f>'Policy A'!I45-'Policy B'!I45</f>
        <v>0</v>
      </c>
      <c r="J45" s="48">
        <f>'Policy A'!J45-'Policy B'!J45</f>
        <v>0</v>
      </c>
      <c r="K45" s="48">
        <f>'Policy A'!K45-'Policy B'!K45</f>
        <v>0</v>
      </c>
      <c r="L45" t="s">
        <v>46</v>
      </c>
    </row>
    <row r="46" spans="1:12" x14ac:dyDescent="0.25">
      <c r="A46" t="str">
        <v>IA sulphates</v>
      </c>
      <c r="B46" s="48">
        <f>'Policy A'!B46-'Policy B'!B46</f>
        <v>0</v>
      </c>
      <c r="C46" s="48">
        <f>'Policy A'!C46-'Policy B'!C46</f>
        <v>0</v>
      </c>
      <c r="D46" s="48">
        <f>'Policy A'!D46-'Policy B'!D46</f>
        <v>0</v>
      </c>
      <c r="E46" s="48">
        <f>'Policy A'!E46-'Policy B'!E46</f>
        <v>0</v>
      </c>
      <c r="F46" s="48">
        <f>'Policy A'!F46-'Policy B'!F46</f>
        <v>0</v>
      </c>
      <c r="G46" s="48">
        <f>'Policy A'!G46-'Policy B'!G46</f>
        <v>0</v>
      </c>
      <c r="H46" s="48">
        <f>'Policy A'!H46-'Policy B'!H46</f>
        <v>0</v>
      </c>
      <c r="I46" s="48">
        <f>'Policy A'!I46-'Policy B'!I46</f>
        <v>0</v>
      </c>
      <c r="J46" s="48">
        <f>'Policy A'!J46-'Policy B'!J46</f>
        <v>0</v>
      </c>
      <c r="K46" s="48">
        <f>'Policy A'!K46-'Policy B'!K46</f>
        <v>0</v>
      </c>
      <c r="L46" t="s">
        <v>46</v>
      </c>
    </row>
    <row r="47" spans="1:12" x14ac:dyDescent="0.25">
      <c r="A47" t="str">
        <v>AF sulphates</v>
      </c>
      <c r="B47" s="48">
        <f>'Policy A'!B47-'Policy B'!B47</f>
        <v>0</v>
      </c>
      <c r="C47" s="48">
        <f>'Policy A'!C47-'Policy B'!C47</f>
        <v>0</v>
      </c>
      <c r="D47" s="48">
        <f>'Policy A'!D47-'Policy B'!D47</f>
        <v>0</v>
      </c>
      <c r="E47" s="48">
        <f>'Policy A'!E47-'Policy B'!E47</f>
        <v>0</v>
      </c>
      <c r="F47" s="48">
        <f>'Policy A'!F47-'Policy B'!F47</f>
        <v>0</v>
      </c>
      <c r="G47" s="48">
        <f>'Policy A'!G47-'Policy B'!G47</f>
        <v>0</v>
      </c>
      <c r="H47" s="48">
        <f>'Policy A'!H47-'Policy B'!H47</f>
        <v>0</v>
      </c>
      <c r="I47" s="48">
        <f>'Policy A'!I47-'Policy B'!I47</f>
        <v>0</v>
      </c>
      <c r="J47" s="48">
        <f>'Policy A'!J47-'Policy B'!J47</f>
        <v>0</v>
      </c>
      <c r="K47" s="48">
        <f>'Policy A'!K47-'Policy B'!K47</f>
        <v>0</v>
      </c>
      <c r="L47" t="s">
        <v>46</v>
      </c>
    </row>
    <row r="48" spans="1:12" x14ac:dyDescent="0.25">
      <c r="A48" t="str">
        <v>LA sulphates</v>
      </c>
      <c r="B48" s="48">
        <f>'Policy A'!B48-'Policy B'!B48</f>
        <v>0</v>
      </c>
      <c r="C48" s="48">
        <f>'Policy A'!C48-'Policy B'!C48</f>
        <v>0</v>
      </c>
      <c r="D48" s="48">
        <f>'Policy A'!D48-'Policy B'!D48</f>
        <v>0</v>
      </c>
      <c r="E48" s="48">
        <f>'Policy A'!E48-'Policy B'!E48</f>
        <v>0</v>
      </c>
      <c r="F48" s="48">
        <f>'Policy A'!F48-'Policy B'!F48</f>
        <v>0</v>
      </c>
      <c r="G48" s="48">
        <f>'Policy A'!G48-'Policy B'!G48</f>
        <v>0</v>
      </c>
      <c r="H48" s="48">
        <f>'Policy A'!H48-'Policy B'!H48</f>
        <v>0</v>
      </c>
      <c r="I48" s="48">
        <f>'Policy A'!I48-'Policy B'!I48</f>
        <v>0</v>
      </c>
      <c r="J48" s="48">
        <f>'Policy A'!J48-'Policy B'!J48</f>
        <v>0</v>
      </c>
      <c r="K48" s="48">
        <f>'Policy A'!K48-'Policy B'!K48</f>
        <v>0</v>
      </c>
      <c r="L48" t="s">
        <v>46</v>
      </c>
    </row>
    <row r="49" spans="1:12" x14ac:dyDescent="0.25">
      <c r="B49" s="87"/>
      <c r="C49" s="87"/>
      <c r="D49" s="87"/>
      <c r="E49" s="87"/>
      <c r="F49" s="87"/>
      <c r="G49" s="87"/>
      <c r="H49" s="87"/>
      <c r="I49" s="87"/>
      <c r="J49" s="87"/>
      <c r="K49" s="87"/>
    </row>
    <row r="50" spans="1:12" s="12" customFormat="1" x14ac:dyDescent="0.25">
      <c r="A50" t="s">
        <v>42</v>
      </c>
      <c r="B50" s="35">
        <f>'Policy A'!B50-'Policy B'!B50</f>
        <v>0</v>
      </c>
      <c r="C50" s="35">
        <f>'Policy A'!C50-'Policy B'!C50</f>
        <v>-3.5446010873996237E-4</v>
      </c>
      <c r="D50" s="35">
        <f>'Policy A'!D50-'Policy B'!D50</f>
        <v>-3.5780834557175289E-4</v>
      </c>
      <c r="E50" s="35">
        <f>'Policy A'!E50-'Policy B'!E50</f>
        <v>-3.2371175880774317E-4</v>
      </c>
      <c r="F50" s="35">
        <f>'Policy A'!F50-'Policy B'!F50</f>
        <v>-2.932478194797028E-4</v>
      </c>
      <c r="G50" s="35">
        <f>'Policy A'!G50-'Policy B'!G50</f>
        <v>-2.5399488247335178E-4</v>
      </c>
      <c r="H50" s="35">
        <f>'Policy A'!H50-'Policy B'!H50</f>
        <v>-2.1054633206785134E-4</v>
      </c>
      <c r="I50" s="35">
        <f>'Policy A'!I50-'Policy B'!I50</f>
        <v>-1.2740258872878663E-4</v>
      </c>
      <c r="J50" s="35">
        <f>'Policy A'!J50-'Policy B'!J50</f>
        <v>-5.2788977008777493E-5</v>
      </c>
      <c r="K50" s="35">
        <f>'Policy A'!K50-'Policy B'!K50</f>
        <v>-3.2760916403473672E-5</v>
      </c>
      <c r="L50" s="12" t="s">
        <v>51</v>
      </c>
    </row>
    <row r="51" spans="1:12" x14ac:dyDescent="0.25">
      <c r="B51" s="87"/>
      <c r="C51" s="87"/>
      <c r="D51" s="87"/>
      <c r="E51" s="87"/>
      <c r="F51" s="87"/>
      <c r="G51" s="87"/>
      <c r="H51" s="87"/>
      <c r="I51" s="87"/>
      <c r="J51" s="87"/>
      <c r="K51" s="87"/>
      <c r="L51" s="12"/>
    </row>
    <row r="52" spans="1:12" ht="13" x14ac:dyDescent="0.3">
      <c r="A52" s="2" t="s">
        <v>244</v>
      </c>
    </row>
    <row r="53" spans="1:12" ht="13" x14ac:dyDescent="0.3">
      <c r="A53" s="2"/>
      <c r="B53" s="3" t="s">
        <v>249</v>
      </c>
      <c r="C53" s="3" t="s">
        <v>245</v>
      </c>
      <c r="D53" s="3" t="s">
        <v>246</v>
      </c>
      <c r="F53" s="3" t="s">
        <v>478</v>
      </c>
      <c r="G53" s="3" t="s">
        <v>247</v>
      </c>
      <c r="H53" s="3" t="s">
        <v>248</v>
      </c>
      <c r="I53" s="3" t="s">
        <v>479</v>
      </c>
    </row>
    <row r="54" spans="1:12" s="2" customFormat="1" ht="13" x14ac:dyDescent="0.3">
      <c r="A54" t="str">
        <f t="array" ref="A54:A61">R_CODE&amp;" sea level"</f>
        <v>EU sea level</v>
      </c>
      <c r="B54" s="48">
        <f>'Policy A'!B54-'Policy B'!B54</f>
        <v>0</v>
      </c>
      <c r="C54" s="48">
        <f>'Policy A'!C54-'Policy B'!C54</f>
        <v>0</v>
      </c>
      <c r="D54" s="48">
        <f>'Policy A'!D54-'Policy B'!D54</f>
        <v>0</v>
      </c>
      <c r="E54"/>
      <c r="F54" s="48">
        <f>'Policy A'!F54-'Policy B'!F54</f>
        <v>0</v>
      </c>
      <c r="G54" s="48">
        <f>'Policy A'!G54-'Policy B'!G54</f>
        <v>0</v>
      </c>
      <c r="H54" s="48">
        <f>'Policy A'!H54-'Policy B'!H54</f>
        <v>0</v>
      </c>
      <c r="I54" s="48">
        <f>'Policy A'!I54-'Policy B'!I54</f>
        <v>0</v>
      </c>
      <c r="J54"/>
      <c r="K54"/>
      <c r="L54"/>
    </row>
    <row r="55" spans="1:12" x14ac:dyDescent="0.25">
      <c r="A55" t="str">
        <v>US sea level</v>
      </c>
      <c r="B55" s="48">
        <f>'Policy A'!B55-'Policy B'!B55</f>
        <v>0</v>
      </c>
      <c r="C55" s="48">
        <f>'Policy A'!C55-'Policy B'!C55</f>
        <v>0</v>
      </c>
      <c r="D55" s="48">
        <f>'Policy A'!D55-'Policy B'!D55</f>
        <v>0</v>
      </c>
      <c r="F55" s="48">
        <f>'Policy A'!F55-'Policy B'!F55</f>
        <v>0</v>
      </c>
      <c r="G55" s="48">
        <f>'Policy A'!G55-'Policy B'!G55</f>
        <v>0</v>
      </c>
      <c r="H55" s="48">
        <f>'Policy A'!H55-'Policy B'!H55</f>
        <v>0</v>
      </c>
      <c r="I55" s="48">
        <f>'Policy A'!I55-'Policy B'!I55</f>
        <v>0</v>
      </c>
    </row>
    <row r="56" spans="1:12" x14ac:dyDescent="0.25">
      <c r="A56" t="str">
        <v>OT sea level</v>
      </c>
      <c r="B56" s="48">
        <f>'Policy A'!B56-'Policy B'!B56</f>
        <v>0</v>
      </c>
      <c r="C56" s="48">
        <f>'Policy A'!C56-'Policy B'!C56</f>
        <v>0</v>
      </c>
      <c r="D56" s="48">
        <f>'Policy A'!D56-'Policy B'!D56</f>
        <v>0</v>
      </c>
      <c r="F56" s="48">
        <f>'Policy A'!F56-'Policy B'!F56</f>
        <v>0</v>
      </c>
      <c r="G56" s="48">
        <f>'Policy A'!G56-'Policy B'!G56</f>
        <v>0</v>
      </c>
      <c r="H56" s="48">
        <f>'Policy A'!H56-'Policy B'!H56</f>
        <v>0</v>
      </c>
      <c r="I56" s="48">
        <f>'Policy A'!I56-'Policy B'!I56</f>
        <v>0</v>
      </c>
    </row>
    <row r="57" spans="1:12" x14ac:dyDescent="0.25">
      <c r="A57" t="str">
        <v>EE sea level</v>
      </c>
      <c r="B57" s="48">
        <f>'Policy A'!B57-'Policy B'!B57</f>
        <v>0</v>
      </c>
      <c r="C57" s="48">
        <f>'Policy A'!C57-'Policy B'!C57</f>
        <v>0</v>
      </c>
      <c r="D57" s="48">
        <f>'Policy A'!D57-'Policy B'!D57</f>
        <v>0</v>
      </c>
      <c r="F57" s="48">
        <f>'Policy A'!F57-'Policy B'!F57</f>
        <v>0</v>
      </c>
      <c r="G57" s="48">
        <f>'Policy A'!G57-'Policy B'!G57</f>
        <v>0</v>
      </c>
      <c r="H57" s="48">
        <f>'Policy A'!H57-'Policy B'!H57</f>
        <v>0</v>
      </c>
      <c r="I57" s="48">
        <f>'Policy A'!I57-'Policy B'!I57</f>
        <v>0</v>
      </c>
    </row>
    <row r="58" spans="1:12" x14ac:dyDescent="0.25">
      <c r="A58" t="str">
        <v>CA sea level</v>
      </c>
      <c r="B58" s="48">
        <f>'Policy A'!B58-'Policy B'!B58</f>
        <v>0</v>
      </c>
      <c r="C58" s="48">
        <f>'Policy A'!C58-'Policy B'!C58</f>
        <v>0</v>
      </c>
      <c r="D58" s="48">
        <f>'Policy A'!D58-'Policy B'!D58</f>
        <v>0</v>
      </c>
      <c r="F58" s="48">
        <f>'Policy A'!F58-'Policy B'!F58</f>
        <v>0</v>
      </c>
      <c r="G58" s="48">
        <f>'Policy A'!G58-'Policy B'!G58</f>
        <v>0</v>
      </c>
      <c r="H58" s="48">
        <f>'Policy A'!H58-'Policy B'!H58</f>
        <v>0</v>
      </c>
      <c r="I58" s="48">
        <f>'Policy A'!I58-'Policy B'!I58</f>
        <v>0</v>
      </c>
    </row>
    <row r="59" spans="1:12" x14ac:dyDescent="0.25">
      <c r="A59" t="str">
        <v>IA sea level</v>
      </c>
      <c r="B59" s="48">
        <f>'Policy A'!B59-'Policy B'!B59</f>
        <v>0</v>
      </c>
      <c r="C59" s="48">
        <f>'Policy A'!C59-'Policy B'!C59</f>
        <v>0</v>
      </c>
      <c r="D59" s="48">
        <f>'Policy A'!D59-'Policy B'!D59</f>
        <v>0</v>
      </c>
      <c r="F59" s="48">
        <f>'Policy A'!F59-'Policy B'!F59</f>
        <v>0</v>
      </c>
      <c r="G59" s="48">
        <f>'Policy A'!G59-'Policy B'!G59</f>
        <v>0</v>
      </c>
      <c r="H59" s="48">
        <f>'Policy A'!H59-'Policy B'!H59</f>
        <v>0</v>
      </c>
      <c r="I59" s="48">
        <f>'Policy A'!I59-'Policy B'!I59</f>
        <v>0</v>
      </c>
    </row>
    <row r="60" spans="1:12" x14ac:dyDescent="0.25">
      <c r="A60" t="str">
        <v>AF sea level</v>
      </c>
      <c r="B60" s="48">
        <f>'Policy A'!B60-'Policy B'!B60</f>
        <v>0</v>
      </c>
      <c r="C60" s="48">
        <f>'Policy A'!C60-'Policy B'!C60</f>
        <v>0</v>
      </c>
      <c r="D60" s="48">
        <f>'Policy A'!D60-'Policy B'!D60</f>
        <v>0</v>
      </c>
      <c r="F60" s="48">
        <f>'Policy A'!F60-'Policy B'!F60</f>
        <v>0</v>
      </c>
      <c r="G60" s="48">
        <f>'Policy A'!G60-'Policy B'!G60</f>
        <v>0</v>
      </c>
      <c r="H60" s="48">
        <f>'Policy A'!H60-'Policy B'!H60</f>
        <v>0</v>
      </c>
      <c r="I60" s="48">
        <f>'Policy A'!I60-'Policy B'!I60</f>
        <v>0</v>
      </c>
    </row>
    <row r="61" spans="1:12" x14ac:dyDescent="0.25">
      <c r="A61" t="str">
        <v>LA sea level</v>
      </c>
      <c r="B61" s="48">
        <f>'Policy A'!B61-'Policy B'!B61</f>
        <v>0</v>
      </c>
      <c r="C61" s="48">
        <f>'Policy A'!C61-'Policy B'!C61</f>
        <v>0</v>
      </c>
      <c r="D61" s="48">
        <f>'Policy A'!D61-'Policy B'!D61</f>
        <v>0</v>
      </c>
      <c r="F61" s="48">
        <f>'Policy A'!F61-'Policy B'!F61</f>
        <v>0</v>
      </c>
      <c r="G61" s="48">
        <f>'Policy A'!G61-'Policy B'!G61</f>
        <v>0</v>
      </c>
      <c r="H61" s="48">
        <f>'Policy A'!H61-'Policy B'!H61</f>
        <v>0</v>
      </c>
      <c r="I61" s="48">
        <f>'Policy A'!I61-'Policy B'!I61</f>
        <v>0</v>
      </c>
    </row>
    <row r="63" spans="1:12" ht="13" x14ac:dyDescent="0.3">
      <c r="A63" s="2"/>
      <c r="B63" s="3" t="s">
        <v>249</v>
      </c>
      <c r="C63" s="3" t="s">
        <v>245</v>
      </c>
      <c r="D63" s="3" t="s">
        <v>246</v>
      </c>
      <c r="F63" s="3" t="s">
        <v>478</v>
      </c>
      <c r="G63" s="3" t="s">
        <v>247</v>
      </c>
      <c r="H63" s="3" t="s">
        <v>248</v>
      </c>
      <c r="I63" s="3" t="s">
        <v>479</v>
      </c>
    </row>
    <row r="64" spans="1:12" x14ac:dyDescent="0.25">
      <c r="A64" t="str">
        <f t="array" ref="A64:A71">R_CODE&amp;" "&amp;I_1_NAME</f>
        <v>EU Economic</v>
      </c>
      <c r="B64" s="48">
        <f>'Policy A'!B64-'Policy B'!B64</f>
        <v>0</v>
      </c>
      <c r="C64" s="48">
        <f>'Policy A'!C64-'Policy B'!C64</f>
        <v>0</v>
      </c>
      <c r="D64" s="48">
        <f>'Policy A'!D64-'Policy B'!D64</f>
        <v>0</v>
      </c>
      <c r="F64" s="48">
        <f>'Policy A'!F64-'Policy B'!F64</f>
        <v>0</v>
      </c>
      <c r="G64" s="48">
        <f>'Policy A'!G64-'Policy B'!G64</f>
        <v>0</v>
      </c>
      <c r="H64" s="48">
        <f>'Policy A'!H64-'Policy B'!H64</f>
        <v>0</v>
      </c>
      <c r="I64" s="48">
        <f>'Policy A'!I64-'Policy B'!I64</f>
        <v>0</v>
      </c>
    </row>
    <row r="65" spans="1:9" x14ac:dyDescent="0.25">
      <c r="A65" t="str">
        <v>US Economic</v>
      </c>
      <c r="B65" s="48">
        <f>'Policy A'!B65-'Policy B'!B65</f>
        <v>0</v>
      </c>
      <c r="C65" s="48">
        <f>'Policy A'!C65-'Policy B'!C65</f>
        <v>0</v>
      </c>
      <c r="D65" s="48">
        <f>'Policy A'!D65-'Policy B'!D65</f>
        <v>0</v>
      </c>
      <c r="F65" s="48">
        <f>'Policy A'!F65-'Policy B'!F65</f>
        <v>0</v>
      </c>
      <c r="G65" s="48">
        <f>'Policy A'!G65-'Policy B'!G65</f>
        <v>0</v>
      </c>
      <c r="H65" s="48">
        <f>'Policy A'!H65-'Policy B'!H65</f>
        <v>0</v>
      </c>
      <c r="I65" s="48">
        <f>'Policy A'!I65-'Policy B'!I65</f>
        <v>0</v>
      </c>
    </row>
    <row r="66" spans="1:9" x14ac:dyDescent="0.25">
      <c r="A66" t="str">
        <v>OT Economic</v>
      </c>
      <c r="B66" s="48">
        <f>'Policy A'!B66-'Policy B'!B66</f>
        <v>0</v>
      </c>
      <c r="C66" s="48">
        <f>'Policy A'!C66-'Policy B'!C66</f>
        <v>0</v>
      </c>
      <c r="D66" s="48">
        <f>'Policy A'!D66-'Policy B'!D66</f>
        <v>0</v>
      </c>
      <c r="F66" s="48">
        <f>'Policy A'!F66-'Policy B'!F66</f>
        <v>0</v>
      </c>
      <c r="G66" s="48">
        <f>'Policy A'!G66-'Policy B'!G66</f>
        <v>0</v>
      </c>
      <c r="H66" s="48">
        <f>'Policy A'!H66-'Policy B'!H66</f>
        <v>0</v>
      </c>
      <c r="I66" s="48">
        <f>'Policy A'!I66-'Policy B'!I66</f>
        <v>0</v>
      </c>
    </row>
    <row r="67" spans="1:9" x14ac:dyDescent="0.25">
      <c r="A67" t="str">
        <v>EE Economic</v>
      </c>
      <c r="B67" s="48">
        <f>'Policy A'!B67-'Policy B'!B67</f>
        <v>0</v>
      </c>
      <c r="C67" s="48">
        <f>'Policy A'!C67-'Policy B'!C67</f>
        <v>0</v>
      </c>
      <c r="D67" s="48">
        <f>'Policy A'!D67-'Policy B'!D67</f>
        <v>0</v>
      </c>
      <c r="F67" s="48">
        <f>'Policy A'!F67-'Policy B'!F67</f>
        <v>0</v>
      </c>
      <c r="G67" s="48">
        <f>'Policy A'!G67-'Policy B'!G67</f>
        <v>0</v>
      </c>
      <c r="H67" s="48">
        <f>'Policy A'!H67-'Policy B'!H67</f>
        <v>0</v>
      </c>
      <c r="I67" s="48">
        <f>'Policy A'!I67-'Policy B'!I67</f>
        <v>0</v>
      </c>
    </row>
    <row r="68" spans="1:9" x14ac:dyDescent="0.25">
      <c r="A68" t="str">
        <v>CA Economic</v>
      </c>
      <c r="B68" s="48">
        <f>'Policy A'!B68-'Policy B'!B68</f>
        <v>0</v>
      </c>
      <c r="C68" s="48">
        <f>'Policy A'!C68-'Policy B'!C68</f>
        <v>0</v>
      </c>
      <c r="D68" s="48">
        <f>'Policy A'!D68-'Policy B'!D68</f>
        <v>0</v>
      </c>
      <c r="F68" s="48">
        <f>'Policy A'!F68-'Policy B'!F68</f>
        <v>0</v>
      </c>
      <c r="G68" s="48">
        <f>'Policy A'!G68-'Policy B'!G68</f>
        <v>0</v>
      </c>
      <c r="H68" s="48">
        <f>'Policy A'!H68-'Policy B'!H68</f>
        <v>0</v>
      </c>
      <c r="I68" s="48">
        <f>'Policy A'!I68-'Policy B'!I68</f>
        <v>0</v>
      </c>
    </row>
    <row r="69" spans="1:9" x14ac:dyDescent="0.25">
      <c r="A69" t="str">
        <v>IA Economic</v>
      </c>
      <c r="B69" s="48">
        <f>'Policy A'!B69-'Policy B'!B69</f>
        <v>0</v>
      </c>
      <c r="C69" s="48">
        <f>'Policy A'!C69-'Policy B'!C69</f>
        <v>0</v>
      </c>
      <c r="D69" s="48">
        <f>'Policy A'!D69-'Policy B'!D69</f>
        <v>0</v>
      </c>
      <c r="F69" s="48">
        <f>'Policy A'!F69-'Policy B'!F69</f>
        <v>0</v>
      </c>
      <c r="G69" s="48">
        <f>'Policy A'!G69-'Policy B'!G69</f>
        <v>0</v>
      </c>
      <c r="H69" s="48">
        <f>'Policy A'!H69-'Policy B'!H69</f>
        <v>0</v>
      </c>
      <c r="I69" s="48">
        <f>'Policy A'!I69-'Policy B'!I69</f>
        <v>0</v>
      </c>
    </row>
    <row r="70" spans="1:9" x14ac:dyDescent="0.25">
      <c r="A70" t="str">
        <v>AF Economic</v>
      </c>
      <c r="B70" s="48">
        <f>'Policy A'!B70-'Policy B'!B70</f>
        <v>0</v>
      </c>
      <c r="C70" s="48">
        <f>'Policy A'!C70-'Policy B'!C70</f>
        <v>0</v>
      </c>
      <c r="D70" s="48">
        <f>'Policy A'!D70-'Policy B'!D70</f>
        <v>0</v>
      </c>
      <c r="F70" s="48">
        <f>'Policy A'!F70-'Policy B'!F70</f>
        <v>0</v>
      </c>
      <c r="G70" s="48">
        <f>'Policy A'!G70-'Policy B'!G70</f>
        <v>0</v>
      </c>
      <c r="H70" s="48">
        <f>'Policy A'!H70-'Policy B'!H70</f>
        <v>0</v>
      </c>
      <c r="I70" s="48">
        <f>'Policy A'!I70-'Policy B'!I70</f>
        <v>0</v>
      </c>
    </row>
    <row r="71" spans="1:9" x14ac:dyDescent="0.25">
      <c r="A71" t="str">
        <v>LA Economic</v>
      </c>
      <c r="B71" s="48">
        <f>'Policy A'!B71-'Policy B'!B71</f>
        <v>0</v>
      </c>
      <c r="C71" s="48">
        <f>'Policy A'!C71-'Policy B'!C71</f>
        <v>0</v>
      </c>
      <c r="D71" s="48">
        <f>'Policy A'!D71-'Policy B'!D71</f>
        <v>0</v>
      </c>
      <c r="F71" s="48">
        <f>'Policy A'!F71-'Policy B'!F71</f>
        <v>0</v>
      </c>
      <c r="G71" s="48">
        <f>'Policy A'!G71-'Policy B'!G71</f>
        <v>0</v>
      </c>
      <c r="H71" s="48">
        <f>'Policy A'!H71-'Policy B'!H71</f>
        <v>0</v>
      </c>
      <c r="I71" s="48">
        <f>'Policy A'!I71-'Policy B'!I71</f>
        <v>0</v>
      </c>
    </row>
    <row r="73" spans="1:9" ht="13" x14ac:dyDescent="0.3">
      <c r="A73" s="2"/>
      <c r="B73" s="3" t="s">
        <v>249</v>
      </c>
      <c r="C73" s="3" t="s">
        <v>245</v>
      </c>
      <c r="D73" s="3" t="s">
        <v>246</v>
      </c>
      <c r="F73" s="3" t="s">
        <v>478</v>
      </c>
      <c r="G73" s="3" t="s">
        <v>247</v>
      </c>
      <c r="H73" s="3" t="s">
        <v>248</v>
      </c>
      <c r="I73" s="3" t="s">
        <v>479</v>
      </c>
    </row>
    <row r="74" spans="1:9" x14ac:dyDescent="0.25">
      <c r="A74" t="str">
        <f t="array" ref="A74:A81">R_CODE&amp;" "&amp;I_2_NAME</f>
        <v>EU Non-econ</v>
      </c>
      <c r="B74" s="48">
        <f>'Policy A'!B74-'Policy B'!B74</f>
        <v>0</v>
      </c>
      <c r="C74" s="48">
        <f>'Policy A'!C74-'Policy B'!C74</f>
        <v>0</v>
      </c>
      <c r="D74" s="48">
        <f>'Policy A'!D74-'Policy B'!D74</f>
        <v>0</v>
      </c>
      <c r="F74" s="48">
        <f>'Policy A'!F74-'Policy B'!F74</f>
        <v>0</v>
      </c>
      <c r="G74" s="48">
        <f>'Policy A'!G74-'Policy B'!G74</f>
        <v>0</v>
      </c>
      <c r="H74" s="48">
        <f>'Policy A'!H74-'Policy B'!H74</f>
        <v>0</v>
      </c>
      <c r="I74" s="48">
        <f>'Policy A'!I74-'Policy B'!I74</f>
        <v>0</v>
      </c>
    </row>
    <row r="75" spans="1:9" x14ac:dyDescent="0.25">
      <c r="A75" t="str">
        <v>US Non-econ</v>
      </c>
      <c r="B75" s="48">
        <f>'Policy A'!B75-'Policy B'!B75</f>
        <v>0</v>
      </c>
      <c r="C75" s="48">
        <f>'Policy A'!C75-'Policy B'!C75</f>
        <v>0</v>
      </c>
      <c r="D75" s="48">
        <f>'Policy A'!D75-'Policy B'!D75</f>
        <v>0</v>
      </c>
      <c r="F75" s="48">
        <f>'Policy A'!F75-'Policy B'!F75</f>
        <v>0</v>
      </c>
      <c r="G75" s="48">
        <f>'Policy A'!G75-'Policy B'!G75</f>
        <v>0</v>
      </c>
      <c r="H75" s="48">
        <f>'Policy A'!H75-'Policy B'!H75</f>
        <v>0</v>
      </c>
      <c r="I75" s="48">
        <f>'Policy A'!I75-'Policy B'!I75</f>
        <v>0</v>
      </c>
    </row>
    <row r="76" spans="1:9" x14ac:dyDescent="0.25">
      <c r="A76" t="str">
        <v>OT Non-econ</v>
      </c>
      <c r="B76" s="48">
        <f>'Policy A'!B76-'Policy B'!B76</f>
        <v>0</v>
      </c>
      <c r="C76" s="48">
        <f>'Policy A'!C76-'Policy B'!C76</f>
        <v>0</v>
      </c>
      <c r="D76" s="48">
        <f>'Policy A'!D76-'Policy B'!D76</f>
        <v>0</v>
      </c>
      <c r="F76" s="48">
        <f>'Policy A'!F76-'Policy B'!F76</f>
        <v>0</v>
      </c>
      <c r="G76" s="48">
        <f>'Policy A'!G76-'Policy B'!G76</f>
        <v>0</v>
      </c>
      <c r="H76" s="48">
        <f>'Policy A'!H76-'Policy B'!H76</f>
        <v>0</v>
      </c>
      <c r="I76" s="48">
        <f>'Policy A'!I76-'Policy B'!I76</f>
        <v>0</v>
      </c>
    </row>
    <row r="77" spans="1:9" x14ac:dyDescent="0.25">
      <c r="A77" t="str">
        <v>EE Non-econ</v>
      </c>
      <c r="B77" s="48">
        <f>'Policy A'!B77-'Policy B'!B77</f>
        <v>0</v>
      </c>
      <c r="C77" s="48">
        <f>'Policy A'!C77-'Policy B'!C77</f>
        <v>0</v>
      </c>
      <c r="D77" s="48">
        <f>'Policy A'!D77-'Policy B'!D77</f>
        <v>0</v>
      </c>
      <c r="F77" s="48">
        <f>'Policy A'!F77-'Policy B'!F77</f>
        <v>0</v>
      </c>
      <c r="G77" s="48">
        <f>'Policy A'!G77-'Policy B'!G77</f>
        <v>0</v>
      </c>
      <c r="H77" s="48">
        <f>'Policy A'!H77-'Policy B'!H77</f>
        <v>0</v>
      </c>
      <c r="I77" s="48">
        <f>'Policy A'!I77-'Policy B'!I77</f>
        <v>0</v>
      </c>
    </row>
    <row r="78" spans="1:9" x14ac:dyDescent="0.25">
      <c r="A78" t="str">
        <v>CA Non-econ</v>
      </c>
      <c r="B78" s="48">
        <f>'Policy A'!B78-'Policy B'!B78</f>
        <v>0</v>
      </c>
      <c r="C78" s="48">
        <f>'Policy A'!C78-'Policy B'!C78</f>
        <v>0</v>
      </c>
      <c r="D78" s="48">
        <f>'Policy A'!D78-'Policy B'!D78</f>
        <v>0</v>
      </c>
      <c r="F78" s="48">
        <f>'Policy A'!F78-'Policy B'!F78</f>
        <v>0</v>
      </c>
      <c r="G78" s="48">
        <f>'Policy A'!G78-'Policy B'!G78</f>
        <v>0</v>
      </c>
      <c r="H78" s="48">
        <f>'Policy A'!H78-'Policy B'!H78</f>
        <v>0</v>
      </c>
      <c r="I78" s="48">
        <f>'Policy A'!I78-'Policy B'!I78</f>
        <v>0</v>
      </c>
    </row>
    <row r="79" spans="1:9" x14ac:dyDescent="0.25">
      <c r="A79" t="str">
        <v>IA Non-econ</v>
      </c>
      <c r="B79" s="48">
        <f>'Policy A'!B79-'Policy B'!B79</f>
        <v>0</v>
      </c>
      <c r="C79" s="48">
        <f>'Policy A'!C79-'Policy B'!C79</f>
        <v>0</v>
      </c>
      <c r="D79" s="48">
        <f>'Policy A'!D79-'Policy B'!D79</f>
        <v>0</v>
      </c>
      <c r="F79" s="48">
        <f>'Policy A'!F79-'Policy B'!F79</f>
        <v>0</v>
      </c>
      <c r="G79" s="48">
        <f>'Policy A'!G79-'Policy B'!G79</f>
        <v>0</v>
      </c>
      <c r="H79" s="48">
        <f>'Policy A'!H79-'Policy B'!H79</f>
        <v>0</v>
      </c>
      <c r="I79" s="48">
        <f>'Policy A'!I79-'Policy B'!I79</f>
        <v>0</v>
      </c>
    </row>
    <row r="80" spans="1:9" x14ac:dyDescent="0.25">
      <c r="A80" t="str">
        <v>AF Non-econ</v>
      </c>
      <c r="B80" s="48">
        <f>'Policy A'!B80-'Policy B'!B80</f>
        <v>0</v>
      </c>
      <c r="C80" s="48">
        <f>'Policy A'!C80-'Policy B'!C80</f>
        <v>0</v>
      </c>
      <c r="D80" s="48">
        <f>'Policy A'!D80-'Policy B'!D80</f>
        <v>0</v>
      </c>
      <c r="F80" s="48">
        <f>'Policy A'!F80-'Policy B'!F80</f>
        <v>0</v>
      </c>
      <c r="G80" s="48">
        <f>'Policy A'!G80-'Policy B'!G80</f>
        <v>0</v>
      </c>
      <c r="H80" s="48">
        <f>'Policy A'!H80-'Policy B'!H80</f>
        <v>0</v>
      </c>
      <c r="I80" s="48">
        <f>'Policy A'!I80-'Policy B'!I80</f>
        <v>0</v>
      </c>
    </row>
    <row r="81" spans="1:9" x14ac:dyDescent="0.25">
      <c r="A81" t="str">
        <v>LA Non-econ</v>
      </c>
      <c r="B81" s="48">
        <f>'Policy A'!B81-'Policy B'!B81</f>
        <v>0</v>
      </c>
      <c r="C81" s="48">
        <f>'Policy A'!C81-'Policy B'!C81</f>
        <v>0</v>
      </c>
      <c r="D81" s="48">
        <f>'Policy A'!D81-'Policy B'!D81</f>
        <v>0</v>
      </c>
      <c r="F81" s="48">
        <f>'Policy A'!F81-'Policy B'!F81</f>
        <v>0</v>
      </c>
      <c r="G81" s="48">
        <f>'Policy A'!G81-'Policy B'!G81</f>
        <v>0</v>
      </c>
      <c r="H81" s="48">
        <f>'Policy A'!H81-'Policy B'!H81</f>
        <v>0</v>
      </c>
      <c r="I81" s="48">
        <f>'Policy A'!I81-'Policy B'!I81</f>
        <v>0</v>
      </c>
    </row>
  </sheetData>
  <pageMargins left="0.75" right="0.75" top="1" bottom="1" header="0.5" footer="0.5"/>
  <pageSetup paperSize="9" orientation="portrait" horizontalDpi="36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05"/>
  <sheetViews>
    <sheetView workbookViewId="0"/>
  </sheetViews>
  <sheetFormatPr defaultRowHeight="12.5" x14ac:dyDescent="0.25"/>
  <cols>
    <col min="1" max="1" width="9.81640625" bestFit="1" customWidth="1"/>
    <col min="2" max="12" width="9" bestFit="1" customWidth="1"/>
    <col min="13" max="13" width="8.54296875" bestFit="1" customWidth="1"/>
  </cols>
  <sheetData>
    <row r="1" spans="1:13" ht="13" x14ac:dyDescent="0.3">
      <c r="A1" s="2" t="str">
        <f>MODEL_NAME</f>
        <v>PAGE09</v>
      </c>
      <c r="B1" t="s">
        <v>44</v>
      </c>
      <c r="C1" s="71">
        <f>VERSION</f>
        <v>1.7</v>
      </c>
    </row>
    <row r="3" spans="1:13" s="2" customFormat="1" ht="13" x14ac:dyDescent="0.3">
      <c r="A3" s="2" t="s">
        <v>142</v>
      </c>
      <c r="B3" s="2">
        <f>Y_0</f>
        <v>2000</v>
      </c>
      <c r="C3" s="2">
        <f t="array" ref="C3:L3">Y</f>
        <v>2010</v>
      </c>
      <c r="D3" s="2">
        <v>2020</v>
      </c>
      <c r="E3" s="2">
        <v>2030</v>
      </c>
      <c r="F3" s="2">
        <v>2040</v>
      </c>
      <c r="G3" s="2">
        <v>2050</v>
      </c>
      <c r="H3" s="2">
        <v>2060</v>
      </c>
      <c r="I3" s="2">
        <v>2080</v>
      </c>
      <c r="J3" s="2">
        <v>2100</v>
      </c>
      <c r="K3" s="2">
        <v>2200</v>
      </c>
      <c r="L3" s="2">
        <v>2300</v>
      </c>
    </row>
    <row r="4" spans="1:13" x14ac:dyDescent="0.25">
      <c r="A4" t="str">
        <f t="array" ref="A4:A11">R_CODE&amp;" "&amp;'Base data'!$B$11</f>
        <v>EU CO2</v>
      </c>
      <c r="B4" s="37">
        <f t="array" ref="B4:B11">E_CO2_0</f>
        <v>4554.2665373738573</v>
      </c>
      <c r="C4" s="37">
        <f t="array" ref="C4:L11">er_co2_a*E_CO2_0/100</f>
        <v>4645.3264120578497</v>
      </c>
      <c r="D4" s="37">
        <v>4334.5335254571019</v>
      </c>
      <c r="E4" s="37">
        <v>3560.7597272017424</v>
      </c>
      <c r="F4" s="37">
        <v>2665.6394117812824</v>
      </c>
      <c r="G4" s="37">
        <v>1694.3770317106159</v>
      </c>
      <c r="H4" s="37">
        <v>1279.1231231721647</v>
      </c>
      <c r="I4" s="37">
        <v>750.25134001077663</v>
      </c>
      <c r="J4" s="37">
        <v>711.5606983766952</v>
      </c>
      <c r="K4" s="37">
        <v>789.56466576169271</v>
      </c>
      <c r="L4" s="37">
        <v>412.71231706722881</v>
      </c>
      <c r="M4" t="str">
        <f>'Base data'!$F$32</f>
        <v>Mtonne</v>
      </c>
    </row>
    <row r="5" spans="1:13" x14ac:dyDescent="0.25">
      <c r="A5" t="str">
        <v>US CO2</v>
      </c>
      <c r="B5" s="38">
        <v>9884.0352897677694</v>
      </c>
      <c r="C5" s="38">
        <v>9220.8127884962923</v>
      </c>
      <c r="D5" s="38">
        <v>7283.4886024519419</v>
      </c>
      <c r="E5" s="38">
        <v>6212.8878788901375</v>
      </c>
      <c r="F5" s="38">
        <v>4648.0746522243926</v>
      </c>
      <c r="G5" s="38">
        <v>3041.1073833238834</v>
      </c>
      <c r="H5" s="38">
        <v>2376.4726962669129</v>
      </c>
      <c r="I5" s="38">
        <v>1398.4868066367762</v>
      </c>
      <c r="J5" s="38">
        <v>1946.9694110275784</v>
      </c>
      <c r="K5" s="38">
        <v>1437.9313289928498</v>
      </c>
      <c r="L5" s="38">
        <v>751.61921031470661</v>
      </c>
      <c r="M5" t="str">
        <f>'Base data'!$F$32</f>
        <v>Mtonne</v>
      </c>
    </row>
    <row r="6" spans="1:13" x14ac:dyDescent="0.25">
      <c r="A6" t="str">
        <v>OT CO2</v>
      </c>
      <c r="B6" s="38">
        <v>1671.2300802454265</v>
      </c>
      <c r="C6" s="38">
        <v>2214.8767091596492</v>
      </c>
      <c r="D6" s="38">
        <v>2658.7706170473725</v>
      </c>
      <c r="E6" s="38">
        <v>2676.5370465178335</v>
      </c>
      <c r="F6" s="38">
        <v>2424.8479537260719</v>
      </c>
      <c r="G6" s="38">
        <v>1790.4883951793506</v>
      </c>
      <c r="H6" s="38">
        <v>1461.1504501919719</v>
      </c>
      <c r="I6" s="38">
        <v>990.19077058286541</v>
      </c>
      <c r="J6" s="38">
        <v>921.31356420629231</v>
      </c>
      <c r="K6" s="38">
        <v>1366.349291408055</v>
      </c>
      <c r="L6" s="38">
        <v>714.20265677185728</v>
      </c>
      <c r="M6" t="str">
        <f>'Base data'!$F$32</f>
        <v>Mtonne</v>
      </c>
    </row>
    <row r="7" spans="1:13" x14ac:dyDescent="0.25">
      <c r="A7" t="str">
        <v>EE CO2</v>
      </c>
      <c r="B7" s="38">
        <v>2211.3716421807485</v>
      </c>
      <c r="C7" s="38">
        <v>2930.7248615600488</v>
      </c>
      <c r="D7" s="38">
        <v>3518.0852804770839</v>
      </c>
      <c r="E7" s="38">
        <v>3541.5938199523989</v>
      </c>
      <c r="F7" s="38">
        <v>3208.5588123703387</v>
      </c>
      <c r="G7" s="38">
        <v>2369.1742445013169</v>
      </c>
      <c r="H7" s="38">
        <v>1933.3942756940178</v>
      </c>
      <c r="I7" s="38">
        <v>1310.2204276352477</v>
      </c>
      <c r="J7" s="38">
        <v>1219.0821081577665</v>
      </c>
      <c r="K7" s="38">
        <v>1807.9533823911386</v>
      </c>
      <c r="L7" s="38">
        <v>945.03295544052173</v>
      </c>
      <c r="M7" t="str">
        <f>'Base data'!$F$32</f>
        <v>Mtonne</v>
      </c>
    </row>
    <row r="8" spans="1:13" x14ac:dyDescent="0.25">
      <c r="A8" t="str">
        <v>CA CO2</v>
      </c>
      <c r="B8" s="38">
        <v>2486.7903594051945</v>
      </c>
      <c r="C8" s="38">
        <v>3295.7365432295587</v>
      </c>
      <c r="D8" s="38">
        <v>3956.2506781664906</v>
      </c>
      <c r="E8" s="38">
        <v>3982.6871252185369</v>
      </c>
      <c r="F8" s="38">
        <v>3608.1737551443944</v>
      </c>
      <c r="G8" s="38">
        <v>2664.2467320268743</v>
      </c>
      <c r="H8" s="38">
        <v>2174.1918698856548</v>
      </c>
      <c r="I8" s="38">
        <v>1473.4038666273036</v>
      </c>
      <c r="J8" s="38">
        <v>1370.9145835389634</v>
      </c>
      <c r="K8" s="38">
        <v>2033.1277456151861</v>
      </c>
      <c r="L8" s="38">
        <v>1062.7335532765237</v>
      </c>
      <c r="M8" t="str">
        <f>'Base data'!$F$32</f>
        <v>Mtonne</v>
      </c>
    </row>
    <row r="9" spans="1:13" x14ac:dyDescent="0.25">
      <c r="A9" t="str">
        <v>IA CO2</v>
      </c>
      <c r="B9" s="38">
        <v>4088.4972683124106</v>
      </c>
      <c r="C9" s="38">
        <v>5418.4743812881652</v>
      </c>
      <c r="D9" s="38">
        <v>6504.4164375446908</v>
      </c>
      <c r="E9" s="38">
        <v>6547.8802306012285</v>
      </c>
      <c r="F9" s="38">
        <v>5932.1480339954596</v>
      </c>
      <c r="G9" s="38">
        <v>4380.2508099667639</v>
      </c>
      <c r="H9" s="38">
        <v>3574.5584613496403</v>
      </c>
      <c r="I9" s="38">
        <v>2422.4027011539215</v>
      </c>
      <c r="J9" s="38">
        <v>2253.9015034742738</v>
      </c>
      <c r="K9" s="38">
        <v>3342.6369065006652</v>
      </c>
      <c r="L9" s="38">
        <v>1747.225379526672</v>
      </c>
      <c r="M9" t="str">
        <f>'Base data'!$F$32</f>
        <v>Mtonne</v>
      </c>
    </row>
    <row r="10" spans="1:13" x14ac:dyDescent="0.25">
      <c r="A10" t="str">
        <v>AF CO2</v>
      </c>
      <c r="B10" s="38">
        <v>2291.5906860325294</v>
      </c>
      <c r="C10" s="38">
        <v>3037.0389435997122</v>
      </c>
      <c r="D10" s="38">
        <v>3645.7062700953584</v>
      </c>
      <c r="E10" s="38">
        <v>3670.067598185256</v>
      </c>
      <c r="F10" s="38">
        <v>3324.9515141491902</v>
      </c>
      <c r="G10" s="38">
        <v>2455.1176874699268</v>
      </c>
      <c r="H10" s="38">
        <v>2003.5294973032326</v>
      </c>
      <c r="I10" s="38">
        <v>1357.7495846232255</v>
      </c>
      <c r="J10" s="38">
        <v>1263.3051592396687</v>
      </c>
      <c r="K10" s="38">
        <v>1873.5381483787255</v>
      </c>
      <c r="L10" s="38">
        <v>979.31468296557102</v>
      </c>
      <c r="M10" t="str">
        <f>'Base data'!$F$32</f>
        <v>Mtonne</v>
      </c>
    </row>
    <row r="11" spans="1:13" ht="13" thickBot="1" x14ac:dyDescent="0.3">
      <c r="A11" t="str">
        <v>LA CO2</v>
      </c>
      <c r="B11" s="50">
        <v>1954.6707018550505</v>
      </c>
      <c r="C11" s="50">
        <v>2590.5197990331258</v>
      </c>
      <c r="D11" s="50">
        <v>3109.6981136986064</v>
      </c>
      <c r="E11" s="50">
        <v>3130.4777296072589</v>
      </c>
      <c r="F11" s="50">
        <v>2836.102166678013</v>
      </c>
      <c r="G11" s="50">
        <v>2094.1552270017683</v>
      </c>
      <c r="H11" s="50">
        <v>1708.9615665445306</v>
      </c>
      <c r="I11" s="50">
        <v>1158.1271252737192</v>
      </c>
      <c r="J11" s="50">
        <v>1077.5683446956798</v>
      </c>
      <c r="K11" s="50">
        <v>1598.082131230861</v>
      </c>
      <c r="L11" s="50">
        <v>835.3314273603645</v>
      </c>
      <c r="M11" t="str">
        <f>'Base data'!$F$32</f>
        <v>Mtonne</v>
      </c>
    </row>
    <row r="12" spans="1:13" s="2" customFormat="1" ht="13.5" thickTop="1" x14ac:dyDescent="0.3">
      <c r="A12" s="2" t="str">
        <f>"Total "&amp;'Base data'!B11</f>
        <v>Total CO2</v>
      </c>
      <c r="B12" s="59">
        <f>SUM(B4:B11)</f>
        <v>29142.452565172985</v>
      </c>
      <c r="C12" s="59">
        <f>SUM(C4:C11)</f>
        <v>33353.510438424404</v>
      </c>
      <c r="D12" s="59">
        <f t="shared" ref="D12:L12" si="0">SUM(D4:D11)</f>
        <v>35010.949524938645</v>
      </c>
      <c r="E12" s="59">
        <f t="shared" si="0"/>
        <v>33322.891156174388</v>
      </c>
      <c r="F12" s="59">
        <f t="shared" si="0"/>
        <v>28648.496300069146</v>
      </c>
      <c r="G12" s="59">
        <f t="shared" si="0"/>
        <v>20488.917511180502</v>
      </c>
      <c r="H12" s="59">
        <f t="shared" si="0"/>
        <v>16511.381940408126</v>
      </c>
      <c r="I12" s="59">
        <f t="shared" si="0"/>
        <v>10860.832622543834</v>
      </c>
      <c r="J12" s="59">
        <f t="shared" si="0"/>
        <v>10764.615372716919</v>
      </c>
      <c r="K12" s="59">
        <f t="shared" si="0"/>
        <v>14249.183600279175</v>
      </c>
      <c r="L12" s="59">
        <f t="shared" si="0"/>
        <v>7448.1721827234451</v>
      </c>
      <c r="M12" s="2" t="str">
        <f>'Base data'!$F$32</f>
        <v>Mtonne</v>
      </c>
    </row>
    <row r="13" spans="1:13" s="57" customFormat="1" ht="13" x14ac:dyDescent="0.3">
      <c r="B13" s="63"/>
      <c r="C13" s="63"/>
      <c r="D13" s="63"/>
      <c r="E13" s="63"/>
      <c r="F13" s="63"/>
      <c r="G13" s="63"/>
      <c r="H13" s="63"/>
      <c r="I13" s="63"/>
      <c r="J13" s="63"/>
      <c r="K13" s="63"/>
      <c r="L13" s="63"/>
    </row>
    <row r="14" spans="1:13" s="57" customFormat="1" ht="13" x14ac:dyDescent="0.3">
      <c r="B14" s="63"/>
      <c r="C14" s="63"/>
      <c r="D14" s="63"/>
      <c r="E14" s="63"/>
      <c r="F14" s="63"/>
      <c r="G14" s="63"/>
      <c r="H14" s="63"/>
      <c r="I14" s="63"/>
      <c r="J14" s="63"/>
      <c r="K14" s="63"/>
      <c r="L14" s="63"/>
    </row>
    <row r="15" spans="1:13" s="57" customFormat="1" ht="13" x14ac:dyDescent="0.3">
      <c r="B15" s="63"/>
      <c r="C15" s="63"/>
      <c r="D15" s="63"/>
      <c r="E15" s="63"/>
      <c r="F15" s="63"/>
      <c r="G15" s="63"/>
      <c r="H15" s="63"/>
      <c r="I15" s="63"/>
      <c r="J15" s="63"/>
      <c r="K15" s="63"/>
      <c r="L15" s="63"/>
    </row>
    <row r="16" spans="1:13" s="57" customFormat="1" ht="13" x14ac:dyDescent="0.3">
      <c r="B16" s="63"/>
      <c r="C16" s="63"/>
      <c r="D16" s="63"/>
      <c r="E16" s="63"/>
      <c r="F16" s="63"/>
      <c r="G16" s="63"/>
      <c r="H16" s="63"/>
      <c r="I16" s="63"/>
      <c r="J16" s="63"/>
      <c r="K16" s="63"/>
      <c r="L16" s="63"/>
    </row>
    <row r="17" spans="2:12" s="57" customFormat="1" ht="13" x14ac:dyDescent="0.3">
      <c r="B17" s="63"/>
      <c r="C17" s="63"/>
      <c r="D17" s="63"/>
      <c r="E17" s="63"/>
      <c r="F17" s="63"/>
      <c r="G17" s="63"/>
      <c r="H17" s="63"/>
      <c r="I17" s="63"/>
      <c r="J17" s="63"/>
      <c r="K17" s="63"/>
      <c r="L17" s="63"/>
    </row>
    <row r="18" spans="2:12" s="57" customFormat="1" ht="13" x14ac:dyDescent="0.3">
      <c r="B18" s="63"/>
      <c r="C18" s="63"/>
      <c r="D18" s="63"/>
      <c r="E18" s="63"/>
      <c r="F18" s="63"/>
      <c r="G18" s="63"/>
      <c r="H18" s="63"/>
      <c r="I18" s="63"/>
      <c r="J18" s="63"/>
      <c r="K18" s="63"/>
      <c r="L18" s="63"/>
    </row>
    <row r="19" spans="2:12" s="57" customFormat="1" ht="13" x14ac:dyDescent="0.3">
      <c r="B19" s="63"/>
      <c r="C19" s="63"/>
      <c r="D19" s="63"/>
      <c r="E19" s="63"/>
      <c r="F19" s="63"/>
      <c r="G19" s="63"/>
      <c r="H19" s="63"/>
      <c r="I19" s="63"/>
      <c r="J19" s="63"/>
      <c r="K19" s="63"/>
      <c r="L19" s="63"/>
    </row>
    <row r="20" spans="2:12" s="57" customFormat="1" ht="13" x14ac:dyDescent="0.3">
      <c r="B20" s="63"/>
      <c r="C20" s="63"/>
      <c r="D20" s="63"/>
      <c r="E20" s="63"/>
      <c r="F20" s="63"/>
      <c r="G20" s="63"/>
      <c r="H20" s="63"/>
      <c r="I20" s="63"/>
      <c r="J20" s="63"/>
      <c r="K20" s="63"/>
      <c r="L20" s="63"/>
    </row>
    <row r="21" spans="2:12" s="57" customFormat="1" ht="13" x14ac:dyDescent="0.3">
      <c r="B21" s="63"/>
      <c r="C21" s="63"/>
      <c r="D21" s="63"/>
      <c r="E21" s="63"/>
      <c r="F21" s="63"/>
      <c r="G21" s="63"/>
      <c r="H21" s="63"/>
      <c r="I21" s="63"/>
      <c r="J21" s="63"/>
      <c r="K21" s="63"/>
      <c r="L21" s="63"/>
    </row>
    <row r="22" spans="2:12" s="57" customFormat="1" ht="13" x14ac:dyDescent="0.3">
      <c r="B22" s="63"/>
      <c r="C22" s="63"/>
      <c r="D22" s="63"/>
      <c r="E22" s="63"/>
      <c r="F22" s="63"/>
      <c r="G22" s="63"/>
      <c r="H22" s="63"/>
      <c r="I22" s="63"/>
      <c r="J22" s="63"/>
      <c r="K22" s="63"/>
      <c r="L22" s="63"/>
    </row>
    <row r="23" spans="2:12" s="57" customFormat="1" ht="13" x14ac:dyDescent="0.3">
      <c r="B23" s="63"/>
      <c r="C23" s="63"/>
      <c r="D23" s="63"/>
      <c r="E23" s="63"/>
      <c r="F23" s="63"/>
      <c r="G23" s="63"/>
      <c r="H23" s="63"/>
      <c r="I23" s="63"/>
      <c r="J23" s="63"/>
      <c r="K23" s="63"/>
      <c r="L23" s="63"/>
    </row>
    <row r="24" spans="2:12" s="57" customFormat="1" ht="13" x14ac:dyDescent="0.3">
      <c r="B24" s="63"/>
      <c r="C24" s="63"/>
      <c r="D24" s="63"/>
      <c r="E24" s="63"/>
      <c r="F24" s="63"/>
      <c r="G24" s="63"/>
      <c r="H24" s="63"/>
      <c r="I24" s="63"/>
      <c r="J24" s="63"/>
      <c r="K24" s="63"/>
      <c r="L24" s="63"/>
    </row>
    <row r="25" spans="2:12" s="57" customFormat="1" ht="13" x14ac:dyDescent="0.3">
      <c r="B25" s="63"/>
      <c r="C25" s="63"/>
      <c r="D25" s="63"/>
      <c r="E25" s="63"/>
      <c r="F25" s="63"/>
      <c r="G25" s="63"/>
      <c r="H25" s="63"/>
      <c r="I25" s="63"/>
      <c r="J25" s="63"/>
      <c r="K25" s="63"/>
      <c r="L25" s="63"/>
    </row>
    <row r="26" spans="2:12" s="57" customFormat="1" ht="13" x14ac:dyDescent="0.3">
      <c r="B26" s="63"/>
      <c r="C26" s="63"/>
      <c r="D26" s="63"/>
      <c r="E26" s="63"/>
      <c r="F26" s="63"/>
      <c r="G26" s="63"/>
      <c r="H26" s="63"/>
      <c r="I26" s="63"/>
      <c r="J26" s="63"/>
      <c r="K26" s="63"/>
      <c r="L26" s="63"/>
    </row>
    <row r="27" spans="2:12" s="57" customFormat="1" ht="13" x14ac:dyDescent="0.3">
      <c r="B27" s="63"/>
      <c r="C27" s="63"/>
      <c r="D27" s="63"/>
      <c r="E27" s="63"/>
      <c r="F27" s="63"/>
      <c r="G27" s="63"/>
      <c r="H27" s="63"/>
      <c r="I27" s="63"/>
      <c r="J27" s="63"/>
      <c r="K27" s="63"/>
      <c r="L27" s="63"/>
    </row>
    <row r="28" spans="2:12" s="57" customFormat="1" ht="13" x14ac:dyDescent="0.3">
      <c r="B28" s="63"/>
      <c r="C28" s="63"/>
      <c r="D28" s="63"/>
      <c r="E28" s="63"/>
      <c r="F28" s="63"/>
      <c r="G28" s="63"/>
      <c r="H28" s="63"/>
      <c r="I28" s="63"/>
      <c r="J28" s="63"/>
      <c r="K28" s="63"/>
      <c r="L28" s="63"/>
    </row>
    <row r="29" spans="2:12" s="57" customFormat="1" ht="13" x14ac:dyDescent="0.3">
      <c r="B29" s="63"/>
      <c r="C29" s="63"/>
      <c r="D29" s="63"/>
      <c r="E29" s="63"/>
      <c r="F29" s="63"/>
      <c r="G29" s="63"/>
      <c r="H29" s="63"/>
      <c r="I29" s="63"/>
      <c r="J29" s="63"/>
      <c r="K29" s="63"/>
      <c r="L29" s="63"/>
    </row>
    <row r="30" spans="2:12" s="57" customFormat="1" ht="13" x14ac:dyDescent="0.3">
      <c r="B30" s="63"/>
      <c r="C30" s="63"/>
      <c r="D30" s="63"/>
      <c r="E30" s="63"/>
      <c r="F30" s="63"/>
      <c r="G30" s="63"/>
      <c r="H30" s="63"/>
      <c r="I30" s="63"/>
      <c r="J30" s="63"/>
      <c r="K30" s="63"/>
      <c r="L30" s="63"/>
    </row>
    <row r="31" spans="2:12" s="57" customFormat="1" ht="13" x14ac:dyDescent="0.3">
      <c r="B31" s="63"/>
      <c r="C31" s="63"/>
      <c r="D31" s="63"/>
      <c r="E31" s="63"/>
      <c r="F31" s="63"/>
      <c r="G31" s="63"/>
      <c r="H31" s="63"/>
      <c r="I31" s="63"/>
      <c r="J31" s="63"/>
      <c r="K31" s="63"/>
      <c r="L31" s="63"/>
    </row>
    <row r="32" spans="2:12" s="57" customFormat="1" ht="13" x14ac:dyDescent="0.3">
      <c r="B32" s="63"/>
      <c r="C32" s="63"/>
      <c r="D32" s="63"/>
      <c r="E32" s="63"/>
      <c r="F32" s="63"/>
      <c r="G32" s="63"/>
      <c r="H32" s="63"/>
      <c r="I32" s="63"/>
      <c r="J32" s="63"/>
      <c r="K32" s="63"/>
      <c r="L32" s="63"/>
    </row>
    <row r="35" spans="1:13" x14ac:dyDescent="0.25">
      <c r="A35" t="str">
        <f t="array" ref="A35:A42">R_CODE&amp;" "&amp;'Base data'!$C$11</f>
        <v>EU CH4</v>
      </c>
      <c r="B35" s="37">
        <f t="array" ref="B35:B42">E_CH4_0</f>
        <v>1E-3</v>
      </c>
      <c r="C35" s="37">
        <f t="array" ref="C35:L42">er_ch4_a*E_CH4_0/100</f>
        <v>0</v>
      </c>
      <c r="D35" s="37">
        <v>0</v>
      </c>
      <c r="E35" s="37">
        <v>0</v>
      </c>
      <c r="F35" s="37">
        <v>0</v>
      </c>
      <c r="G35" s="37">
        <v>0</v>
      </c>
      <c r="H35" s="37">
        <v>0</v>
      </c>
      <c r="I35" s="37">
        <v>0</v>
      </c>
      <c r="J35" s="37">
        <v>0</v>
      </c>
      <c r="K35" s="37">
        <v>0</v>
      </c>
      <c r="L35" s="37">
        <v>0</v>
      </c>
      <c r="M35" t="str">
        <f>'Base data'!$F$32</f>
        <v>Mtonne</v>
      </c>
    </row>
    <row r="36" spans="1:13" x14ac:dyDescent="0.25">
      <c r="A36" t="str">
        <v>US CH4</v>
      </c>
      <c r="B36" s="38">
        <v>1E-3</v>
      </c>
      <c r="C36" s="38">
        <v>0</v>
      </c>
      <c r="D36" s="38">
        <v>0</v>
      </c>
      <c r="E36" s="38">
        <v>0</v>
      </c>
      <c r="F36" s="38">
        <v>0</v>
      </c>
      <c r="G36" s="38">
        <v>0</v>
      </c>
      <c r="H36" s="38">
        <v>0</v>
      </c>
      <c r="I36" s="38">
        <v>0</v>
      </c>
      <c r="J36" s="38">
        <v>0</v>
      </c>
      <c r="K36" s="38">
        <v>0</v>
      </c>
      <c r="L36" s="38">
        <v>0</v>
      </c>
      <c r="M36" t="str">
        <f>'Base data'!$F$32</f>
        <v>Mtonne</v>
      </c>
    </row>
    <row r="37" spans="1:13" x14ac:dyDescent="0.25">
      <c r="A37" t="str">
        <v>OT CH4</v>
      </c>
      <c r="B37" s="38">
        <v>1E-3</v>
      </c>
      <c r="C37" s="38">
        <v>0</v>
      </c>
      <c r="D37" s="38">
        <v>0</v>
      </c>
      <c r="E37" s="38">
        <v>0</v>
      </c>
      <c r="F37" s="38">
        <v>0</v>
      </c>
      <c r="G37" s="38">
        <v>0</v>
      </c>
      <c r="H37" s="38">
        <v>0</v>
      </c>
      <c r="I37" s="38">
        <v>0</v>
      </c>
      <c r="J37" s="38">
        <v>0</v>
      </c>
      <c r="K37" s="38">
        <v>0</v>
      </c>
      <c r="L37" s="38">
        <v>0</v>
      </c>
      <c r="M37" t="str">
        <f>'Base data'!$F$32</f>
        <v>Mtonne</v>
      </c>
    </row>
    <row r="38" spans="1:13" x14ac:dyDescent="0.25">
      <c r="A38" t="str">
        <v>EE CH4</v>
      </c>
      <c r="B38" s="38">
        <v>1E-3</v>
      </c>
      <c r="C38" s="38">
        <v>0</v>
      </c>
      <c r="D38" s="38">
        <v>0</v>
      </c>
      <c r="E38" s="38">
        <v>0</v>
      </c>
      <c r="F38" s="38">
        <v>0</v>
      </c>
      <c r="G38" s="38">
        <v>0</v>
      </c>
      <c r="H38" s="38">
        <v>0</v>
      </c>
      <c r="I38" s="38">
        <v>0</v>
      </c>
      <c r="J38" s="38">
        <v>0</v>
      </c>
      <c r="K38" s="38">
        <v>0</v>
      </c>
      <c r="L38" s="38">
        <v>0</v>
      </c>
      <c r="M38" t="str">
        <f>'Base data'!$F$32</f>
        <v>Mtonne</v>
      </c>
    </row>
    <row r="39" spans="1:13" x14ac:dyDescent="0.25">
      <c r="A39" t="str">
        <v>CA CH4</v>
      </c>
      <c r="B39" s="38">
        <v>1E-3</v>
      </c>
      <c r="C39" s="38">
        <v>0</v>
      </c>
      <c r="D39" s="38">
        <v>0</v>
      </c>
      <c r="E39" s="38">
        <v>0</v>
      </c>
      <c r="F39" s="38">
        <v>0</v>
      </c>
      <c r="G39" s="38">
        <v>0</v>
      </c>
      <c r="H39" s="38">
        <v>0</v>
      </c>
      <c r="I39" s="38">
        <v>0</v>
      </c>
      <c r="J39" s="38">
        <v>0</v>
      </c>
      <c r="K39" s="38">
        <v>0</v>
      </c>
      <c r="L39" s="38">
        <v>0</v>
      </c>
      <c r="M39" t="str">
        <f>'Base data'!$F$32</f>
        <v>Mtonne</v>
      </c>
    </row>
    <row r="40" spans="1:13" x14ac:dyDescent="0.25">
      <c r="A40" t="str">
        <v>IA CH4</v>
      </c>
      <c r="B40" s="38">
        <v>1E-3</v>
      </c>
      <c r="C40" s="38">
        <v>0</v>
      </c>
      <c r="D40" s="38">
        <v>0</v>
      </c>
      <c r="E40" s="38">
        <v>0</v>
      </c>
      <c r="F40" s="38">
        <v>0</v>
      </c>
      <c r="G40" s="38">
        <v>0</v>
      </c>
      <c r="H40" s="38">
        <v>0</v>
      </c>
      <c r="I40" s="38">
        <v>0</v>
      </c>
      <c r="J40" s="38">
        <v>0</v>
      </c>
      <c r="K40" s="38">
        <v>0</v>
      </c>
      <c r="L40" s="38">
        <v>0</v>
      </c>
      <c r="M40" t="str">
        <f>'Base data'!$F$32</f>
        <v>Mtonne</v>
      </c>
    </row>
    <row r="41" spans="1:13" x14ac:dyDescent="0.25">
      <c r="A41" t="str">
        <v>AF CH4</v>
      </c>
      <c r="B41" s="38">
        <v>1E-3</v>
      </c>
      <c r="C41" s="38">
        <v>0</v>
      </c>
      <c r="D41" s="38">
        <v>0</v>
      </c>
      <c r="E41" s="38">
        <v>0</v>
      </c>
      <c r="F41" s="38">
        <v>0</v>
      </c>
      <c r="G41" s="38">
        <v>0</v>
      </c>
      <c r="H41" s="38">
        <v>0</v>
      </c>
      <c r="I41" s="38">
        <v>0</v>
      </c>
      <c r="J41" s="38">
        <v>0</v>
      </c>
      <c r="K41" s="38">
        <v>0</v>
      </c>
      <c r="L41" s="38">
        <v>0</v>
      </c>
      <c r="M41" t="str">
        <f>'Base data'!$F$32</f>
        <v>Mtonne</v>
      </c>
    </row>
    <row r="42" spans="1:13" ht="13" thickBot="1" x14ac:dyDescent="0.3">
      <c r="A42" t="str">
        <v>LA CH4</v>
      </c>
      <c r="B42" s="50">
        <v>1E-3</v>
      </c>
      <c r="C42" s="50">
        <v>0</v>
      </c>
      <c r="D42" s="50">
        <v>0</v>
      </c>
      <c r="E42" s="50">
        <v>0</v>
      </c>
      <c r="F42" s="50">
        <v>0</v>
      </c>
      <c r="G42" s="50">
        <v>0</v>
      </c>
      <c r="H42" s="50">
        <v>0</v>
      </c>
      <c r="I42" s="50">
        <v>0</v>
      </c>
      <c r="J42" s="50">
        <v>0</v>
      </c>
      <c r="K42" s="50">
        <v>0</v>
      </c>
      <c r="L42" s="50">
        <v>0</v>
      </c>
      <c r="M42" t="str">
        <f>'Base data'!$F$32</f>
        <v>Mtonne</v>
      </c>
    </row>
    <row r="43" spans="1:13" s="2" customFormat="1" ht="13.5" thickTop="1" x14ac:dyDescent="0.3">
      <c r="A43" s="2" t="str">
        <f>"Total "&amp;'Base data'!$C$11</f>
        <v>Total CH4</v>
      </c>
      <c r="B43" s="59">
        <f t="shared" ref="B43:L43" si="1">SUM(B35:B42)</f>
        <v>8.0000000000000002E-3</v>
      </c>
      <c r="C43" s="59">
        <f t="shared" si="1"/>
        <v>0</v>
      </c>
      <c r="D43" s="59">
        <f t="shared" si="1"/>
        <v>0</v>
      </c>
      <c r="E43" s="59">
        <f t="shared" si="1"/>
        <v>0</v>
      </c>
      <c r="F43" s="59">
        <f t="shared" si="1"/>
        <v>0</v>
      </c>
      <c r="G43" s="59">
        <f t="shared" si="1"/>
        <v>0</v>
      </c>
      <c r="H43" s="59">
        <f t="shared" si="1"/>
        <v>0</v>
      </c>
      <c r="I43" s="59">
        <f t="shared" si="1"/>
        <v>0</v>
      </c>
      <c r="J43" s="59">
        <f t="shared" si="1"/>
        <v>0</v>
      </c>
      <c r="K43" s="59">
        <f t="shared" si="1"/>
        <v>0</v>
      </c>
      <c r="L43" s="59">
        <f t="shared" si="1"/>
        <v>0</v>
      </c>
      <c r="M43" s="2" t="str">
        <f>'Base data'!$F$32</f>
        <v>Mtonne</v>
      </c>
    </row>
    <row r="66" spans="1:13" x14ac:dyDescent="0.25">
      <c r="A66" t="str">
        <f t="array" ref="A66:A73">R_CODE&amp;" "&amp;'Base data'!$D$11</f>
        <v>EU N2O</v>
      </c>
      <c r="B66" s="37">
        <f t="array" ref="B66:B73">E_N2O_0</f>
        <v>1E-3</v>
      </c>
      <c r="C66" s="37">
        <f t="array" ref="C66:L73">er_n2o_a*E_N2O_0/100</f>
        <v>0</v>
      </c>
      <c r="D66" s="37">
        <v>0</v>
      </c>
      <c r="E66" s="37">
        <v>0</v>
      </c>
      <c r="F66" s="37">
        <v>0</v>
      </c>
      <c r="G66" s="37">
        <v>0</v>
      </c>
      <c r="H66" s="37">
        <v>0</v>
      </c>
      <c r="I66" s="37">
        <v>0</v>
      </c>
      <c r="J66" s="37">
        <v>0</v>
      </c>
      <c r="K66" s="37">
        <v>0</v>
      </c>
      <c r="L66" s="37">
        <v>0</v>
      </c>
      <c r="M66" t="str">
        <f>'Base data'!$F$32</f>
        <v>Mtonne</v>
      </c>
    </row>
    <row r="67" spans="1:13" x14ac:dyDescent="0.25">
      <c r="A67" t="str">
        <v>US N2O</v>
      </c>
      <c r="B67" s="38">
        <v>1E-3</v>
      </c>
      <c r="C67" s="38">
        <v>0</v>
      </c>
      <c r="D67" s="38">
        <v>0</v>
      </c>
      <c r="E67" s="38">
        <v>0</v>
      </c>
      <c r="F67" s="38">
        <v>0</v>
      </c>
      <c r="G67" s="38">
        <v>0</v>
      </c>
      <c r="H67" s="38">
        <v>0</v>
      </c>
      <c r="I67" s="38">
        <v>0</v>
      </c>
      <c r="J67" s="38">
        <v>0</v>
      </c>
      <c r="K67" s="38">
        <v>0</v>
      </c>
      <c r="L67" s="38">
        <v>0</v>
      </c>
      <c r="M67" t="str">
        <f>'Base data'!$F$32</f>
        <v>Mtonne</v>
      </c>
    </row>
    <row r="68" spans="1:13" x14ac:dyDescent="0.25">
      <c r="A68" t="str">
        <v>OT N2O</v>
      </c>
      <c r="B68" s="38">
        <v>1E-3</v>
      </c>
      <c r="C68" s="38">
        <v>0</v>
      </c>
      <c r="D68" s="38">
        <v>0</v>
      </c>
      <c r="E68" s="38">
        <v>0</v>
      </c>
      <c r="F68" s="38">
        <v>0</v>
      </c>
      <c r="G68" s="38">
        <v>0</v>
      </c>
      <c r="H68" s="38">
        <v>0</v>
      </c>
      <c r="I68" s="38">
        <v>0</v>
      </c>
      <c r="J68" s="38">
        <v>0</v>
      </c>
      <c r="K68" s="38">
        <v>0</v>
      </c>
      <c r="L68" s="38">
        <v>0</v>
      </c>
      <c r="M68" t="str">
        <f>'Base data'!$F$32</f>
        <v>Mtonne</v>
      </c>
    </row>
    <row r="69" spans="1:13" x14ac:dyDescent="0.25">
      <c r="A69" t="str">
        <v>EE N2O</v>
      </c>
      <c r="B69" s="38">
        <v>1E-3</v>
      </c>
      <c r="C69" s="38">
        <v>0</v>
      </c>
      <c r="D69" s="38">
        <v>0</v>
      </c>
      <c r="E69" s="38">
        <v>0</v>
      </c>
      <c r="F69" s="38">
        <v>0</v>
      </c>
      <c r="G69" s="38">
        <v>0</v>
      </c>
      <c r="H69" s="38">
        <v>0</v>
      </c>
      <c r="I69" s="38">
        <v>0</v>
      </c>
      <c r="J69" s="38">
        <v>0</v>
      </c>
      <c r="K69" s="38">
        <v>0</v>
      </c>
      <c r="L69" s="38">
        <v>0</v>
      </c>
      <c r="M69" t="str">
        <f>'Base data'!$F$32</f>
        <v>Mtonne</v>
      </c>
    </row>
    <row r="70" spans="1:13" x14ac:dyDescent="0.25">
      <c r="A70" t="str">
        <v>CA N2O</v>
      </c>
      <c r="B70" s="38">
        <v>1E-3</v>
      </c>
      <c r="C70" s="38">
        <v>0</v>
      </c>
      <c r="D70" s="38">
        <v>0</v>
      </c>
      <c r="E70" s="38">
        <v>0</v>
      </c>
      <c r="F70" s="38">
        <v>0</v>
      </c>
      <c r="G70" s="38">
        <v>0</v>
      </c>
      <c r="H70" s="38">
        <v>0</v>
      </c>
      <c r="I70" s="38">
        <v>0</v>
      </c>
      <c r="J70" s="38">
        <v>0</v>
      </c>
      <c r="K70" s="38">
        <v>0</v>
      </c>
      <c r="L70" s="38">
        <v>0</v>
      </c>
      <c r="M70" t="str">
        <f>'Base data'!$F$32</f>
        <v>Mtonne</v>
      </c>
    </row>
    <row r="71" spans="1:13" x14ac:dyDescent="0.25">
      <c r="A71" t="str">
        <v>IA N2O</v>
      </c>
      <c r="B71" s="38">
        <v>1E-3</v>
      </c>
      <c r="C71" s="38">
        <v>0</v>
      </c>
      <c r="D71" s="38">
        <v>0</v>
      </c>
      <c r="E71" s="38">
        <v>0</v>
      </c>
      <c r="F71" s="38">
        <v>0</v>
      </c>
      <c r="G71" s="38">
        <v>0</v>
      </c>
      <c r="H71" s="38">
        <v>0</v>
      </c>
      <c r="I71" s="38">
        <v>0</v>
      </c>
      <c r="J71" s="38">
        <v>0</v>
      </c>
      <c r="K71" s="38">
        <v>0</v>
      </c>
      <c r="L71" s="38">
        <v>0</v>
      </c>
      <c r="M71" t="str">
        <f>'Base data'!$F$32</f>
        <v>Mtonne</v>
      </c>
    </row>
    <row r="72" spans="1:13" x14ac:dyDescent="0.25">
      <c r="A72" t="str">
        <v>AF N2O</v>
      </c>
      <c r="B72" s="38">
        <v>1E-3</v>
      </c>
      <c r="C72" s="38">
        <v>0</v>
      </c>
      <c r="D72" s="38">
        <v>0</v>
      </c>
      <c r="E72" s="38">
        <v>0</v>
      </c>
      <c r="F72" s="38">
        <v>0</v>
      </c>
      <c r="G72" s="38">
        <v>0</v>
      </c>
      <c r="H72" s="38">
        <v>0</v>
      </c>
      <c r="I72" s="38">
        <v>0</v>
      </c>
      <c r="J72" s="38">
        <v>0</v>
      </c>
      <c r="K72" s="38">
        <v>0</v>
      </c>
      <c r="L72" s="38">
        <v>0</v>
      </c>
      <c r="M72" t="str">
        <f>'Base data'!$F$32</f>
        <v>Mtonne</v>
      </c>
    </row>
    <row r="73" spans="1:13" ht="13" thickBot="1" x14ac:dyDescent="0.3">
      <c r="A73" t="str">
        <v>LA N2O</v>
      </c>
      <c r="B73" s="50">
        <v>1E-3</v>
      </c>
      <c r="C73" s="50">
        <v>0</v>
      </c>
      <c r="D73" s="50">
        <v>0</v>
      </c>
      <c r="E73" s="50">
        <v>0</v>
      </c>
      <c r="F73" s="50">
        <v>0</v>
      </c>
      <c r="G73" s="50">
        <v>0</v>
      </c>
      <c r="H73" s="50">
        <v>0</v>
      </c>
      <c r="I73" s="50">
        <v>0</v>
      </c>
      <c r="J73" s="50">
        <v>0</v>
      </c>
      <c r="K73" s="50">
        <v>0</v>
      </c>
      <c r="L73" s="50">
        <v>0</v>
      </c>
      <c r="M73" t="str">
        <f>'Base data'!$F$32</f>
        <v>Mtonne</v>
      </c>
    </row>
    <row r="74" spans="1:13" s="2" customFormat="1" ht="13.5" thickTop="1" x14ac:dyDescent="0.3">
      <c r="A74" s="2" t="str">
        <f>"Total "&amp;'Base data'!$D$11</f>
        <v>Total N2O</v>
      </c>
      <c r="B74" s="59">
        <f t="shared" ref="B74:L74" si="2">SUM(B66:B73)</f>
        <v>8.0000000000000002E-3</v>
      </c>
      <c r="C74" s="59">
        <f t="shared" si="2"/>
        <v>0</v>
      </c>
      <c r="D74" s="59">
        <f t="shared" si="2"/>
        <v>0</v>
      </c>
      <c r="E74" s="59">
        <f t="shared" si="2"/>
        <v>0</v>
      </c>
      <c r="F74" s="59">
        <f t="shared" si="2"/>
        <v>0</v>
      </c>
      <c r="G74" s="59">
        <f t="shared" si="2"/>
        <v>0</v>
      </c>
      <c r="H74" s="59">
        <f t="shared" si="2"/>
        <v>0</v>
      </c>
      <c r="I74" s="59">
        <f t="shared" si="2"/>
        <v>0</v>
      </c>
      <c r="J74" s="59">
        <f t="shared" si="2"/>
        <v>0</v>
      </c>
      <c r="K74" s="59">
        <f t="shared" si="2"/>
        <v>0</v>
      </c>
      <c r="L74" s="59">
        <f t="shared" si="2"/>
        <v>0</v>
      </c>
      <c r="M74" s="2" t="str">
        <f>'Base data'!$F$32</f>
        <v>Mtonne</v>
      </c>
    </row>
    <row r="97" spans="1:13" x14ac:dyDescent="0.25">
      <c r="A97" t="str">
        <f t="array" ref="A97:A104">R_CODE&amp;" "&amp;GLIN_NAME</f>
        <v>EU Lin</v>
      </c>
      <c r="B97" s="37">
        <f t="array" ref="B97:B104">E_GLIN_0</f>
        <v>1E-3</v>
      </c>
      <c r="C97" s="37">
        <f t="array" ref="C97:L104">er_glin_a*E_GLIN_0/100</f>
        <v>0</v>
      </c>
      <c r="D97" s="37">
        <v>0</v>
      </c>
      <c r="E97" s="37">
        <v>0</v>
      </c>
      <c r="F97" s="37">
        <v>0</v>
      </c>
      <c r="G97" s="37">
        <v>0</v>
      </c>
      <c r="H97" s="37">
        <v>0</v>
      </c>
      <c r="I97" s="37">
        <v>0</v>
      </c>
      <c r="J97" s="37">
        <v>0</v>
      </c>
      <c r="K97" s="37">
        <v>0</v>
      </c>
      <c r="L97" s="37">
        <v>0</v>
      </c>
      <c r="M97" t="str">
        <f>'Base data'!$F$32</f>
        <v>Mtonne</v>
      </c>
    </row>
    <row r="98" spans="1:13" x14ac:dyDescent="0.25">
      <c r="A98" t="str">
        <v>US Lin</v>
      </c>
      <c r="B98" s="38">
        <v>1E-3</v>
      </c>
      <c r="C98" s="38">
        <v>0</v>
      </c>
      <c r="D98" s="38">
        <v>0</v>
      </c>
      <c r="E98" s="38">
        <v>0</v>
      </c>
      <c r="F98" s="38">
        <v>0</v>
      </c>
      <c r="G98" s="38">
        <v>0</v>
      </c>
      <c r="H98" s="38">
        <v>0</v>
      </c>
      <c r="I98" s="38">
        <v>0</v>
      </c>
      <c r="J98" s="38">
        <v>0</v>
      </c>
      <c r="K98" s="38">
        <v>0</v>
      </c>
      <c r="L98" s="38">
        <v>0</v>
      </c>
      <c r="M98" t="str">
        <f>'Base data'!$F$32</f>
        <v>Mtonne</v>
      </c>
    </row>
    <row r="99" spans="1:13" x14ac:dyDescent="0.25">
      <c r="A99" t="str">
        <v>OT Lin</v>
      </c>
      <c r="B99" s="38">
        <v>1E-3</v>
      </c>
      <c r="C99" s="38">
        <v>0</v>
      </c>
      <c r="D99" s="38">
        <v>0</v>
      </c>
      <c r="E99" s="38">
        <v>0</v>
      </c>
      <c r="F99" s="38">
        <v>0</v>
      </c>
      <c r="G99" s="38">
        <v>0</v>
      </c>
      <c r="H99" s="38">
        <v>0</v>
      </c>
      <c r="I99" s="38">
        <v>0</v>
      </c>
      <c r="J99" s="38">
        <v>0</v>
      </c>
      <c r="K99" s="38">
        <v>0</v>
      </c>
      <c r="L99" s="38">
        <v>0</v>
      </c>
      <c r="M99" t="str">
        <f>'Base data'!$F$32</f>
        <v>Mtonne</v>
      </c>
    </row>
    <row r="100" spans="1:13" x14ac:dyDescent="0.25">
      <c r="A100" t="str">
        <v>EE Lin</v>
      </c>
      <c r="B100" s="38">
        <v>1E-3</v>
      </c>
      <c r="C100" s="38">
        <v>0</v>
      </c>
      <c r="D100" s="38">
        <v>0</v>
      </c>
      <c r="E100" s="38">
        <v>0</v>
      </c>
      <c r="F100" s="38">
        <v>0</v>
      </c>
      <c r="G100" s="38">
        <v>0</v>
      </c>
      <c r="H100" s="38">
        <v>0</v>
      </c>
      <c r="I100" s="38">
        <v>0</v>
      </c>
      <c r="J100" s="38">
        <v>0</v>
      </c>
      <c r="K100" s="38">
        <v>0</v>
      </c>
      <c r="L100" s="38">
        <v>0</v>
      </c>
      <c r="M100" t="str">
        <f>'Base data'!$F$32</f>
        <v>Mtonne</v>
      </c>
    </row>
    <row r="101" spans="1:13" x14ac:dyDescent="0.25">
      <c r="A101" t="str">
        <v>CA Lin</v>
      </c>
      <c r="B101" s="38">
        <v>1E-3</v>
      </c>
      <c r="C101" s="38">
        <v>0</v>
      </c>
      <c r="D101" s="38">
        <v>0</v>
      </c>
      <c r="E101" s="38">
        <v>0</v>
      </c>
      <c r="F101" s="38">
        <v>0</v>
      </c>
      <c r="G101" s="38">
        <v>0</v>
      </c>
      <c r="H101" s="38">
        <v>0</v>
      </c>
      <c r="I101" s="38">
        <v>0</v>
      </c>
      <c r="J101" s="38">
        <v>0</v>
      </c>
      <c r="K101" s="38">
        <v>0</v>
      </c>
      <c r="L101" s="38">
        <v>0</v>
      </c>
      <c r="M101" t="str">
        <f>'Base data'!$F$32</f>
        <v>Mtonne</v>
      </c>
    </row>
    <row r="102" spans="1:13" x14ac:dyDescent="0.25">
      <c r="A102" t="str">
        <v>IA Lin</v>
      </c>
      <c r="B102" s="38">
        <v>1E-3</v>
      </c>
      <c r="C102" s="38">
        <v>0</v>
      </c>
      <c r="D102" s="38">
        <v>0</v>
      </c>
      <c r="E102" s="38">
        <v>0</v>
      </c>
      <c r="F102" s="38">
        <v>0</v>
      </c>
      <c r="G102" s="38">
        <v>0</v>
      </c>
      <c r="H102" s="38">
        <v>0</v>
      </c>
      <c r="I102" s="38">
        <v>0</v>
      </c>
      <c r="J102" s="38">
        <v>0</v>
      </c>
      <c r="K102" s="38">
        <v>0</v>
      </c>
      <c r="L102" s="38">
        <v>0</v>
      </c>
      <c r="M102" t="str">
        <f>'Base data'!$F$32</f>
        <v>Mtonne</v>
      </c>
    </row>
    <row r="103" spans="1:13" x14ac:dyDescent="0.25">
      <c r="A103" t="str">
        <v>AF Lin</v>
      </c>
      <c r="B103" s="38">
        <v>1E-3</v>
      </c>
      <c r="C103" s="38">
        <v>0</v>
      </c>
      <c r="D103" s="38">
        <v>0</v>
      </c>
      <c r="E103" s="38">
        <v>0</v>
      </c>
      <c r="F103" s="38">
        <v>0</v>
      </c>
      <c r="G103" s="38">
        <v>0</v>
      </c>
      <c r="H103" s="38">
        <v>0</v>
      </c>
      <c r="I103" s="38">
        <v>0</v>
      </c>
      <c r="J103" s="38">
        <v>0</v>
      </c>
      <c r="K103" s="38">
        <v>0</v>
      </c>
      <c r="L103" s="38">
        <v>0</v>
      </c>
      <c r="M103" t="str">
        <f>'Base data'!$F$32</f>
        <v>Mtonne</v>
      </c>
    </row>
    <row r="104" spans="1:13" ht="13" thickBot="1" x14ac:dyDescent="0.3">
      <c r="A104" t="str">
        <v>LA Lin</v>
      </c>
      <c r="B104" s="50">
        <v>1E-3</v>
      </c>
      <c r="C104" s="50">
        <v>0</v>
      </c>
      <c r="D104" s="50">
        <v>0</v>
      </c>
      <c r="E104" s="50">
        <v>0</v>
      </c>
      <c r="F104" s="50">
        <v>0</v>
      </c>
      <c r="G104" s="50">
        <v>0</v>
      </c>
      <c r="H104" s="50">
        <v>0</v>
      </c>
      <c r="I104" s="50">
        <v>0</v>
      </c>
      <c r="J104" s="50">
        <v>0</v>
      </c>
      <c r="K104" s="50">
        <v>0</v>
      </c>
      <c r="L104" s="50">
        <v>0</v>
      </c>
      <c r="M104" t="str">
        <f>'Base data'!$F$32</f>
        <v>Mtonne</v>
      </c>
    </row>
    <row r="105" spans="1:13" s="2" customFormat="1" ht="13.5" thickTop="1" x14ac:dyDescent="0.3">
      <c r="A105" s="2" t="str">
        <f>"Total "&amp;'Base data'!$E$11</f>
        <v>Total Lin</v>
      </c>
      <c r="B105" s="59">
        <f t="shared" ref="B105:L105" si="3">SUM(B97:B104)</f>
        <v>8.0000000000000002E-3</v>
      </c>
      <c r="C105" s="59">
        <f t="shared" si="3"/>
        <v>0</v>
      </c>
      <c r="D105" s="59">
        <f t="shared" si="3"/>
        <v>0</v>
      </c>
      <c r="E105" s="59">
        <f t="shared" si="3"/>
        <v>0</v>
      </c>
      <c r="F105" s="59">
        <f t="shared" si="3"/>
        <v>0</v>
      </c>
      <c r="G105" s="59">
        <f t="shared" si="3"/>
        <v>0</v>
      </c>
      <c r="H105" s="59">
        <f t="shared" si="3"/>
        <v>0</v>
      </c>
      <c r="I105" s="59">
        <f t="shared" si="3"/>
        <v>0</v>
      </c>
      <c r="J105" s="59">
        <f t="shared" si="3"/>
        <v>0</v>
      </c>
      <c r="K105" s="59">
        <f t="shared" si="3"/>
        <v>0</v>
      </c>
      <c r="L105" s="59">
        <f t="shared" si="3"/>
        <v>0</v>
      </c>
      <c r="M105" s="2" t="str">
        <f>'Base data'!$F$32</f>
        <v>Mtonne</v>
      </c>
    </row>
  </sheetData>
  <phoneticPr fontId="0" type="noConversion"/>
  <pageMargins left="0.75" right="0.75" top="1" bottom="1" header="0.5" footer="0.5"/>
  <pageSetup orientation="portrait"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105"/>
  <sheetViews>
    <sheetView workbookViewId="0"/>
  </sheetViews>
  <sheetFormatPr defaultRowHeight="12.5" x14ac:dyDescent="0.25"/>
  <cols>
    <col min="1" max="1" width="9.81640625" bestFit="1" customWidth="1"/>
    <col min="2" max="12" width="9" bestFit="1" customWidth="1"/>
    <col min="13" max="13" width="8.54296875" bestFit="1" customWidth="1"/>
  </cols>
  <sheetData>
    <row r="1" spans="1:13" ht="13" x14ac:dyDescent="0.3">
      <c r="A1" s="2" t="str">
        <f>MODEL_NAME</f>
        <v>PAGE09</v>
      </c>
      <c r="B1" t="s">
        <v>44</v>
      </c>
      <c r="C1" s="71">
        <f>VERSION</f>
        <v>1.7</v>
      </c>
    </row>
    <row r="3" spans="1:13" s="2" customFormat="1" ht="13" x14ac:dyDescent="0.3">
      <c r="A3" s="2" t="s">
        <v>142</v>
      </c>
      <c r="B3" s="2">
        <f>Y_0</f>
        <v>2000</v>
      </c>
      <c r="C3" s="2">
        <f t="array" ref="C3:L3">Y</f>
        <v>2010</v>
      </c>
      <c r="D3" s="2">
        <v>2020</v>
      </c>
      <c r="E3" s="2">
        <v>2030</v>
      </c>
      <c r="F3" s="2">
        <v>2040</v>
      </c>
      <c r="G3" s="2">
        <v>2050</v>
      </c>
      <c r="H3" s="2">
        <v>2060</v>
      </c>
      <c r="I3" s="2">
        <v>2080</v>
      </c>
      <c r="J3" s="2">
        <v>2100</v>
      </c>
      <c r="K3" s="2">
        <v>2200</v>
      </c>
      <c r="L3" s="2">
        <v>2300</v>
      </c>
    </row>
    <row r="4" spans="1:13" x14ac:dyDescent="0.25">
      <c r="A4" t="str">
        <f t="array" ref="A4:A11">R_CODE&amp;" "&amp;'Base data'!$B$11</f>
        <v>EU CO2</v>
      </c>
      <c r="B4" s="37">
        <f t="array" ref="B4:B11">E_CO2_0</f>
        <v>4554.2665373738573</v>
      </c>
      <c r="C4" s="37">
        <f t="array" ref="C4:L11">er_co2_b*E_CO2_0/100</f>
        <v>4645.3264120578497</v>
      </c>
      <c r="D4" s="37">
        <v>4334.5335254571019</v>
      </c>
      <c r="E4" s="37">
        <v>3560.7597272017424</v>
      </c>
      <c r="F4" s="37">
        <v>2665.6394117812824</v>
      </c>
      <c r="G4" s="37">
        <v>1694.3770317106159</v>
      </c>
      <c r="H4" s="37">
        <v>1279.1231231721647</v>
      </c>
      <c r="I4" s="37">
        <v>750.25134001077663</v>
      </c>
      <c r="J4" s="37">
        <v>711.5606983766952</v>
      </c>
      <c r="K4" s="37">
        <v>789.56466576169271</v>
      </c>
      <c r="L4" s="37">
        <v>412.71231706722881</v>
      </c>
      <c r="M4" t="str">
        <f>'Base data'!$F$32</f>
        <v>Mtonne</v>
      </c>
    </row>
    <row r="5" spans="1:13" x14ac:dyDescent="0.25">
      <c r="A5" t="str">
        <v>US CO2</v>
      </c>
      <c r="B5" s="38">
        <v>9884.0352897677694</v>
      </c>
      <c r="C5" s="38">
        <v>9220.8127884962923</v>
      </c>
      <c r="D5" s="38">
        <v>7283.4886024519419</v>
      </c>
      <c r="E5" s="38">
        <v>6212.8878788901375</v>
      </c>
      <c r="F5" s="38">
        <v>4648.0746522243926</v>
      </c>
      <c r="G5" s="38">
        <v>3041.1073833238834</v>
      </c>
      <c r="H5" s="38">
        <v>2376.4726962669129</v>
      </c>
      <c r="I5" s="38">
        <v>1398.4868066367762</v>
      </c>
      <c r="J5" s="38">
        <v>1946.9694110275784</v>
      </c>
      <c r="K5" s="38">
        <v>1437.9313289928498</v>
      </c>
      <c r="L5" s="38">
        <v>751.61921031470661</v>
      </c>
      <c r="M5" t="str">
        <f>'Base data'!$F$32</f>
        <v>Mtonne</v>
      </c>
    </row>
    <row r="6" spans="1:13" x14ac:dyDescent="0.25">
      <c r="A6" t="str">
        <v>OT CO2</v>
      </c>
      <c r="B6" s="38">
        <v>1671.2300802454265</v>
      </c>
      <c r="C6" s="38">
        <v>2214.8767091596492</v>
      </c>
      <c r="D6" s="38">
        <v>2658.7706170473725</v>
      </c>
      <c r="E6" s="38">
        <v>2676.5370465178335</v>
      </c>
      <c r="F6" s="38">
        <v>2424.8479537260719</v>
      </c>
      <c r="G6" s="38">
        <v>1790.4883951793506</v>
      </c>
      <c r="H6" s="38">
        <v>1461.1504501919719</v>
      </c>
      <c r="I6" s="38">
        <v>990.19077058286541</v>
      </c>
      <c r="J6" s="38">
        <v>921.31356420629231</v>
      </c>
      <c r="K6" s="38">
        <v>1366.349291408055</v>
      </c>
      <c r="L6" s="38">
        <v>714.20265677185728</v>
      </c>
      <c r="M6" t="str">
        <f>'Base data'!$F$32</f>
        <v>Mtonne</v>
      </c>
    </row>
    <row r="7" spans="1:13" x14ac:dyDescent="0.25">
      <c r="A7" t="str">
        <v>EE CO2</v>
      </c>
      <c r="B7" s="38">
        <v>2211.3716421807485</v>
      </c>
      <c r="C7" s="38">
        <v>2930.7248615600488</v>
      </c>
      <c r="D7" s="38">
        <v>3518.0852804770839</v>
      </c>
      <c r="E7" s="38">
        <v>3541.5938199523989</v>
      </c>
      <c r="F7" s="38">
        <v>3208.5588123703387</v>
      </c>
      <c r="G7" s="38">
        <v>2369.1742445013169</v>
      </c>
      <c r="H7" s="38">
        <v>1933.3942756940178</v>
      </c>
      <c r="I7" s="38">
        <v>1310.2204276352477</v>
      </c>
      <c r="J7" s="38">
        <v>1219.0821081577665</v>
      </c>
      <c r="K7" s="38">
        <v>1807.9533823911386</v>
      </c>
      <c r="L7" s="38">
        <v>945.03295544052173</v>
      </c>
      <c r="M7" t="str">
        <f>'Base data'!$F$32</f>
        <v>Mtonne</v>
      </c>
    </row>
    <row r="8" spans="1:13" x14ac:dyDescent="0.25">
      <c r="A8" t="str">
        <v>CA CO2</v>
      </c>
      <c r="B8" s="38">
        <v>2486.7903594051945</v>
      </c>
      <c r="C8" s="38">
        <v>3295.7365432295587</v>
      </c>
      <c r="D8" s="38">
        <v>3956.2506781664906</v>
      </c>
      <c r="E8" s="38">
        <v>3982.6871252185369</v>
      </c>
      <c r="F8" s="38">
        <v>3608.1737551443944</v>
      </c>
      <c r="G8" s="38">
        <v>2664.2467320268743</v>
      </c>
      <c r="H8" s="38">
        <v>2174.1918698856548</v>
      </c>
      <c r="I8" s="38">
        <v>1473.4038666273036</v>
      </c>
      <c r="J8" s="38">
        <v>1370.9145835389634</v>
      </c>
      <c r="K8" s="38">
        <v>2033.1277456151861</v>
      </c>
      <c r="L8" s="38">
        <v>1062.7335532765237</v>
      </c>
      <c r="M8" t="str">
        <f>'Base data'!$F$32</f>
        <v>Mtonne</v>
      </c>
    </row>
    <row r="9" spans="1:13" x14ac:dyDescent="0.25">
      <c r="A9" t="str">
        <v>IA CO2</v>
      </c>
      <c r="B9" s="38">
        <v>4088.4972683124106</v>
      </c>
      <c r="C9" s="38">
        <v>5418.4743812881652</v>
      </c>
      <c r="D9" s="38">
        <v>6504.4164375446908</v>
      </c>
      <c r="E9" s="38">
        <v>6547.8802306012285</v>
      </c>
      <c r="F9" s="38">
        <v>5932.1480339954596</v>
      </c>
      <c r="G9" s="38">
        <v>4380.2508099667639</v>
      </c>
      <c r="H9" s="38">
        <v>3574.5584613496403</v>
      </c>
      <c r="I9" s="38">
        <v>2422.4027011539215</v>
      </c>
      <c r="J9" s="38">
        <v>2253.9015034742738</v>
      </c>
      <c r="K9" s="38">
        <v>3342.6369065006652</v>
      </c>
      <c r="L9" s="38">
        <v>1747.225379526672</v>
      </c>
      <c r="M9" t="str">
        <f>'Base data'!$F$32</f>
        <v>Mtonne</v>
      </c>
    </row>
    <row r="10" spans="1:13" x14ac:dyDescent="0.25">
      <c r="A10" t="str">
        <v>AF CO2</v>
      </c>
      <c r="B10" s="38">
        <v>2291.5906860325294</v>
      </c>
      <c r="C10" s="38">
        <v>3037.0389435997122</v>
      </c>
      <c r="D10" s="38">
        <v>3645.7062700953584</v>
      </c>
      <c r="E10" s="38">
        <v>3670.067598185256</v>
      </c>
      <c r="F10" s="38">
        <v>3324.9515141491902</v>
      </c>
      <c r="G10" s="38">
        <v>2455.1176874699268</v>
      </c>
      <c r="H10" s="38">
        <v>2003.5294973032326</v>
      </c>
      <c r="I10" s="38">
        <v>1357.7495846232255</v>
      </c>
      <c r="J10" s="38">
        <v>1263.3051592396687</v>
      </c>
      <c r="K10" s="38">
        <v>1873.5381483787255</v>
      </c>
      <c r="L10" s="38">
        <v>979.31468296557102</v>
      </c>
      <c r="M10" t="str">
        <f>'Base data'!$F$32</f>
        <v>Mtonne</v>
      </c>
    </row>
    <row r="11" spans="1:13" ht="13" thickBot="1" x14ac:dyDescent="0.3">
      <c r="A11" t="str">
        <v>LA CO2</v>
      </c>
      <c r="B11" s="50">
        <v>1954.6707018550505</v>
      </c>
      <c r="C11" s="50">
        <v>2590.5197990331258</v>
      </c>
      <c r="D11" s="50">
        <v>3109.6981136986064</v>
      </c>
      <c r="E11" s="50">
        <v>3130.4777296072589</v>
      </c>
      <c r="F11" s="50">
        <v>2836.102166678013</v>
      </c>
      <c r="G11" s="50">
        <v>2094.1552270017683</v>
      </c>
      <c r="H11" s="50">
        <v>1708.9615665445306</v>
      </c>
      <c r="I11" s="50">
        <v>1158.1271252737192</v>
      </c>
      <c r="J11" s="50">
        <v>1077.5683446956798</v>
      </c>
      <c r="K11" s="50">
        <v>1598.082131230861</v>
      </c>
      <c r="L11" s="50">
        <v>835.3314273603645</v>
      </c>
      <c r="M11" t="str">
        <f>'Base data'!$F$32</f>
        <v>Mtonne</v>
      </c>
    </row>
    <row r="12" spans="1:13" s="2" customFormat="1" ht="13.5" thickTop="1" x14ac:dyDescent="0.3">
      <c r="A12" s="2" t="str">
        <f>"Total "&amp;'Base data'!B11</f>
        <v>Total CO2</v>
      </c>
      <c r="B12" s="59">
        <f>SUM(B4:B11)</f>
        <v>29142.452565172985</v>
      </c>
      <c r="C12" s="59">
        <f>SUM(C4:C11)</f>
        <v>33353.510438424404</v>
      </c>
      <c r="D12" s="59">
        <f t="shared" ref="D12:L12" si="0">SUM(D4:D11)</f>
        <v>35010.949524938645</v>
      </c>
      <c r="E12" s="59">
        <f t="shared" si="0"/>
        <v>33322.891156174388</v>
      </c>
      <c r="F12" s="59">
        <f t="shared" si="0"/>
        <v>28648.496300069146</v>
      </c>
      <c r="G12" s="59">
        <f t="shared" si="0"/>
        <v>20488.917511180502</v>
      </c>
      <c r="H12" s="59">
        <f t="shared" si="0"/>
        <v>16511.381940408126</v>
      </c>
      <c r="I12" s="59">
        <f t="shared" si="0"/>
        <v>10860.832622543834</v>
      </c>
      <c r="J12" s="59">
        <f t="shared" si="0"/>
        <v>10764.615372716919</v>
      </c>
      <c r="K12" s="59">
        <f t="shared" si="0"/>
        <v>14249.183600279175</v>
      </c>
      <c r="L12" s="59">
        <f t="shared" si="0"/>
        <v>7448.1721827234451</v>
      </c>
      <c r="M12" s="2" t="str">
        <f>'Base data'!$F$32</f>
        <v>Mtonne</v>
      </c>
    </row>
    <row r="13" spans="1:13" s="57" customFormat="1" ht="13" x14ac:dyDescent="0.3">
      <c r="B13" s="63"/>
      <c r="C13" s="63"/>
      <c r="D13" s="63"/>
      <c r="E13" s="63"/>
      <c r="F13" s="63"/>
      <c r="G13" s="63"/>
      <c r="H13" s="63"/>
      <c r="I13" s="63"/>
      <c r="J13" s="63"/>
      <c r="K13" s="63"/>
      <c r="L13" s="63"/>
    </row>
    <row r="14" spans="1:13" s="57" customFormat="1" ht="13" x14ac:dyDescent="0.3">
      <c r="B14" s="63"/>
      <c r="C14" s="63"/>
      <c r="D14" s="63"/>
      <c r="E14" s="63"/>
      <c r="F14" s="63"/>
      <c r="G14" s="63"/>
      <c r="H14" s="63"/>
      <c r="I14" s="63"/>
      <c r="J14" s="63"/>
      <c r="K14" s="63"/>
      <c r="L14" s="63"/>
    </row>
    <row r="15" spans="1:13" s="57" customFormat="1" ht="13" x14ac:dyDescent="0.3">
      <c r="B15" s="63"/>
      <c r="C15" s="63"/>
      <c r="D15" s="63"/>
      <c r="E15" s="63"/>
      <c r="F15" s="63"/>
      <c r="G15" s="63"/>
      <c r="H15" s="63"/>
      <c r="I15" s="63"/>
      <c r="J15" s="63"/>
      <c r="K15" s="63"/>
      <c r="L15" s="63"/>
    </row>
    <row r="16" spans="1:13" s="57" customFormat="1" ht="13" x14ac:dyDescent="0.3">
      <c r="B16" s="63"/>
      <c r="C16" s="63"/>
      <c r="D16" s="63"/>
      <c r="E16" s="63"/>
      <c r="F16" s="63"/>
      <c r="G16" s="63"/>
      <c r="H16" s="63"/>
      <c r="I16" s="63"/>
      <c r="J16" s="63"/>
      <c r="K16" s="63"/>
      <c r="L16" s="63"/>
    </row>
    <row r="17" spans="2:12" s="57" customFormat="1" ht="13" x14ac:dyDescent="0.3">
      <c r="B17" s="63"/>
      <c r="C17" s="63"/>
      <c r="D17" s="63"/>
      <c r="E17" s="63"/>
      <c r="F17" s="63"/>
      <c r="G17" s="63"/>
      <c r="H17" s="63"/>
      <c r="I17" s="63"/>
      <c r="J17" s="63"/>
      <c r="K17" s="63"/>
      <c r="L17" s="63"/>
    </row>
    <row r="18" spans="2:12" s="57" customFormat="1" ht="13" x14ac:dyDescent="0.3">
      <c r="B18" s="63"/>
      <c r="C18" s="63"/>
      <c r="D18" s="63"/>
      <c r="E18" s="63"/>
      <c r="F18" s="63"/>
      <c r="G18" s="63"/>
      <c r="H18" s="63"/>
      <c r="I18" s="63"/>
      <c r="J18" s="63"/>
      <c r="K18" s="63"/>
      <c r="L18" s="63"/>
    </row>
    <row r="19" spans="2:12" s="57" customFormat="1" ht="13" x14ac:dyDescent="0.3">
      <c r="B19" s="63"/>
      <c r="C19" s="63"/>
      <c r="D19" s="63"/>
      <c r="E19" s="63"/>
      <c r="F19" s="63"/>
      <c r="G19" s="63"/>
      <c r="H19" s="63"/>
      <c r="I19" s="63"/>
      <c r="J19" s="63"/>
      <c r="K19" s="63"/>
      <c r="L19" s="63"/>
    </row>
    <row r="20" spans="2:12" s="57" customFormat="1" ht="13" x14ac:dyDescent="0.3">
      <c r="B20" s="63"/>
      <c r="C20" s="63"/>
      <c r="D20" s="63"/>
      <c r="E20" s="63"/>
      <c r="F20" s="63"/>
      <c r="G20" s="63"/>
      <c r="H20" s="63"/>
      <c r="I20" s="63"/>
      <c r="J20" s="63"/>
      <c r="K20" s="63"/>
      <c r="L20" s="63"/>
    </row>
    <row r="21" spans="2:12" s="57" customFormat="1" ht="13" x14ac:dyDescent="0.3">
      <c r="B21" s="63"/>
      <c r="C21" s="63"/>
      <c r="D21" s="63"/>
      <c r="E21" s="63"/>
      <c r="F21" s="63"/>
      <c r="G21" s="63"/>
      <c r="H21" s="63"/>
      <c r="I21" s="63"/>
      <c r="J21" s="63"/>
      <c r="K21" s="63"/>
      <c r="L21" s="63"/>
    </row>
    <row r="22" spans="2:12" s="57" customFormat="1" ht="13" x14ac:dyDescent="0.3">
      <c r="B22" s="63"/>
      <c r="C22" s="63"/>
      <c r="D22" s="63"/>
      <c r="E22" s="63"/>
      <c r="F22" s="63"/>
      <c r="G22" s="63"/>
      <c r="H22" s="63"/>
      <c r="I22" s="63"/>
      <c r="J22" s="63"/>
      <c r="K22" s="63"/>
      <c r="L22" s="63"/>
    </row>
    <row r="23" spans="2:12" s="57" customFormat="1" ht="13" x14ac:dyDescent="0.3">
      <c r="B23" s="63"/>
      <c r="C23" s="63"/>
      <c r="D23" s="63"/>
      <c r="E23" s="63"/>
      <c r="F23" s="63"/>
      <c r="G23" s="63"/>
      <c r="H23" s="63"/>
      <c r="I23" s="63"/>
      <c r="J23" s="63"/>
      <c r="K23" s="63"/>
      <c r="L23" s="63"/>
    </row>
    <row r="24" spans="2:12" s="57" customFormat="1" ht="13" x14ac:dyDescent="0.3">
      <c r="B24" s="63"/>
      <c r="C24" s="63"/>
      <c r="D24" s="63"/>
      <c r="E24" s="63"/>
      <c r="F24" s="63"/>
      <c r="G24" s="63"/>
      <c r="H24" s="63"/>
      <c r="I24" s="63"/>
      <c r="J24" s="63"/>
      <c r="K24" s="63"/>
      <c r="L24" s="63"/>
    </row>
    <row r="25" spans="2:12" s="57" customFormat="1" ht="13" x14ac:dyDescent="0.3">
      <c r="B25" s="63"/>
      <c r="C25" s="63"/>
      <c r="D25" s="63"/>
      <c r="E25" s="63"/>
      <c r="F25" s="63"/>
      <c r="G25" s="63"/>
      <c r="H25" s="63"/>
      <c r="I25" s="63"/>
      <c r="J25" s="63"/>
      <c r="K25" s="63"/>
      <c r="L25" s="63"/>
    </row>
    <row r="26" spans="2:12" s="57" customFormat="1" ht="13" x14ac:dyDescent="0.3">
      <c r="B26" s="63"/>
      <c r="C26" s="63"/>
      <c r="D26" s="63"/>
      <c r="E26" s="63"/>
      <c r="F26" s="63"/>
      <c r="G26" s="63"/>
      <c r="H26" s="63"/>
      <c r="I26" s="63"/>
      <c r="J26" s="63"/>
      <c r="K26" s="63"/>
      <c r="L26" s="63"/>
    </row>
    <row r="27" spans="2:12" s="57" customFormat="1" ht="13" x14ac:dyDescent="0.3">
      <c r="B27" s="63"/>
      <c r="C27" s="63"/>
      <c r="D27" s="63"/>
      <c r="E27" s="63"/>
      <c r="F27" s="63"/>
      <c r="G27" s="63"/>
      <c r="H27" s="63"/>
      <c r="I27" s="63"/>
      <c r="J27" s="63"/>
      <c r="K27" s="63"/>
      <c r="L27" s="63"/>
    </row>
    <row r="28" spans="2:12" s="57" customFormat="1" ht="13" x14ac:dyDescent="0.3">
      <c r="B28" s="63"/>
      <c r="C28" s="63"/>
      <c r="D28" s="63"/>
      <c r="E28" s="63"/>
      <c r="F28" s="63"/>
      <c r="G28" s="63"/>
      <c r="H28" s="63"/>
      <c r="I28" s="63"/>
      <c r="J28" s="63"/>
      <c r="K28" s="63"/>
      <c r="L28" s="63"/>
    </row>
    <row r="29" spans="2:12" s="57" customFormat="1" ht="13" x14ac:dyDescent="0.3">
      <c r="B29" s="63"/>
      <c r="C29" s="63"/>
      <c r="D29" s="63"/>
      <c r="E29" s="63"/>
      <c r="F29" s="63"/>
      <c r="G29" s="63"/>
      <c r="H29" s="63"/>
      <c r="I29" s="63"/>
      <c r="J29" s="63"/>
      <c r="K29" s="63"/>
      <c r="L29" s="63"/>
    </row>
    <row r="30" spans="2:12" s="57" customFormat="1" ht="13" x14ac:dyDescent="0.3">
      <c r="B30" s="63"/>
      <c r="C30" s="63"/>
      <c r="D30" s="63"/>
      <c r="E30" s="63"/>
      <c r="F30" s="63"/>
      <c r="G30" s="63"/>
      <c r="H30" s="63"/>
      <c r="I30" s="63"/>
      <c r="J30" s="63"/>
      <c r="K30" s="63"/>
      <c r="L30" s="63"/>
    </row>
    <row r="31" spans="2:12" s="57" customFormat="1" ht="13" x14ac:dyDescent="0.3">
      <c r="B31" s="63"/>
      <c r="C31" s="63"/>
      <c r="D31" s="63"/>
      <c r="E31" s="63"/>
      <c r="F31" s="63"/>
      <c r="G31" s="63"/>
      <c r="H31" s="63"/>
      <c r="I31" s="63"/>
      <c r="J31" s="63"/>
      <c r="K31" s="63"/>
      <c r="L31" s="63"/>
    </row>
    <row r="32" spans="2:12" s="57" customFormat="1" ht="13" x14ac:dyDescent="0.3">
      <c r="B32" s="63"/>
      <c r="C32" s="63"/>
      <c r="D32" s="63"/>
      <c r="E32" s="63"/>
      <c r="F32" s="63"/>
      <c r="G32" s="63"/>
      <c r="H32" s="63"/>
      <c r="I32" s="63"/>
      <c r="J32" s="63"/>
      <c r="K32" s="63"/>
      <c r="L32" s="63"/>
    </row>
    <row r="35" spans="1:13" x14ac:dyDescent="0.25">
      <c r="A35" t="str">
        <f t="array" ref="A35:A42">R_CODE&amp;" "&amp;'Base data'!$C$11</f>
        <v>EU CH4</v>
      </c>
      <c r="B35" s="37">
        <f t="array" ref="B35:B42">E_CH4_0</f>
        <v>1E-3</v>
      </c>
      <c r="C35" s="37">
        <f t="array" ref="C35:L42">er_ch4_b*E_CH4_0/100</f>
        <v>0</v>
      </c>
      <c r="D35" s="37">
        <v>0</v>
      </c>
      <c r="E35" s="37">
        <v>0</v>
      </c>
      <c r="F35" s="37">
        <v>0</v>
      </c>
      <c r="G35" s="37">
        <v>0</v>
      </c>
      <c r="H35" s="37">
        <v>0</v>
      </c>
      <c r="I35" s="37">
        <v>0</v>
      </c>
      <c r="J35" s="37">
        <v>0</v>
      </c>
      <c r="K35" s="37">
        <v>0</v>
      </c>
      <c r="L35" s="37">
        <v>0</v>
      </c>
      <c r="M35" t="str">
        <f>'Base data'!$F$32</f>
        <v>Mtonne</v>
      </c>
    </row>
    <row r="36" spans="1:13" x14ac:dyDescent="0.25">
      <c r="A36" t="str">
        <v>US CH4</v>
      </c>
      <c r="B36" s="38">
        <v>1E-3</v>
      </c>
      <c r="C36" s="38">
        <v>0</v>
      </c>
      <c r="D36" s="38">
        <v>0</v>
      </c>
      <c r="E36" s="38">
        <v>0</v>
      </c>
      <c r="F36" s="38">
        <v>0</v>
      </c>
      <c r="G36" s="38">
        <v>0</v>
      </c>
      <c r="H36" s="38">
        <v>0</v>
      </c>
      <c r="I36" s="38">
        <v>0</v>
      </c>
      <c r="J36" s="38">
        <v>0</v>
      </c>
      <c r="K36" s="38">
        <v>0</v>
      </c>
      <c r="L36" s="38">
        <v>0</v>
      </c>
      <c r="M36" t="str">
        <f>'Base data'!$F$32</f>
        <v>Mtonne</v>
      </c>
    </row>
    <row r="37" spans="1:13" x14ac:dyDescent="0.25">
      <c r="A37" t="str">
        <v>OT CH4</v>
      </c>
      <c r="B37" s="38">
        <v>1E-3</v>
      </c>
      <c r="C37" s="38">
        <v>0</v>
      </c>
      <c r="D37" s="38">
        <v>0</v>
      </c>
      <c r="E37" s="38">
        <v>0</v>
      </c>
      <c r="F37" s="38">
        <v>0</v>
      </c>
      <c r="G37" s="38">
        <v>0</v>
      </c>
      <c r="H37" s="38">
        <v>0</v>
      </c>
      <c r="I37" s="38">
        <v>0</v>
      </c>
      <c r="J37" s="38">
        <v>0</v>
      </c>
      <c r="K37" s="38">
        <v>0</v>
      </c>
      <c r="L37" s="38">
        <v>0</v>
      </c>
      <c r="M37" t="str">
        <f>'Base data'!$F$32</f>
        <v>Mtonne</v>
      </c>
    </row>
    <row r="38" spans="1:13" x14ac:dyDescent="0.25">
      <c r="A38" t="str">
        <v>EE CH4</v>
      </c>
      <c r="B38" s="38">
        <v>1E-3</v>
      </c>
      <c r="C38" s="38">
        <v>0</v>
      </c>
      <c r="D38" s="38">
        <v>0</v>
      </c>
      <c r="E38" s="38">
        <v>0</v>
      </c>
      <c r="F38" s="38">
        <v>0</v>
      </c>
      <c r="G38" s="38">
        <v>0</v>
      </c>
      <c r="H38" s="38">
        <v>0</v>
      </c>
      <c r="I38" s="38">
        <v>0</v>
      </c>
      <c r="J38" s="38">
        <v>0</v>
      </c>
      <c r="K38" s="38">
        <v>0</v>
      </c>
      <c r="L38" s="38">
        <v>0</v>
      </c>
      <c r="M38" t="str">
        <f>'Base data'!$F$32</f>
        <v>Mtonne</v>
      </c>
    </row>
    <row r="39" spans="1:13" x14ac:dyDescent="0.25">
      <c r="A39" t="str">
        <v>CA CH4</v>
      </c>
      <c r="B39" s="38">
        <v>1E-3</v>
      </c>
      <c r="C39" s="38">
        <v>0</v>
      </c>
      <c r="D39" s="38">
        <v>0</v>
      </c>
      <c r="E39" s="38">
        <v>0</v>
      </c>
      <c r="F39" s="38">
        <v>0</v>
      </c>
      <c r="G39" s="38">
        <v>0</v>
      </c>
      <c r="H39" s="38">
        <v>0</v>
      </c>
      <c r="I39" s="38">
        <v>0</v>
      </c>
      <c r="J39" s="38">
        <v>0</v>
      </c>
      <c r="K39" s="38">
        <v>0</v>
      </c>
      <c r="L39" s="38">
        <v>0</v>
      </c>
      <c r="M39" t="str">
        <f>'Base data'!$F$32</f>
        <v>Mtonne</v>
      </c>
    </row>
    <row r="40" spans="1:13" x14ac:dyDescent="0.25">
      <c r="A40" t="str">
        <v>IA CH4</v>
      </c>
      <c r="B40" s="38">
        <v>1E-3</v>
      </c>
      <c r="C40" s="38">
        <v>0</v>
      </c>
      <c r="D40" s="38">
        <v>0</v>
      </c>
      <c r="E40" s="38">
        <v>0</v>
      </c>
      <c r="F40" s="38">
        <v>0</v>
      </c>
      <c r="G40" s="38">
        <v>0</v>
      </c>
      <c r="H40" s="38">
        <v>0</v>
      </c>
      <c r="I40" s="38">
        <v>0</v>
      </c>
      <c r="J40" s="38">
        <v>0</v>
      </c>
      <c r="K40" s="38">
        <v>0</v>
      </c>
      <c r="L40" s="38">
        <v>0</v>
      </c>
      <c r="M40" t="str">
        <f>'Base data'!$F$32</f>
        <v>Mtonne</v>
      </c>
    </row>
    <row r="41" spans="1:13" x14ac:dyDescent="0.25">
      <c r="A41" t="str">
        <v>AF CH4</v>
      </c>
      <c r="B41" s="38">
        <v>1E-3</v>
      </c>
      <c r="C41" s="38">
        <v>0</v>
      </c>
      <c r="D41" s="38">
        <v>0</v>
      </c>
      <c r="E41" s="38">
        <v>0</v>
      </c>
      <c r="F41" s="38">
        <v>0</v>
      </c>
      <c r="G41" s="38">
        <v>0</v>
      </c>
      <c r="H41" s="38">
        <v>0</v>
      </c>
      <c r="I41" s="38">
        <v>0</v>
      </c>
      <c r="J41" s="38">
        <v>0</v>
      </c>
      <c r="K41" s="38">
        <v>0</v>
      </c>
      <c r="L41" s="38">
        <v>0</v>
      </c>
      <c r="M41" t="str">
        <f>'Base data'!$F$32</f>
        <v>Mtonne</v>
      </c>
    </row>
    <row r="42" spans="1:13" ht="13" thickBot="1" x14ac:dyDescent="0.3">
      <c r="A42" t="str">
        <v>LA CH4</v>
      </c>
      <c r="B42" s="50">
        <v>1E-3</v>
      </c>
      <c r="C42" s="50">
        <v>0</v>
      </c>
      <c r="D42" s="50">
        <v>0</v>
      </c>
      <c r="E42" s="50">
        <v>0</v>
      </c>
      <c r="F42" s="50">
        <v>0</v>
      </c>
      <c r="G42" s="50">
        <v>0</v>
      </c>
      <c r="H42" s="50">
        <v>0</v>
      </c>
      <c r="I42" s="50">
        <v>0</v>
      </c>
      <c r="J42" s="50">
        <v>0</v>
      </c>
      <c r="K42" s="50">
        <v>0</v>
      </c>
      <c r="L42" s="50">
        <v>0</v>
      </c>
      <c r="M42" t="str">
        <f>'Base data'!$F$32</f>
        <v>Mtonne</v>
      </c>
    </row>
    <row r="43" spans="1:13" s="2" customFormat="1" ht="13.5" thickTop="1" x14ac:dyDescent="0.3">
      <c r="A43" s="2" t="str">
        <f>"Total "&amp;'Base data'!$C$11</f>
        <v>Total CH4</v>
      </c>
      <c r="B43" s="59">
        <f t="shared" ref="B43:L43" si="1">SUM(B35:B42)</f>
        <v>8.0000000000000002E-3</v>
      </c>
      <c r="C43" s="59">
        <f t="shared" si="1"/>
        <v>0</v>
      </c>
      <c r="D43" s="59">
        <f t="shared" si="1"/>
        <v>0</v>
      </c>
      <c r="E43" s="59">
        <f t="shared" si="1"/>
        <v>0</v>
      </c>
      <c r="F43" s="59">
        <f t="shared" si="1"/>
        <v>0</v>
      </c>
      <c r="G43" s="59">
        <f t="shared" si="1"/>
        <v>0</v>
      </c>
      <c r="H43" s="59">
        <f t="shared" si="1"/>
        <v>0</v>
      </c>
      <c r="I43" s="59">
        <f t="shared" si="1"/>
        <v>0</v>
      </c>
      <c r="J43" s="59">
        <f t="shared" si="1"/>
        <v>0</v>
      </c>
      <c r="K43" s="59">
        <f t="shared" si="1"/>
        <v>0</v>
      </c>
      <c r="L43" s="59">
        <f t="shared" si="1"/>
        <v>0</v>
      </c>
      <c r="M43" s="2" t="str">
        <f>'Base data'!$F$32</f>
        <v>Mtonne</v>
      </c>
    </row>
    <row r="66" spans="1:13" x14ac:dyDescent="0.25">
      <c r="A66" t="str">
        <f t="array" ref="A66:A73">R_CODE&amp;" "&amp;'Base data'!$D$11</f>
        <v>EU N2O</v>
      </c>
      <c r="B66" s="37">
        <f t="array" ref="B66:B73">E_N2O_0</f>
        <v>1E-3</v>
      </c>
      <c r="C66" s="37">
        <f t="array" ref="C66:L73">er_n2o_b*E_N2O_0/100</f>
        <v>0</v>
      </c>
      <c r="D66" s="37">
        <v>0</v>
      </c>
      <c r="E66" s="37">
        <v>0</v>
      </c>
      <c r="F66" s="37">
        <v>0</v>
      </c>
      <c r="G66" s="37">
        <v>0</v>
      </c>
      <c r="H66" s="37">
        <v>0</v>
      </c>
      <c r="I66" s="37">
        <v>0</v>
      </c>
      <c r="J66" s="37">
        <v>0</v>
      </c>
      <c r="K66" s="37">
        <v>0</v>
      </c>
      <c r="L66" s="37">
        <v>0</v>
      </c>
      <c r="M66" t="str">
        <f>'Base data'!$F$32</f>
        <v>Mtonne</v>
      </c>
    </row>
    <row r="67" spans="1:13" x14ac:dyDescent="0.25">
      <c r="A67" t="str">
        <v>US N2O</v>
      </c>
      <c r="B67" s="38">
        <v>1E-3</v>
      </c>
      <c r="C67" s="38">
        <v>0</v>
      </c>
      <c r="D67" s="38">
        <v>0</v>
      </c>
      <c r="E67" s="38">
        <v>0</v>
      </c>
      <c r="F67" s="38">
        <v>0</v>
      </c>
      <c r="G67" s="38">
        <v>0</v>
      </c>
      <c r="H67" s="38">
        <v>0</v>
      </c>
      <c r="I67" s="38">
        <v>0</v>
      </c>
      <c r="J67" s="38">
        <v>0</v>
      </c>
      <c r="K67" s="38">
        <v>0</v>
      </c>
      <c r="L67" s="38">
        <v>0</v>
      </c>
      <c r="M67" t="str">
        <f>'Base data'!$F$32</f>
        <v>Mtonne</v>
      </c>
    </row>
    <row r="68" spans="1:13" x14ac:dyDescent="0.25">
      <c r="A68" t="str">
        <v>OT N2O</v>
      </c>
      <c r="B68" s="38">
        <v>1E-3</v>
      </c>
      <c r="C68" s="38">
        <v>0</v>
      </c>
      <c r="D68" s="38">
        <v>0</v>
      </c>
      <c r="E68" s="38">
        <v>0</v>
      </c>
      <c r="F68" s="38">
        <v>0</v>
      </c>
      <c r="G68" s="38">
        <v>0</v>
      </c>
      <c r="H68" s="38">
        <v>0</v>
      </c>
      <c r="I68" s="38">
        <v>0</v>
      </c>
      <c r="J68" s="38">
        <v>0</v>
      </c>
      <c r="K68" s="38">
        <v>0</v>
      </c>
      <c r="L68" s="38">
        <v>0</v>
      </c>
      <c r="M68" t="str">
        <f>'Base data'!$F$32</f>
        <v>Mtonne</v>
      </c>
    </row>
    <row r="69" spans="1:13" x14ac:dyDescent="0.25">
      <c r="A69" t="str">
        <v>EE N2O</v>
      </c>
      <c r="B69" s="38">
        <v>1E-3</v>
      </c>
      <c r="C69" s="38">
        <v>0</v>
      </c>
      <c r="D69" s="38">
        <v>0</v>
      </c>
      <c r="E69" s="38">
        <v>0</v>
      </c>
      <c r="F69" s="38">
        <v>0</v>
      </c>
      <c r="G69" s="38">
        <v>0</v>
      </c>
      <c r="H69" s="38">
        <v>0</v>
      </c>
      <c r="I69" s="38">
        <v>0</v>
      </c>
      <c r="J69" s="38">
        <v>0</v>
      </c>
      <c r="K69" s="38">
        <v>0</v>
      </c>
      <c r="L69" s="38">
        <v>0</v>
      </c>
      <c r="M69" t="str">
        <f>'Base data'!$F$32</f>
        <v>Mtonne</v>
      </c>
    </row>
    <row r="70" spans="1:13" x14ac:dyDescent="0.25">
      <c r="A70" t="str">
        <v>CA N2O</v>
      </c>
      <c r="B70" s="38">
        <v>1E-3</v>
      </c>
      <c r="C70" s="38">
        <v>0</v>
      </c>
      <c r="D70" s="38">
        <v>0</v>
      </c>
      <c r="E70" s="38">
        <v>0</v>
      </c>
      <c r="F70" s="38">
        <v>0</v>
      </c>
      <c r="G70" s="38">
        <v>0</v>
      </c>
      <c r="H70" s="38">
        <v>0</v>
      </c>
      <c r="I70" s="38">
        <v>0</v>
      </c>
      <c r="J70" s="38">
        <v>0</v>
      </c>
      <c r="K70" s="38">
        <v>0</v>
      </c>
      <c r="L70" s="38">
        <v>0</v>
      </c>
      <c r="M70" t="str">
        <f>'Base data'!$F$32</f>
        <v>Mtonne</v>
      </c>
    </row>
    <row r="71" spans="1:13" x14ac:dyDescent="0.25">
      <c r="A71" t="str">
        <v>IA N2O</v>
      </c>
      <c r="B71" s="38">
        <v>1E-3</v>
      </c>
      <c r="C71" s="38">
        <v>0</v>
      </c>
      <c r="D71" s="38">
        <v>0</v>
      </c>
      <c r="E71" s="38">
        <v>0</v>
      </c>
      <c r="F71" s="38">
        <v>0</v>
      </c>
      <c r="G71" s="38">
        <v>0</v>
      </c>
      <c r="H71" s="38">
        <v>0</v>
      </c>
      <c r="I71" s="38">
        <v>0</v>
      </c>
      <c r="J71" s="38">
        <v>0</v>
      </c>
      <c r="K71" s="38">
        <v>0</v>
      </c>
      <c r="L71" s="38">
        <v>0</v>
      </c>
      <c r="M71" t="str">
        <f>'Base data'!$F$32</f>
        <v>Mtonne</v>
      </c>
    </row>
    <row r="72" spans="1:13" x14ac:dyDescent="0.25">
      <c r="A72" t="str">
        <v>AF N2O</v>
      </c>
      <c r="B72" s="38">
        <v>1E-3</v>
      </c>
      <c r="C72" s="38">
        <v>0</v>
      </c>
      <c r="D72" s="38">
        <v>0</v>
      </c>
      <c r="E72" s="38">
        <v>0</v>
      </c>
      <c r="F72" s="38">
        <v>0</v>
      </c>
      <c r="G72" s="38">
        <v>0</v>
      </c>
      <c r="H72" s="38">
        <v>0</v>
      </c>
      <c r="I72" s="38">
        <v>0</v>
      </c>
      <c r="J72" s="38">
        <v>0</v>
      </c>
      <c r="K72" s="38">
        <v>0</v>
      </c>
      <c r="L72" s="38">
        <v>0</v>
      </c>
      <c r="M72" t="str">
        <f>'Base data'!$F$32</f>
        <v>Mtonne</v>
      </c>
    </row>
    <row r="73" spans="1:13" ht="13" thickBot="1" x14ac:dyDescent="0.3">
      <c r="A73" t="str">
        <v>LA N2O</v>
      </c>
      <c r="B73" s="50">
        <v>1E-3</v>
      </c>
      <c r="C73" s="50">
        <v>0</v>
      </c>
      <c r="D73" s="50">
        <v>0</v>
      </c>
      <c r="E73" s="50">
        <v>0</v>
      </c>
      <c r="F73" s="50">
        <v>0</v>
      </c>
      <c r="G73" s="50">
        <v>0</v>
      </c>
      <c r="H73" s="50">
        <v>0</v>
      </c>
      <c r="I73" s="50">
        <v>0</v>
      </c>
      <c r="J73" s="50">
        <v>0</v>
      </c>
      <c r="K73" s="50">
        <v>0</v>
      </c>
      <c r="L73" s="50">
        <v>0</v>
      </c>
      <c r="M73" t="str">
        <f>'Base data'!$F$32</f>
        <v>Mtonne</v>
      </c>
    </row>
    <row r="74" spans="1:13" s="2" customFormat="1" ht="13.5" thickTop="1" x14ac:dyDescent="0.3">
      <c r="A74" s="2" t="str">
        <f>"Total "&amp;'Base data'!$D$11</f>
        <v>Total N2O</v>
      </c>
      <c r="B74" s="59">
        <f t="shared" ref="B74:L74" si="2">SUM(B66:B73)</f>
        <v>8.0000000000000002E-3</v>
      </c>
      <c r="C74" s="59">
        <f t="shared" si="2"/>
        <v>0</v>
      </c>
      <c r="D74" s="59">
        <f t="shared" si="2"/>
        <v>0</v>
      </c>
      <c r="E74" s="59">
        <f t="shared" si="2"/>
        <v>0</v>
      </c>
      <c r="F74" s="59">
        <f t="shared" si="2"/>
        <v>0</v>
      </c>
      <c r="G74" s="59">
        <f t="shared" si="2"/>
        <v>0</v>
      </c>
      <c r="H74" s="59">
        <f t="shared" si="2"/>
        <v>0</v>
      </c>
      <c r="I74" s="59">
        <f t="shared" si="2"/>
        <v>0</v>
      </c>
      <c r="J74" s="59">
        <f t="shared" si="2"/>
        <v>0</v>
      </c>
      <c r="K74" s="59">
        <f t="shared" si="2"/>
        <v>0</v>
      </c>
      <c r="L74" s="59">
        <f t="shared" si="2"/>
        <v>0</v>
      </c>
      <c r="M74" s="2" t="str">
        <f>'Base data'!$F$32</f>
        <v>Mtonne</v>
      </c>
    </row>
    <row r="97" spans="1:13" x14ac:dyDescent="0.25">
      <c r="A97" t="str">
        <f t="array" ref="A97:A104">R_CODE&amp;" "&amp;GLIN_NAME</f>
        <v>EU Lin</v>
      </c>
      <c r="B97" s="37">
        <f t="array" ref="B97:B104">E_GLIN_0</f>
        <v>1E-3</v>
      </c>
      <c r="C97" s="37">
        <f t="array" ref="C97:L104">er_glin_b*E_GLIN_0/100</f>
        <v>0</v>
      </c>
      <c r="D97" s="37">
        <v>0</v>
      </c>
      <c r="E97" s="37">
        <v>0</v>
      </c>
      <c r="F97" s="37">
        <v>0</v>
      </c>
      <c r="G97" s="37">
        <v>0</v>
      </c>
      <c r="H97" s="37">
        <v>0</v>
      </c>
      <c r="I97" s="37">
        <v>0</v>
      </c>
      <c r="J97" s="37">
        <v>0</v>
      </c>
      <c r="K97" s="37">
        <v>0</v>
      </c>
      <c r="L97" s="37">
        <v>0</v>
      </c>
      <c r="M97" t="str">
        <f>'Base data'!$F$32</f>
        <v>Mtonne</v>
      </c>
    </row>
    <row r="98" spans="1:13" x14ac:dyDescent="0.25">
      <c r="A98" t="str">
        <v>US Lin</v>
      </c>
      <c r="B98" s="38">
        <v>1E-3</v>
      </c>
      <c r="C98" s="38">
        <v>0</v>
      </c>
      <c r="D98" s="38">
        <v>0</v>
      </c>
      <c r="E98" s="38">
        <v>0</v>
      </c>
      <c r="F98" s="38">
        <v>0</v>
      </c>
      <c r="G98" s="38">
        <v>0</v>
      </c>
      <c r="H98" s="38">
        <v>0</v>
      </c>
      <c r="I98" s="38">
        <v>0</v>
      </c>
      <c r="J98" s="38">
        <v>0</v>
      </c>
      <c r="K98" s="38">
        <v>0</v>
      </c>
      <c r="L98" s="38">
        <v>0</v>
      </c>
      <c r="M98" t="str">
        <f>'Base data'!$F$32</f>
        <v>Mtonne</v>
      </c>
    </row>
    <row r="99" spans="1:13" x14ac:dyDescent="0.25">
      <c r="A99" t="str">
        <v>OT Lin</v>
      </c>
      <c r="B99" s="38">
        <v>1E-3</v>
      </c>
      <c r="C99" s="38">
        <v>0</v>
      </c>
      <c r="D99" s="38">
        <v>0</v>
      </c>
      <c r="E99" s="38">
        <v>0</v>
      </c>
      <c r="F99" s="38">
        <v>0</v>
      </c>
      <c r="G99" s="38">
        <v>0</v>
      </c>
      <c r="H99" s="38">
        <v>0</v>
      </c>
      <c r="I99" s="38">
        <v>0</v>
      </c>
      <c r="J99" s="38">
        <v>0</v>
      </c>
      <c r="K99" s="38">
        <v>0</v>
      </c>
      <c r="L99" s="38">
        <v>0</v>
      </c>
      <c r="M99" t="str">
        <f>'Base data'!$F$32</f>
        <v>Mtonne</v>
      </c>
    </row>
    <row r="100" spans="1:13" x14ac:dyDescent="0.25">
      <c r="A100" t="str">
        <v>EE Lin</v>
      </c>
      <c r="B100" s="38">
        <v>1E-3</v>
      </c>
      <c r="C100" s="38">
        <v>0</v>
      </c>
      <c r="D100" s="38">
        <v>0</v>
      </c>
      <c r="E100" s="38">
        <v>0</v>
      </c>
      <c r="F100" s="38">
        <v>0</v>
      </c>
      <c r="G100" s="38">
        <v>0</v>
      </c>
      <c r="H100" s="38">
        <v>0</v>
      </c>
      <c r="I100" s="38">
        <v>0</v>
      </c>
      <c r="J100" s="38">
        <v>0</v>
      </c>
      <c r="K100" s="38">
        <v>0</v>
      </c>
      <c r="L100" s="38">
        <v>0</v>
      </c>
      <c r="M100" t="str">
        <f>'Base data'!$F$32</f>
        <v>Mtonne</v>
      </c>
    </row>
    <row r="101" spans="1:13" x14ac:dyDescent="0.25">
      <c r="A101" t="str">
        <v>CA Lin</v>
      </c>
      <c r="B101" s="38">
        <v>1E-3</v>
      </c>
      <c r="C101" s="38">
        <v>0</v>
      </c>
      <c r="D101" s="38">
        <v>0</v>
      </c>
      <c r="E101" s="38">
        <v>0</v>
      </c>
      <c r="F101" s="38">
        <v>0</v>
      </c>
      <c r="G101" s="38">
        <v>0</v>
      </c>
      <c r="H101" s="38">
        <v>0</v>
      </c>
      <c r="I101" s="38">
        <v>0</v>
      </c>
      <c r="J101" s="38">
        <v>0</v>
      </c>
      <c r="K101" s="38">
        <v>0</v>
      </c>
      <c r="L101" s="38">
        <v>0</v>
      </c>
      <c r="M101" t="str">
        <f>'Base data'!$F$32</f>
        <v>Mtonne</v>
      </c>
    </row>
    <row r="102" spans="1:13" x14ac:dyDescent="0.25">
      <c r="A102" t="str">
        <v>IA Lin</v>
      </c>
      <c r="B102" s="38">
        <v>1E-3</v>
      </c>
      <c r="C102" s="38">
        <v>0</v>
      </c>
      <c r="D102" s="38">
        <v>0</v>
      </c>
      <c r="E102" s="38">
        <v>0</v>
      </c>
      <c r="F102" s="38">
        <v>0</v>
      </c>
      <c r="G102" s="38">
        <v>0</v>
      </c>
      <c r="H102" s="38">
        <v>0</v>
      </c>
      <c r="I102" s="38">
        <v>0</v>
      </c>
      <c r="J102" s="38">
        <v>0</v>
      </c>
      <c r="K102" s="38">
        <v>0</v>
      </c>
      <c r="L102" s="38">
        <v>0</v>
      </c>
      <c r="M102" t="str">
        <f>'Base data'!$F$32</f>
        <v>Mtonne</v>
      </c>
    </row>
    <row r="103" spans="1:13" x14ac:dyDescent="0.25">
      <c r="A103" t="str">
        <v>AF Lin</v>
      </c>
      <c r="B103" s="38">
        <v>1E-3</v>
      </c>
      <c r="C103" s="38">
        <v>0</v>
      </c>
      <c r="D103" s="38">
        <v>0</v>
      </c>
      <c r="E103" s="38">
        <v>0</v>
      </c>
      <c r="F103" s="38">
        <v>0</v>
      </c>
      <c r="G103" s="38">
        <v>0</v>
      </c>
      <c r="H103" s="38">
        <v>0</v>
      </c>
      <c r="I103" s="38">
        <v>0</v>
      </c>
      <c r="J103" s="38">
        <v>0</v>
      </c>
      <c r="K103" s="38">
        <v>0</v>
      </c>
      <c r="L103" s="38">
        <v>0</v>
      </c>
      <c r="M103" t="str">
        <f>'Base data'!$F$32</f>
        <v>Mtonne</v>
      </c>
    </row>
    <row r="104" spans="1:13" ht="13" thickBot="1" x14ac:dyDescent="0.3">
      <c r="A104" t="str">
        <v>LA Lin</v>
      </c>
      <c r="B104" s="50">
        <v>1E-3</v>
      </c>
      <c r="C104" s="50">
        <v>0</v>
      </c>
      <c r="D104" s="50">
        <v>0</v>
      </c>
      <c r="E104" s="50">
        <v>0</v>
      </c>
      <c r="F104" s="50">
        <v>0</v>
      </c>
      <c r="G104" s="50">
        <v>0</v>
      </c>
      <c r="H104" s="50">
        <v>0</v>
      </c>
      <c r="I104" s="50">
        <v>0</v>
      </c>
      <c r="J104" s="50">
        <v>0</v>
      </c>
      <c r="K104" s="50">
        <v>0</v>
      </c>
      <c r="L104" s="50">
        <v>0</v>
      </c>
      <c r="M104" t="str">
        <f>'Base data'!$F$32</f>
        <v>Mtonne</v>
      </c>
    </row>
    <row r="105" spans="1:13" s="2" customFormat="1" ht="13.5" thickTop="1" x14ac:dyDescent="0.3">
      <c r="A105" s="2" t="str">
        <f>"Total "&amp;'Base data'!$E$11</f>
        <v>Total Lin</v>
      </c>
      <c r="B105" s="59">
        <f t="shared" ref="B105:L105" si="3">SUM(B97:B104)</f>
        <v>8.0000000000000002E-3</v>
      </c>
      <c r="C105" s="59">
        <f t="shared" si="3"/>
        <v>0</v>
      </c>
      <c r="D105" s="59">
        <f t="shared" si="3"/>
        <v>0</v>
      </c>
      <c r="E105" s="59">
        <f t="shared" si="3"/>
        <v>0</v>
      </c>
      <c r="F105" s="59">
        <f t="shared" si="3"/>
        <v>0</v>
      </c>
      <c r="G105" s="59">
        <f t="shared" si="3"/>
        <v>0</v>
      </c>
      <c r="H105" s="59">
        <f t="shared" si="3"/>
        <v>0</v>
      </c>
      <c r="I105" s="59">
        <f t="shared" si="3"/>
        <v>0</v>
      </c>
      <c r="J105" s="59">
        <f t="shared" si="3"/>
        <v>0</v>
      </c>
      <c r="K105" s="59">
        <f t="shared" si="3"/>
        <v>0</v>
      </c>
      <c r="L105" s="59">
        <f t="shared" si="3"/>
        <v>0</v>
      </c>
      <c r="M105" s="2" t="str">
        <f>'Base data'!$F$32</f>
        <v>Mtonne</v>
      </c>
    </row>
  </sheetData>
  <pageMargins left="0.75" right="0.75" top="1" bottom="1" header="0.5" footer="0.5"/>
  <pageSetup orientation="portrait" r:id="rId1"/>
  <headerFooter alignWithMargins="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105"/>
  <sheetViews>
    <sheetView workbookViewId="0"/>
  </sheetViews>
  <sheetFormatPr defaultRowHeight="12.5" x14ac:dyDescent="0.25"/>
  <cols>
    <col min="1" max="1" width="9.81640625" bestFit="1" customWidth="1"/>
    <col min="2" max="12" width="9" bestFit="1" customWidth="1"/>
    <col min="13" max="13" width="8.54296875" bestFit="1" customWidth="1"/>
  </cols>
  <sheetData>
    <row r="1" spans="1:13" ht="13" x14ac:dyDescent="0.3">
      <c r="A1" s="2" t="str">
        <f>MODEL_NAME</f>
        <v>PAGE09</v>
      </c>
      <c r="B1" t="s">
        <v>44</v>
      </c>
      <c r="C1" s="71">
        <f>VERSION</f>
        <v>1.7</v>
      </c>
    </row>
    <row r="3" spans="1:13" s="2" customFormat="1" ht="13" x14ac:dyDescent="0.3">
      <c r="A3" s="2" t="s">
        <v>142</v>
      </c>
      <c r="B3" s="2">
        <f>Y_0</f>
        <v>2000</v>
      </c>
      <c r="C3" s="2">
        <f t="array" ref="C3:L3">Y</f>
        <v>2010</v>
      </c>
      <c r="D3" s="2">
        <v>2020</v>
      </c>
      <c r="E3" s="2">
        <v>2030</v>
      </c>
      <c r="F3" s="2">
        <v>2040</v>
      </c>
      <c r="G3" s="2">
        <v>2050</v>
      </c>
      <c r="H3" s="2">
        <v>2060</v>
      </c>
      <c r="I3" s="2">
        <v>2080</v>
      </c>
      <c r="J3" s="2">
        <v>2100</v>
      </c>
      <c r="K3" s="2">
        <v>2200</v>
      </c>
      <c r="L3" s="2">
        <v>2300</v>
      </c>
    </row>
    <row r="4" spans="1:13" x14ac:dyDescent="0.25">
      <c r="A4" t="str">
        <f t="array" ref="A4:A11">R_CODE&amp;" "&amp;'Base data'!$B$11</f>
        <v>EU CO2</v>
      </c>
      <c r="B4" s="93">
        <f>'Emissions A'!B4-'Emissions B'!B4</f>
        <v>0</v>
      </c>
      <c r="C4" s="93">
        <f>'Emissions A'!C4-'Emissions B'!C4</f>
        <v>0</v>
      </c>
      <c r="D4" s="93">
        <f>'Emissions A'!D4-'Emissions B'!D4</f>
        <v>0</v>
      </c>
      <c r="E4" s="93">
        <f>'Emissions A'!E4-'Emissions B'!E4</f>
        <v>0</v>
      </c>
      <c r="F4" s="93">
        <f>'Emissions A'!F4-'Emissions B'!F4</f>
        <v>0</v>
      </c>
      <c r="G4" s="93">
        <f>'Emissions A'!G4-'Emissions B'!G4</f>
        <v>0</v>
      </c>
      <c r="H4" s="93">
        <f>'Emissions A'!H4-'Emissions B'!H4</f>
        <v>0</v>
      </c>
      <c r="I4" s="93">
        <f>'Emissions A'!I4-'Emissions B'!I4</f>
        <v>0</v>
      </c>
      <c r="J4" s="93">
        <f>'Emissions A'!J4-'Emissions B'!J4</f>
        <v>0</v>
      </c>
      <c r="K4" s="93">
        <f>'Emissions A'!K4-'Emissions B'!K4</f>
        <v>0</v>
      </c>
      <c r="L4" s="93">
        <f>'Emissions A'!L4-'Emissions B'!L4</f>
        <v>0</v>
      </c>
      <c r="M4" t="str">
        <f>'Base data'!$F$32</f>
        <v>Mtonne</v>
      </c>
    </row>
    <row r="5" spans="1:13" x14ac:dyDescent="0.25">
      <c r="A5" t="str">
        <v>US CO2</v>
      </c>
      <c r="B5" s="94">
        <f>'Emissions A'!B5-'Emissions B'!B5</f>
        <v>0</v>
      </c>
      <c r="C5" s="94">
        <f>'Emissions A'!C5-'Emissions B'!C5</f>
        <v>0</v>
      </c>
      <c r="D5" s="94">
        <f>'Emissions A'!D5-'Emissions B'!D5</f>
        <v>0</v>
      </c>
      <c r="E5" s="94">
        <f>'Emissions A'!E5-'Emissions B'!E5</f>
        <v>0</v>
      </c>
      <c r="F5" s="94">
        <f>'Emissions A'!F5-'Emissions B'!F5</f>
        <v>0</v>
      </c>
      <c r="G5" s="94">
        <f>'Emissions A'!G5-'Emissions B'!G5</f>
        <v>0</v>
      </c>
      <c r="H5" s="94">
        <f>'Emissions A'!H5-'Emissions B'!H5</f>
        <v>0</v>
      </c>
      <c r="I5" s="94">
        <f>'Emissions A'!I5-'Emissions B'!I5</f>
        <v>0</v>
      </c>
      <c r="J5" s="94">
        <f>'Emissions A'!J5-'Emissions B'!J5</f>
        <v>0</v>
      </c>
      <c r="K5" s="94">
        <f>'Emissions A'!K5-'Emissions B'!K5</f>
        <v>0</v>
      </c>
      <c r="L5" s="94">
        <f>'Emissions A'!L5-'Emissions B'!L5</f>
        <v>0</v>
      </c>
      <c r="M5" t="str">
        <f>'Base data'!$F$32</f>
        <v>Mtonne</v>
      </c>
    </row>
    <row r="6" spans="1:13" x14ac:dyDescent="0.25">
      <c r="A6" t="str">
        <v>OT CO2</v>
      </c>
      <c r="B6" s="94">
        <f>'Emissions A'!B6-'Emissions B'!B6</f>
        <v>0</v>
      </c>
      <c r="C6" s="94">
        <f>'Emissions A'!C6-'Emissions B'!C6</f>
        <v>0</v>
      </c>
      <c r="D6" s="94">
        <f>'Emissions A'!D6-'Emissions B'!D6</f>
        <v>0</v>
      </c>
      <c r="E6" s="94">
        <f>'Emissions A'!E6-'Emissions B'!E6</f>
        <v>0</v>
      </c>
      <c r="F6" s="94">
        <f>'Emissions A'!F6-'Emissions B'!F6</f>
        <v>0</v>
      </c>
      <c r="G6" s="94">
        <f>'Emissions A'!G6-'Emissions B'!G6</f>
        <v>0</v>
      </c>
      <c r="H6" s="94">
        <f>'Emissions A'!H6-'Emissions B'!H6</f>
        <v>0</v>
      </c>
      <c r="I6" s="94">
        <f>'Emissions A'!I6-'Emissions B'!I6</f>
        <v>0</v>
      </c>
      <c r="J6" s="94">
        <f>'Emissions A'!J6-'Emissions B'!J6</f>
        <v>0</v>
      </c>
      <c r="K6" s="94">
        <f>'Emissions A'!K6-'Emissions B'!K6</f>
        <v>0</v>
      </c>
      <c r="L6" s="94">
        <f>'Emissions A'!L6-'Emissions B'!L6</f>
        <v>0</v>
      </c>
      <c r="M6" t="str">
        <f>'Base data'!$F$32</f>
        <v>Mtonne</v>
      </c>
    </row>
    <row r="7" spans="1:13" x14ac:dyDescent="0.25">
      <c r="A7" t="str">
        <v>EE CO2</v>
      </c>
      <c r="B7" s="94">
        <f>'Emissions A'!B7-'Emissions B'!B7</f>
        <v>0</v>
      </c>
      <c r="C7" s="94">
        <f>'Emissions A'!C7-'Emissions B'!C7</f>
        <v>0</v>
      </c>
      <c r="D7" s="94">
        <f>'Emissions A'!D7-'Emissions B'!D7</f>
        <v>0</v>
      </c>
      <c r="E7" s="94">
        <f>'Emissions A'!E7-'Emissions B'!E7</f>
        <v>0</v>
      </c>
      <c r="F7" s="94">
        <f>'Emissions A'!F7-'Emissions B'!F7</f>
        <v>0</v>
      </c>
      <c r="G7" s="94">
        <f>'Emissions A'!G7-'Emissions B'!G7</f>
        <v>0</v>
      </c>
      <c r="H7" s="94">
        <f>'Emissions A'!H7-'Emissions B'!H7</f>
        <v>0</v>
      </c>
      <c r="I7" s="94">
        <f>'Emissions A'!I7-'Emissions B'!I7</f>
        <v>0</v>
      </c>
      <c r="J7" s="94">
        <f>'Emissions A'!J7-'Emissions B'!J7</f>
        <v>0</v>
      </c>
      <c r="K7" s="94">
        <f>'Emissions A'!K7-'Emissions B'!K7</f>
        <v>0</v>
      </c>
      <c r="L7" s="94">
        <f>'Emissions A'!L7-'Emissions B'!L7</f>
        <v>0</v>
      </c>
      <c r="M7" t="str">
        <f>'Base data'!$F$32</f>
        <v>Mtonne</v>
      </c>
    </row>
    <row r="8" spans="1:13" x14ac:dyDescent="0.25">
      <c r="A8" t="str">
        <v>CA CO2</v>
      </c>
      <c r="B8" s="94">
        <f>'Emissions A'!B8-'Emissions B'!B8</f>
        <v>0</v>
      </c>
      <c r="C8" s="94">
        <f>'Emissions A'!C8-'Emissions B'!C8</f>
        <v>0</v>
      </c>
      <c r="D8" s="94">
        <f>'Emissions A'!D8-'Emissions B'!D8</f>
        <v>0</v>
      </c>
      <c r="E8" s="94">
        <f>'Emissions A'!E8-'Emissions B'!E8</f>
        <v>0</v>
      </c>
      <c r="F8" s="94">
        <f>'Emissions A'!F8-'Emissions B'!F8</f>
        <v>0</v>
      </c>
      <c r="G8" s="94">
        <f>'Emissions A'!G8-'Emissions B'!G8</f>
        <v>0</v>
      </c>
      <c r="H8" s="94">
        <f>'Emissions A'!H8-'Emissions B'!H8</f>
        <v>0</v>
      </c>
      <c r="I8" s="94">
        <f>'Emissions A'!I8-'Emissions B'!I8</f>
        <v>0</v>
      </c>
      <c r="J8" s="94">
        <f>'Emissions A'!J8-'Emissions B'!J8</f>
        <v>0</v>
      </c>
      <c r="K8" s="94">
        <f>'Emissions A'!K8-'Emissions B'!K8</f>
        <v>0</v>
      </c>
      <c r="L8" s="94">
        <f>'Emissions A'!L8-'Emissions B'!L8</f>
        <v>0</v>
      </c>
      <c r="M8" t="str">
        <f>'Base data'!$F$32</f>
        <v>Mtonne</v>
      </c>
    </row>
    <row r="9" spans="1:13" x14ac:dyDescent="0.25">
      <c r="A9" t="str">
        <v>IA CO2</v>
      </c>
      <c r="B9" s="94">
        <f>'Emissions A'!B9-'Emissions B'!B9</f>
        <v>0</v>
      </c>
      <c r="C9" s="94">
        <f>'Emissions A'!C9-'Emissions B'!C9</f>
        <v>0</v>
      </c>
      <c r="D9" s="94">
        <f>'Emissions A'!D9-'Emissions B'!D9</f>
        <v>0</v>
      </c>
      <c r="E9" s="94">
        <f>'Emissions A'!E9-'Emissions B'!E9</f>
        <v>0</v>
      </c>
      <c r="F9" s="94">
        <f>'Emissions A'!F9-'Emissions B'!F9</f>
        <v>0</v>
      </c>
      <c r="G9" s="94">
        <f>'Emissions A'!G9-'Emissions B'!G9</f>
        <v>0</v>
      </c>
      <c r="H9" s="94">
        <f>'Emissions A'!H9-'Emissions B'!H9</f>
        <v>0</v>
      </c>
      <c r="I9" s="94">
        <f>'Emissions A'!I9-'Emissions B'!I9</f>
        <v>0</v>
      </c>
      <c r="J9" s="94">
        <f>'Emissions A'!J9-'Emissions B'!J9</f>
        <v>0</v>
      </c>
      <c r="K9" s="94">
        <f>'Emissions A'!K9-'Emissions B'!K9</f>
        <v>0</v>
      </c>
      <c r="L9" s="94">
        <f>'Emissions A'!L9-'Emissions B'!L9</f>
        <v>0</v>
      </c>
      <c r="M9" t="str">
        <f>'Base data'!$F$32</f>
        <v>Mtonne</v>
      </c>
    </row>
    <row r="10" spans="1:13" x14ac:dyDescent="0.25">
      <c r="A10" t="str">
        <v>AF CO2</v>
      </c>
      <c r="B10" s="94">
        <f>'Emissions A'!B10-'Emissions B'!B10</f>
        <v>0</v>
      </c>
      <c r="C10" s="94">
        <f>'Emissions A'!C10-'Emissions B'!C10</f>
        <v>0</v>
      </c>
      <c r="D10" s="94">
        <f>'Emissions A'!D10-'Emissions B'!D10</f>
        <v>0</v>
      </c>
      <c r="E10" s="94">
        <f>'Emissions A'!E10-'Emissions B'!E10</f>
        <v>0</v>
      </c>
      <c r="F10" s="94">
        <f>'Emissions A'!F10-'Emissions B'!F10</f>
        <v>0</v>
      </c>
      <c r="G10" s="94">
        <f>'Emissions A'!G10-'Emissions B'!G10</f>
        <v>0</v>
      </c>
      <c r="H10" s="94">
        <f>'Emissions A'!H10-'Emissions B'!H10</f>
        <v>0</v>
      </c>
      <c r="I10" s="94">
        <f>'Emissions A'!I10-'Emissions B'!I10</f>
        <v>0</v>
      </c>
      <c r="J10" s="94">
        <f>'Emissions A'!J10-'Emissions B'!J10</f>
        <v>0</v>
      </c>
      <c r="K10" s="94">
        <f>'Emissions A'!K10-'Emissions B'!K10</f>
        <v>0</v>
      </c>
      <c r="L10" s="94">
        <f>'Emissions A'!L10-'Emissions B'!L10</f>
        <v>0</v>
      </c>
      <c r="M10" t="str">
        <f>'Base data'!$F$32</f>
        <v>Mtonne</v>
      </c>
    </row>
    <row r="11" spans="1:13" ht="13" thickBot="1" x14ac:dyDescent="0.3">
      <c r="A11" t="str">
        <v>LA CO2</v>
      </c>
      <c r="B11" s="95">
        <f>'Emissions A'!B11-'Emissions B'!B11</f>
        <v>0</v>
      </c>
      <c r="C11" s="95">
        <f>'Emissions A'!C11-'Emissions B'!C11</f>
        <v>0</v>
      </c>
      <c r="D11" s="95">
        <f>'Emissions A'!D11-'Emissions B'!D11</f>
        <v>0</v>
      </c>
      <c r="E11" s="95">
        <f>'Emissions A'!E11-'Emissions B'!E11</f>
        <v>0</v>
      </c>
      <c r="F11" s="95">
        <f>'Emissions A'!F11-'Emissions B'!F11</f>
        <v>0</v>
      </c>
      <c r="G11" s="95">
        <f>'Emissions A'!G11-'Emissions B'!G11</f>
        <v>0</v>
      </c>
      <c r="H11" s="95">
        <f>'Emissions A'!H11-'Emissions B'!H11</f>
        <v>0</v>
      </c>
      <c r="I11" s="95">
        <f>'Emissions A'!I11-'Emissions B'!I11</f>
        <v>0</v>
      </c>
      <c r="J11" s="95">
        <f>'Emissions A'!J11-'Emissions B'!J11</f>
        <v>0</v>
      </c>
      <c r="K11" s="95">
        <f>'Emissions A'!K11-'Emissions B'!K11</f>
        <v>0</v>
      </c>
      <c r="L11" s="95">
        <f>'Emissions A'!L11-'Emissions B'!L11</f>
        <v>0</v>
      </c>
      <c r="M11" t="str">
        <f>'Base data'!$F$32</f>
        <v>Mtonne</v>
      </c>
    </row>
    <row r="12" spans="1:13" s="2" customFormat="1" ht="13.5" thickTop="1" x14ac:dyDescent="0.3">
      <c r="A12" s="2" t="str">
        <f>"Total "&amp;'Base data'!B11</f>
        <v>Total CO2</v>
      </c>
      <c r="B12" s="98">
        <f>SUM(B4:B11)</f>
        <v>0</v>
      </c>
      <c r="C12" s="98">
        <f>SUM(C4:C11)</f>
        <v>0</v>
      </c>
      <c r="D12" s="98">
        <f t="shared" ref="D12:L12" si="0">SUM(D4:D11)</f>
        <v>0</v>
      </c>
      <c r="E12" s="98">
        <f t="shared" si="0"/>
        <v>0</v>
      </c>
      <c r="F12" s="98">
        <f t="shared" si="0"/>
        <v>0</v>
      </c>
      <c r="G12" s="98">
        <f t="shared" si="0"/>
        <v>0</v>
      </c>
      <c r="H12" s="98">
        <f t="shared" si="0"/>
        <v>0</v>
      </c>
      <c r="I12" s="98">
        <f t="shared" si="0"/>
        <v>0</v>
      </c>
      <c r="J12" s="98">
        <f t="shared" si="0"/>
        <v>0</v>
      </c>
      <c r="K12" s="98">
        <f t="shared" si="0"/>
        <v>0</v>
      </c>
      <c r="L12" s="98">
        <f t="shared" si="0"/>
        <v>0</v>
      </c>
      <c r="M12" s="2" t="str">
        <f>'Base data'!$F$32</f>
        <v>Mtonne</v>
      </c>
    </row>
    <row r="13" spans="1:13" s="57" customFormat="1" ht="13" x14ac:dyDescent="0.3">
      <c r="B13" s="63"/>
      <c r="C13" s="63"/>
      <c r="D13" s="63"/>
      <c r="E13" s="63"/>
      <c r="F13" s="63"/>
      <c r="G13" s="63"/>
      <c r="H13" s="63"/>
      <c r="I13" s="63"/>
      <c r="J13" s="63"/>
      <c r="K13" s="63"/>
      <c r="L13" s="63"/>
    </row>
    <row r="14" spans="1:13" s="57" customFormat="1" ht="13" x14ac:dyDescent="0.3">
      <c r="B14" s="63"/>
      <c r="C14" s="63"/>
      <c r="D14" s="63"/>
      <c r="E14" s="63"/>
      <c r="F14" s="63"/>
      <c r="G14" s="63"/>
      <c r="H14" s="63"/>
      <c r="I14" s="63"/>
      <c r="J14" s="63"/>
      <c r="K14" s="63"/>
      <c r="L14" s="63"/>
    </row>
    <row r="15" spans="1:13" s="57" customFormat="1" ht="13" x14ac:dyDescent="0.3">
      <c r="B15" s="63"/>
      <c r="C15" s="63"/>
      <c r="D15" s="63"/>
      <c r="E15" s="63"/>
      <c r="F15" s="63"/>
      <c r="G15" s="63"/>
      <c r="H15" s="63"/>
      <c r="I15" s="63"/>
      <c r="J15" s="63"/>
      <c r="K15" s="63"/>
      <c r="L15" s="63"/>
    </row>
    <row r="16" spans="1:13" s="57" customFormat="1" ht="13" x14ac:dyDescent="0.3">
      <c r="B16" s="63"/>
      <c r="C16" s="63"/>
      <c r="D16" s="63"/>
      <c r="E16" s="63"/>
      <c r="F16" s="63"/>
      <c r="G16" s="63"/>
      <c r="H16" s="63"/>
      <c r="I16" s="63"/>
      <c r="J16" s="63"/>
      <c r="K16" s="63"/>
      <c r="L16" s="63"/>
    </row>
    <row r="17" spans="2:12" s="57" customFormat="1" ht="13" x14ac:dyDescent="0.3">
      <c r="B17" s="63"/>
      <c r="C17" s="63"/>
      <c r="D17" s="63"/>
      <c r="E17" s="63"/>
      <c r="F17" s="63"/>
      <c r="G17" s="63"/>
      <c r="H17" s="63"/>
      <c r="I17" s="63"/>
      <c r="J17" s="63"/>
      <c r="K17" s="63"/>
      <c r="L17" s="63"/>
    </row>
    <row r="18" spans="2:12" s="57" customFormat="1" ht="13" x14ac:dyDescent="0.3">
      <c r="B18" s="63"/>
      <c r="C18" s="63"/>
      <c r="D18" s="63"/>
      <c r="E18" s="63"/>
      <c r="F18" s="63"/>
      <c r="G18" s="63"/>
      <c r="H18" s="63"/>
      <c r="I18" s="63"/>
      <c r="J18" s="63"/>
      <c r="K18" s="63"/>
      <c r="L18" s="63"/>
    </row>
    <row r="19" spans="2:12" s="57" customFormat="1" ht="13" x14ac:dyDescent="0.3">
      <c r="B19" s="63"/>
      <c r="C19" s="63"/>
      <c r="D19" s="63"/>
      <c r="E19" s="63"/>
      <c r="F19" s="63"/>
      <c r="G19" s="63"/>
      <c r="H19" s="63"/>
      <c r="I19" s="63"/>
      <c r="J19" s="63"/>
      <c r="K19" s="63"/>
      <c r="L19" s="63"/>
    </row>
    <row r="20" spans="2:12" s="57" customFormat="1" ht="13" x14ac:dyDescent="0.3">
      <c r="B20" s="63"/>
      <c r="C20" s="63"/>
      <c r="D20" s="63"/>
      <c r="E20" s="63"/>
      <c r="F20" s="63"/>
      <c r="G20" s="63"/>
      <c r="H20" s="63"/>
      <c r="I20" s="63"/>
      <c r="J20" s="63"/>
      <c r="K20" s="63"/>
      <c r="L20" s="63"/>
    </row>
    <row r="21" spans="2:12" s="57" customFormat="1" ht="13" x14ac:dyDescent="0.3">
      <c r="B21" s="63"/>
      <c r="C21" s="63"/>
      <c r="D21" s="63"/>
      <c r="E21" s="63"/>
      <c r="F21" s="63"/>
      <c r="G21" s="63"/>
      <c r="H21" s="63"/>
      <c r="I21" s="63"/>
      <c r="J21" s="63"/>
      <c r="K21" s="63"/>
      <c r="L21" s="63"/>
    </row>
    <row r="22" spans="2:12" s="57" customFormat="1" ht="13" x14ac:dyDescent="0.3">
      <c r="B22" s="63"/>
      <c r="C22" s="63"/>
      <c r="D22" s="63"/>
      <c r="E22" s="63"/>
      <c r="F22" s="63"/>
      <c r="G22" s="63"/>
      <c r="H22" s="63"/>
      <c r="I22" s="63"/>
      <c r="J22" s="63"/>
      <c r="K22" s="63"/>
      <c r="L22" s="63"/>
    </row>
    <row r="23" spans="2:12" s="57" customFormat="1" ht="13" x14ac:dyDescent="0.3">
      <c r="B23" s="63"/>
      <c r="C23" s="63"/>
      <c r="D23" s="63"/>
      <c r="E23" s="63"/>
      <c r="F23" s="63"/>
      <c r="G23" s="63"/>
      <c r="H23" s="63"/>
      <c r="I23" s="63"/>
      <c r="J23" s="63"/>
      <c r="K23" s="63"/>
      <c r="L23" s="63"/>
    </row>
    <row r="24" spans="2:12" s="57" customFormat="1" ht="13" x14ac:dyDescent="0.3">
      <c r="B24" s="63"/>
      <c r="C24" s="63"/>
      <c r="D24" s="63"/>
      <c r="E24" s="63"/>
      <c r="F24" s="63"/>
      <c r="G24" s="63"/>
      <c r="H24" s="63"/>
      <c r="I24" s="63"/>
      <c r="J24" s="63"/>
      <c r="K24" s="63"/>
      <c r="L24" s="63"/>
    </row>
    <row r="25" spans="2:12" s="57" customFormat="1" ht="13" x14ac:dyDescent="0.3">
      <c r="B25" s="63"/>
      <c r="C25" s="63"/>
      <c r="D25" s="63"/>
      <c r="E25" s="63"/>
      <c r="F25" s="63"/>
      <c r="G25" s="63"/>
      <c r="H25" s="63"/>
      <c r="I25" s="63"/>
      <c r="J25" s="63"/>
      <c r="K25" s="63"/>
      <c r="L25" s="63"/>
    </row>
    <row r="26" spans="2:12" s="57" customFormat="1" ht="13" x14ac:dyDescent="0.3">
      <c r="B26" s="63"/>
      <c r="C26" s="63"/>
      <c r="D26" s="63"/>
      <c r="E26" s="63"/>
      <c r="F26" s="63"/>
      <c r="G26" s="63"/>
      <c r="H26" s="63"/>
      <c r="I26" s="63"/>
      <c r="J26" s="63"/>
      <c r="K26" s="63"/>
      <c r="L26" s="63"/>
    </row>
    <row r="27" spans="2:12" s="57" customFormat="1" ht="13" x14ac:dyDescent="0.3">
      <c r="B27" s="63"/>
      <c r="C27" s="63"/>
      <c r="D27" s="63"/>
      <c r="E27" s="63"/>
      <c r="F27" s="63"/>
      <c r="G27" s="63"/>
      <c r="H27" s="63"/>
      <c r="I27" s="63"/>
      <c r="J27" s="63"/>
      <c r="K27" s="63"/>
      <c r="L27" s="63"/>
    </row>
    <row r="28" spans="2:12" s="57" customFormat="1" ht="13" x14ac:dyDescent="0.3">
      <c r="B28" s="63"/>
      <c r="C28" s="63"/>
      <c r="D28" s="63"/>
      <c r="E28" s="63"/>
      <c r="F28" s="63"/>
      <c r="G28" s="63"/>
      <c r="H28" s="63"/>
      <c r="I28" s="63"/>
      <c r="J28" s="63"/>
      <c r="K28" s="63"/>
      <c r="L28" s="63"/>
    </row>
    <row r="29" spans="2:12" s="57" customFormat="1" ht="13" x14ac:dyDescent="0.3">
      <c r="B29" s="63"/>
      <c r="C29" s="63"/>
      <c r="D29" s="63"/>
      <c r="E29" s="63"/>
      <c r="F29" s="63"/>
      <c r="G29" s="63"/>
      <c r="H29" s="63"/>
      <c r="I29" s="63"/>
      <c r="J29" s="63"/>
      <c r="K29" s="63"/>
      <c r="L29" s="63"/>
    </row>
    <row r="30" spans="2:12" s="57" customFormat="1" ht="13" x14ac:dyDescent="0.3">
      <c r="B30" s="63"/>
      <c r="C30" s="63"/>
      <c r="D30" s="63"/>
      <c r="E30" s="63"/>
      <c r="F30" s="63"/>
      <c r="G30" s="63"/>
      <c r="H30" s="63"/>
      <c r="I30" s="63"/>
      <c r="J30" s="63"/>
      <c r="K30" s="63"/>
      <c r="L30" s="63"/>
    </row>
    <row r="31" spans="2:12" s="57" customFormat="1" ht="13" x14ac:dyDescent="0.3">
      <c r="B31" s="63"/>
      <c r="C31" s="63"/>
      <c r="D31" s="63"/>
      <c r="E31" s="63"/>
      <c r="F31" s="63"/>
      <c r="G31" s="63"/>
      <c r="H31" s="63"/>
      <c r="I31" s="63"/>
      <c r="J31" s="63"/>
      <c r="K31" s="63"/>
      <c r="L31" s="63"/>
    </row>
    <row r="32" spans="2:12" s="57" customFormat="1" ht="13" x14ac:dyDescent="0.3">
      <c r="B32" s="63"/>
      <c r="C32" s="63"/>
      <c r="D32" s="63"/>
      <c r="E32" s="63"/>
      <c r="F32" s="63"/>
      <c r="G32" s="63"/>
      <c r="H32" s="63"/>
      <c r="I32" s="63"/>
      <c r="J32" s="63"/>
      <c r="K32" s="63"/>
      <c r="L32" s="63"/>
    </row>
    <row r="35" spans="1:13" x14ac:dyDescent="0.25">
      <c r="A35" t="str">
        <f t="array" ref="A35:A42">R_CODE&amp;" "&amp;'Base data'!$C$11</f>
        <v>EU CH4</v>
      </c>
      <c r="B35" s="93">
        <f>'Emissions A'!B35-'Emissions B'!B35</f>
        <v>0</v>
      </c>
      <c r="C35" s="93">
        <f>'Emissions A'!C35-'Emissions B'!C35</f>
        <v>0</v>
      </c>
      <c r="D35" s="93">
        <f>'Emissions A'!D35-'Emissions B'!D35</f>
        <v>0</v>
      </c>
      <c r="E35" s="93">
        <f>'Emissions A'!E35-'Emissions B'!E35</f>
        <v>0</v>
      </c>
      <c r="F35" s="93">
        <f>'Emissions A'!F35-'Emissions B'!F35</f>
        <v>0</v>
      </c>
      <c r="G35" s="93">
        <f>'Emissions A'!G35-'Emissions B'!G35</f>
        <v>0</v>
      </c>
      <c r="H35" s="93">
        <f>'Emissions A'!H35-'Emissions B'!H35</f>
        <v>0</v>
      </c>
      <c r="I35" s="93">
        <f>'Emissions A'!I35-'Emissions B'!I35</f>
        <v>0</v>
      </c>
      <c r="J35" s="93">
        <f>'Emissions A'!J35-'Emissions B'!J35</f>
        <v>0</v>
      </c>
      <c r="K35" s="93">
        <f>'Emissions A'!K35-'Emissions B'!K35</f>
        <v>0</v>
      </c>
      <c r="L35" s="93">
        <f>'Emissions A'!L35-'Emissions B'!L35</f>
        <v>0</v>
      </c>
      <c r="M35" t="str">
        <f>'Base data'!$F$32</f>
        <v>Mtonne</v>
      </c>
    </row>
    <row r="36" spans="1:13" x14ac:dyDescent="0.25">
      <c r="A36" t="str">
        <v>US CH4</v>
      </c>
      <c r="B36" s="94">
        <f>'Emissions A'!B36-'Emissions B'!B36</f>
        <v>0</v>
      </c>
      <c r="C36" s="94">
        <f>'Emissions A'!C36-'Emissions B'!C36</f>
        <v>0</v>
      </c>
      <c r="D36" s="94">
        <f>'Emissions A'!D36-'Emissions B'!D36</f>
        <v>0</v>
      </c>
      <c r="E36" s="94">
        <f>'Emissions A'!E36-'Emissions B'!E36</f>
        <v>0</v>
      </c>
      <c r="F36" s="94">
        <f>'Emissions A'!F36-'Emissions B'!F36</f>
        <v>0</v>
      </c>
      <c r="G36" s="94">
        <f>'Emissions A'!G36-'Emissions B'!G36</f>
        <v>0</v>
      </c>
      <c r="H36" s="94">
        <f>'Emissions A'!H36-'Emissions B'!H36</f>
        <v>0</v>
      </c>
      <c r="I36" s="94">
        <f>'Emissions A'!I36-'Emissions B'!I36</f>
        <v>0</v>
      </c>
      <c r="J36" s="94">
        <f>'Emissions A'!J36-'Emissions B'!J36</f>
        <v>0</v>
      </c>
      <c r="K36" s="94">
        <f>'Emissions A'!K36-'Emissions B'!K36</f>
        <v>0</v>
      </c>
      <c r="L36" s="94">
        <f>'Emissions A'!L36-'Emissions B'!L36</f>
        <v>0</v>
      </c>
      <c r="M36" t="str">
        <f>'Base data'!$F$32</f>
        <v>Mtonne</v>
      </c>
    </row>
    <row r="37" spans="1:13" x14ac:dyDescent="0.25">
      <c r="A37" t="str">
        <v>OT CH4</v>
      </c>
      <c r="B37" s="94">
        <f>'Emissions A'!B37-'Emissions B'!B37</f>
        <v>0</v>
      </c>
      <c r="C37" s="94">
        <f>'Emissions A'!C37-'Emissions B'!C37</f>
        <v>0</v>
      </c>
      <c r="D37" s="94">
        <f>'Emissions A'!D37-'Emissions B'!D37</f>
        <v>0</v>
      </c>
      <c r="E37" s="94">
        <f>'Emissions A'!E37-'Emissions B'!E37</f>
        <v>0</v>
      </c>
      <c r="F37" s="94">
        <f>'Emissions A'!F37-'Emissions B'!F37</f>
        <v>0</v>
      </c>
      <c r="G37" s="94">
        <f>'Emissions A'!G37-'Emissions B'!G37</f>
        <v>0</v>
      </c>
      <c r="H37" s="94">
        <f>'Emissions A'!H37-'Emissions B'!H37</f>
        <v>0</v>
      </c>
      <c r="I37" s="94">
        <f>'Emissions A'!I37-'Emissions B'!I37</f>
        <v>0</v>
      </c>
      <c r="J37" s="94">
        <f>'Emissions A'!J37-'Emissions B'!J37</f>
        <v>0</v>
      </c>
      <c r="K37" s="94">
        <f>'Emissions A'!K37-'Emissions B'!K37</f>
        <v>0</v>
      </c>
      <c r="L37" s="94">
        <f>'Emissions A'!L37-'Emissions B'!L37</f>
        <v>0</v>
      </c>
      <c r="M37" t="str">
        <f>'Base data'!$F$32</f>
        <v>Mtonne</v>
      </c>
    </row>
    <row r="38" spans="1:13" x14ac:dyDescent="0.25">
      <c r="A38" t="str">
        <v>EE CH4</v>
      </c>
      <c r="B38" s="94">
        <f>'Emissions A'!B38-'Emissions B'!B38</f>
        <v>0</v>
      </c>
      <c r="C38" s="94">
        <f>'Emissions A'!C38-'Emissions B'!C38</f>
        <v>0</v>
      </c>
      <c r="D38" s="94">
        <f>'Emissions A'!D38-'Emissions B'!D38</f>
        <v>0</v>
      </c>
      <c r="E38" s="94">
        <f>'Emissions A'!E38-'Emissions B'!E38</f>
        <v>0</v>
      </c>
      <c r="F38" s="94">
        <f>'Emissions A'!F38-'Emissions B'!F38</f>
        <v>0</v>
      </c>
      <c r="G38" s="94">
        <f>'Emissions A'!G38-'Emissions B'!G38</f>
        <v>0</v>
      </c>
      <c r="H38" s="94">
        <f>'Emissions A'!H38-'Emissions B'!H38</f>
        <v>0</v>
      </c>
      <c r="I38" s="94">
        <f>'Emissions A'!I38-'Emissions B'!I38</f>
        <v>0</v>
      </c>
      <c r="J38" s="94">
        <f>'Emissions A'!J38-'Emissions B'!J38</f>
        <v>0</v>
      </c>
      <c r="K38" s="94">
        <f>'Emissions A'!K38-'Emissions B'!K38</f>
        <v>0</v>
      </c>
      <c r="L38" s="94">
        <f>'Emissions A'!L38-'Emissions B'!L38</f>
        <v>0</v>
      </c>
      <c r="M38" t="str">
        <f>'Base data'!$F$32</f>
        <v>Mtonne</v>
      </c>
    </row>
    <row r="39" spans="1:13" x14ac:dyDescent="0.25">
      <c r="A39" t="str">
        <v>CA CH4</v>
      </c>
      <c r="B39" s="94">
        <f>'Emissions A'!B39-'Emissions B'!B39</f>
        <v>0</v>
      </c>
      <c r="C39" s="94">
        <f>'Emissions A'!C39-'Emissions B'!C39</f>
        <v>0</v>
      </c>
      <c r="D39" s="94">
        <f>'Emissions A'!D39-'Emissions B'!D39</f>
        <v>0</v>
      </c>
      <c r="E39" s="94">
        <f>'Emissions A'!E39-'Emissions B'!E39</f>
        <v>0</v>
      </c>
      <c r="F39" s="94">
        <f>'Emissions A'!F39-'Emissions B'!F39</f>
        <v>0</v>
      </c>
      <c r="G39" s="94">
        <f>'Emissions A'!G39-'Emissions B'!G39</f>
        <v>0</v>
      </c>
      <c r="H39" s="94">
        <f>'Emissions A'!H39-'Emissions B'!H39</f>
        <v>0</v>
      </c>
      <c r="I39" s="94">
        <f>'Emissions A'!I39-'Emissions B'!I39</f>
        <v>0</v>
      </c>
      <c r="J39" s="94">
        <f>'Emissions A'!J39-'Emissions B'!J39</f>
        <v>0</v>
      </c>
      <c r="K39" s="94">
        <f>'Emissions A'!K39-'Emissions B'!K39</f>
        <v>0</v>
      </c>
      <c r="L39" s="94">
        <f>'Emissions A'!L39-'Emissions B'!L39</f>
        <v>0</v>
      </c>
      <c r="M39" t="str">
        <f>'Base data'!$F$32</f>
        <v>Mtonne</v>
      </c>
    </row>
    <row r="40" spans="1:13" x14ac:dyDescent="0.25">
      <c r="A40" t="str">
        <v>IA CH4</v>
      </c>
      <c r="B40" s="94">
        <f>'Emissions A'!B40-'Emissions B'!B40</f>
        <v>0</v>
      </c>
      <c r="C40" s="94">
        <f>'Emissions A'!C40-'Emissions B'!C40</f>
        <v>0</v>
      </c>
      <c r="D40" s="94">
        <f>'Emissions A'!D40-'Emissions B'!D40</f>
        <v>0</v>
      </c>
      <c r="E40" s="94">
        <f>'Emissions A'!E40-'Emissions B'!E40</f>
        <v>0</v>
      </c>
      <c r="F40" s="94">
        <f>'Emissions A'!F40-'Emissions B'!F40</f>
        <v>0</v>
      </c>
      <c r="G40" s="94">
        <f>'Emissions A'!G40-'Emissions B'!G40</f>
        <v>0</v>
      </c>
      <c r="H40" s="94">
        <f>'Emissions A'!H40-'Emissions B'!H40</f>
        <v>0</v>
      </c>
      <c r="I40" s="94">
        <f>'Emissions A'!I40-'Emissions B'!I40</f>
        <v>0</v>
      </c>
      <c r="J40" s="94">
        <f>'Emissions A'!J40-'Emissions B'!J40</f>
        <v>0</v>
      </c>
      <c r="K40" s="94">
        <f>'Emissions A'!K40-'Emissions B'!K40</f>
        <v>0</v>
      </c>
      <c r="L40" s="94">
        <f>'Emissions A'!L40-'Emissions B'!L40</f>
        <v>0</v>
      </c>
      <c r="M40" t="str">
        <f>'Base data'!$F$32</f>
        <v>Mtonne</v>
      </c>
    </row>
    <row r="41" spans="1:13" x14ac:dyDescent="0.25">
      <c r="A41" t="str">
        <v>AF CH4</v>
      </c>
      <c r="B41" s="94">
        <f>'Emissions A'!B41-'Emissions B'!B41</f>
        <v>0</v>
      </c>
      <c r="C41" s="94">
        <f>'Emissions A'!C41-'Emissions B'!C41</f>
        <v>0</v>
      </c>
      <c r="D41" s="94">
        <f>'Emissions A'!D41-'Emissions B'!D41</f>
        <v>0</v>
      </c>
      <c r="E41" s="94">
        <f>'Emissions A'!E41-'Emissions B'!E41</f>
        <v>0</v>
      </c>
      <c r="F41" s="94">
        <f>'Emissions A'!F41-'Emissions B'!F41</f>
        <v>0</v>
      </c>
      <c r="G41" s="94">
        <f>'Emissions A'!G41-'Emissions B'!G41</f>
        <v>0</v>
      </c>
      <c r="H41" s="94">
        <f>'Emissions A'!H41-'Emissions B'!H41</f>
        <v>0</v>
      </c>
      <c r="I41" s="94">
        <f>'Emissions A'!I41-'Emissions B'!I41</f>
        <v>0</v>
      </c>
      <c r="J41" s="94">
        <f>'Emissions A'!J41-'Emissions B'!J41</f>
        <v>0</v>
      </c>
      <c r="K41" s="94">
        <f>'Emissions A'!K41-'Emissions B'!K41</f>
        <v>0</v>
      </c>
      <c r="L41" s="94">
        <f>'Emissions A'!L41-'Emissions B'!L41</f>
        <v>0</v>
      </c>
      <c r="M41" t="str">
        <f>'Base data'!$F$32</f>
        <v>Mtonne</v>
      </c>
    </row>
    <row r="42" spans="1:13" ht="13" thickBot="1" x14ac:dyDescent="0.3">
      <c r="A42" t="str">
        <v>LA CH4</v>
      </c>
      <c r="B42" s="95">
        <f>'Emissions A'!B42-'Emissions B'!B42</f>
        <v>0</v>
      </c>
      <c r="C42" s="95">
        <f>'Emissions A'!C42-'Emissions B'!C42</f>
        <v>0</v>
      </c>
      <c r="D42" s="95">
        <f>'Emissions A'!D42-'Emissions B'!D42</f>
        <v>0</v>
      </c>
      <c r="E42" s="95">
        <f>'Emissions A'!E42-'Emissions B'!E42</f>
        <v>0</v>
      </c>
      <c r="F42" s="95">
        <f>'Emissions A'!F42-'Emissions B'!F42</f>
        <v>0</v>
      </c>
      <c r="G42" s="95">
        <f>'Emissions A'!G42-'Emissions B'!G42</f>
        <v>0</v>
      </c>
      <c r="H42" s="95">
        <f>'Emissions A'!H42-'Emissions B'!H42</f>
        <v>0</v>
      </c>
      <c r="I42" s="95">
        <f>'Emissions A'!I42-'Emissions B'!I42</f>
        <v>0</v>
      </c>
      <c r="J42" s="95">
        <f>'Emissions A'!J42-'Emissions B'!J42</f>
        <v>0</v>
      </c>
      <c r="K42" s="95">
        <f>'Emissions A'!K42-'Emissions B'!K42</f>
        <v>0</v>
      </c>
      <c r="L42" s="95">
        <f>'Emissions A'!L42-'Emissions B'!L42</f>
        <v>0</v>
      </c>
      <c r="M42" t="str">
        <f>'Base data'!$F$32</f>
        <v>Mtonne</v>
      </c>
    </row>
    <row r="43" spans="1:13" s="2" customFormat="1" ht="13.5" thickTop="1" x14ac:dyDescent="0.3">
      <c r="A43" s="2" t="str">
        <f>"Total "&amp;'Base data'!$C$11</f>
        <v>Total CH4</v>
      </c>
      <c r="B43" s="98">
        <f t="shared" ref="B43:L43" si="1">SUM(B35:B42)</f>
        <v>0</v>
      </c>
      <c r="C43" s="98">
        <f t="shared" si="1"/>
        <v>0</v>
      </c>
      <c r="D43" s="98">
        <f t="shared" si="1"/>
        <v>0</v>
      </c>
      <c r="E43" s="98">
        <f t="shared" si="1"/>
        <v>0</v>
      </c>
      <c r="F43" s="98">
        <f t="shared" si="1"/>
        <v>0</v>
      </c>
      <c r="G43" s="98">
        <f t="shared" si="1"/>
        <v>0</v>
      </c>
      <c r="H43" s="98">
        <f t="shared" si="1"/>
        <v>0</v>
      </c>
      <c r="I43" s="98">
        <f t="shared" si="1"/>
        <v>0</v>
      </c>
      <c r="J43" s="98">
        <f t="shared" si="1"/>
        <v>0</v>
      </c>
      <c r="K43" s="98">
        <f t="shared" si="1"/>
        <v>0</v>
      </c>
      <c r="L43" s="98">
        <f t="shared" si="1"/>
        <v>0</v>
      </c>
      <c r="M43" s="2" t="str">
        <f>'Base data'!$F$32</f>
        <v>Mtonne</v>
      </c>
    </row>
    <row r="66" spans="1:13" x14ac:dyDescent="0.25">
      <c r="A66" t="str">
        <f t="array" ref="A66:A73">R_CODE&amp;" "&amp;'Base data'!$D$11</f>
        <v>EU N2O</v>
      </c>
      <c r="B66" s="93">
        <f>'Emissions A'!B66-'Emissions B'!B66</f>
        <v>0</v>
      </c>
      <c r="C66" s="93">
        <f>'Emissions A'!C66-'Emissions B'!C66</f>
        <v>0</v>
      </c>
      <c r="D66" s="93">
        <f>'Emissions A'!D66-'Emissions B'!D66</f>
        <v>0</v>
      </c>
      <c r="E66" s="93">
        <f>'Emissions A'!E66-'Emissions B'!E66</f>
        <v>0</v>
      </c>
      <c r="F66" s="93">
        <f>'Emissions A'!F66-'Emissions B'!F66</f>
        <v>0</v>
      </c>
      <c r="G66" s="93">
        <f>'Emissions A'!G66-'Emissions B'!G66</f>
        <v>0</v>
      </c>
      <c r="H66" s="93">
        <f>'Emissions A'!H66-'Emissions B'!H66</f>
        <v>0</v>
      </c>
      <c r="I66" s="93">
        <f>'Emissions A'!I66-'Emissions B'!I66</f>
        <v>0</v>
      </c>
      <c r="J66" s="93">
        <f>'Emissions A'!J66-'Emissions B'!J66</f>
        <v>0</v>
      </c>
      <c r="K66" s="93">
        <f>'Emissions A'!K66-'Emissions B'!K66</f>
        <v>0</v>
      </c>
      <c r="L66" s="93">
        <f>'Emissions A'!L66-'Emissions B'!L66</f>
        <v>0</v>
      </c>
      <c r="M66" t="str">
        <f>'Base data'!$F$32</f>
        <v>Mtonne</v>
      </c>
    </row>
    <row r="67" spans="1:13" x14ac:dyDescent="0.25">
      <c r="A67" t="str">
        <v>US N2O</v>
      </c>
      <c r="B67" s="94">
        <f>'Emissions A'!B67-'Emissions B'!B67</f>
        <v>0</v>
      </c>
      <c r="C67" s="94">
        <f>'Emissions A'!C67-'Emissions B'!C67</f>
        <v>0</v>
      </c>
      <c r="D67" s="94">
        <f>'Emissions A'!D67-'Emissions B'!D67</f>
        <v>0</v>
      </c>
      <c r="E67" s="94">
        <f>'Emissions A'!E67-'Emissions B'!E67</f>
        <v>0</v>
      </c>
      <c r="F67" s="94">
        <f>'Emissions A'!F67-'Emissions B'!F67</f>
        <v>0</v>
      </c>
      <c r="G67" s="94">
        <f>'Emissions A'!G67-'Emissions B'!G67</f>
        <v>0</v>
      </c>
      <c r="H67" s="94">
        <f>'Emissions A'!H67-'Emissions B'!H67</f>
        <v>0</v>
      </c>
      <c r="I67" s="94">
        <f>'Emissions A'!I67-'Emissions B'!I67</f>
        <v>0</v>
      </c>
      <c r="J67" s="94">
        <f>'Emissions A'!J67-'Emissions B'!J67</f>
        <v>0</v>
      </c>
      <c r="K67" s="94">
        <f>'Emissions A'!K67-'Emissions B'!K67</f>
        <v>0</v>
      </c>
      <c r="L67" s="94">
        <f>'Emissions A'!L67-'Emissions B'!L67</f>
        <v>0</v>
      </c>
      <c r="M67" t="str">
        <f>'Base data'!$F$32</f>
        <v>Mtonne</v>
      </c>
    </row>
    <row r="68" spans="1:13" x14ac:dyDescent="0.25">
      <c r="A68" t="str">
        <v>OT N2O</v>
      </c>
      <c r="B68" s="94">
        <f>'Emissions A'!B68-'Emissions B'!B68</f>
        <v>0</v>
      </c>
      <c r="C68" s="94">
        <f>'Emissions A'!C68-'Emissions B'!C68</f>
        <v>0</v>
      </c>
      <c r="D68" s="94">
        <f>'Emissions A'!D68-'Emissions B'!D68</f>
        <v>0</v>
      </c>
      <c r="E68" s="94">
        <f>'Emissions A'!E68-'Emissions B'!E68</f>
        <v>0</v>
      </c>
      <c r="F68" s="94">
        <f>'Emissions A'!F68-'Emissions B'!F68</f>
        <v>0</v>
      </c>
      <c r="G68" s="94">
        <f>'Emissions A'!G68-'Emissions B'!G68</f>
        <v>0</v>
      </c>
      <c r="H68" s="94">
        <f>'Emissions A'!H68-'Emissions B'!H68</f>
        <v>0</v>
      </c>
      <c r="I68" s="94">
        <f>'Emissions A'!I68-'Emissions B'!I68</f>
        <v>0</v>
      </c>
      <c r="J68" s="94">
        <f>'Emissions A'!J68-'Emissions B'!J68</f>
        <v>0</v>
      </c>
      <c r="K68" s="94">
        <f>'Emissions A'!K68-'Emissions B'!K68</f>
        <v>0</v>
      </c>
      <c r="L68" s="94">
        <f>'Emissions A'!L68-'Emissions B'!L68</f>
        <v>0</v>
      </c>
      <c r="M68" t="str">
        <f>'Base data'!$F$32</f>
        <v>Mtonne</v>
      </c>
    </row>
    <row r="69" spans="1:13" x14ac:dyDescent="0.25">
      <c r="A69" t="str">
        <v>EE N2O</v>
      </c>
      <c r="B69" s="94">
        <f>'Emissions A'!B69-'Emissions B'!B69</f>
        <v>0</v>
      </c>
      <c r="C69" s="94">
        <f>'Emissions A'!C69-'Emissions B'!C69</f>
        <v>0</v>
      </c>
      <c r="D69" s="94">
        <f>'Emissions A'!D69-'Emissions B'!D69</f>
        <v>0</v>
      </c>
      <c r="E69" s="94">
        <f>'Emissions A'!E69-'Emissions B'!E69</f>
        <v>0</v>
      </c>
      <c r="F69" s="94">
        <f>'Emissions A'!F69-'Emissions B'!F69</f>
        <v>0</v>
      </c>
      <c r="G69" s="94">
        <f>'Emissions A'!G69-'Emissions B'!G69</f>
        <v>0</v>
      </c>
      <c r="H69" s="94">
        <f>'Emissions A'!H69-'Emissions B'!H69</f>
        <v>0</v>
      </c>
      <c r="I69" s="94">
        <f>'Emissions A'!I69-'Emissions B'!I69</f>
        <v>0</v>
      </c>
      <c r="J69" s="94">
        <f>'Emissions A'!J69-'Emissions B'!J69</f>
        <v>0</v>
      </c>
      <c r="K69" s="94">
        <f>'Emissions A'!K69-'Emissions B'!K69</f>
        <v>0</v>
      </c>
      <c r="L69" s="94">
        <f>'Emissions A'!L69-'Emissions B'!L69</f>
        <v>0</v>
      </c>
      <c r="M69" t="str">
        <f>'Base data'!$F$32</f>
        <v>Mtonne</v>
      </c>
    </row>
    <row r="70" spans="1:13" x14ac:dyDescent="0.25">
      <c r="A70" t="str">
        <v>CA N2O</v>
      </c>
      <c r="B70" s="94">
        <f>'Emissions A'!B70-'Emissions B'!B70</f>
        <v>0</v>
      </c>
      <c r="C70" s="94">
        <f>'Emissions A'!C70-'Emissions B'!C70</f>
        <v>0</v>
      </c>
      <c r="D70" s="94">
        <f>'Emissions A'!D70-'Emissions B'!D70</f>
        <v>0</v>
      </c>
      <c r="E70" s="94">
        <f>'Emissions A'!E70-'Emissions B'!E70</f>
        <v>0</v>
      </c>
      <c r="F70" s="94">
        <f>'Emissions A'!F70-'Emissions B'!F70</f>
        <v>0</v>
      </c>
      <c r="G70" s="94">
        <f>'Emissions A'!G70-'Emissions B'!G70</f>
        <v>0</v>
      </c>
      <c r="H70" s="94">
        <f>'Emissions A'!H70-'Emissions B'!H70</f>
        <v>0</v>
      </c>
      <c r="I70" s="94">
        <f>'Emissions A'!I70-'Emissions B'!I70</f>
        <v>0</v>
      </c>
      <c r="J70" s="94">
        <f>'Emissions A'!J70-'Emissions B'!J70</f>
        <v>0</v>
      </c>
      <c r="K70" s="94">
        <f>'Emissions A'!K70-'Emissions B'!K70</f>
        <v>0</v>
      </c>
      <c r="L70" s="94">
        <f>'Emissions A'!L70-'Emissions B'!L70</f>
        <v>0</v>
      </c>
      <c r="M70" t="str">
        <f>'Base data'!$F$32</f>
        <v>Mtonne</v>
      </c>
    </row>
    <row r="71" spans="1:13" x14ac:dyDescent="0.25">
      <c r="A71" t="str">
        <v>IA N2O</v>
      </c>
      <c r="B71" s="94">
        <f>'Emissions A'!B71-'Emissions B'!B71</f>
        <v>0</v>
      </c>
      <c r="C71" s="94">
        <f>'Emissions A'!C71-'Emissions B'!C71</f>
        <v>0</v>
      </c>
      <c r="D71" s="94">
        <f>'Emissions A'!D71-'Emissions B'!D71</f>
        <v>0</v>
      </c>
      <c r="E71" s="94">
        <f>'Emissions A'!E71-'Emissions B'!E71</f>
        <v>0</v>
      </c>
      <c r="F71" s="94">
        <f>'Emissions A'!F71-'Emissions B'!F71</f>
        <v>0</v>
      </c>
      <c r="G71" s="94">
        <f>'Emissions A'!G71-'Emissions B'!G71</f>
        <v>0</v>
      </c>
      <c r="H71" s="94">
        <f>'Emissions A'!H71-'Emissions B'!H71</f>
        <v>0</v>
      </c>
      <c r="I71" s="94">
        <f>'Emissions A'!I71-'Emissions B'!I71</f>
        <v>0</v>
      </c>
      <c r="J71" s="94">
        <f>'Emissions A'!J71-'Emissions B'!J71</f>
        <v>0</v>
      </c>
      <c r="K71" s="94">
        <f>'Emissions A'!K71-'Emissions B'!K71</f>
        <v>0</v>
      </c>
      <c r="L71" s="94">
        <f>'Emissions A'!L71-'Emissions B'!L71</f>
        <v>0</v>
      </c>
      <c r="M71" t="str">
        <f>'Base data'!$F$32</f>
        <v>Mtonne</v>
      </c>
    </row>
    <row r="72" spans="1:13" x14ac:dyDescent="0.25">
      <c r="A72" t="str">
        <v>AF N2O</v>
      </c>
      <c r="B72" s="94">
        <f>'Emissions A'!B72-'Emissions B'!B72</f>
        <v>0</v>
      </c>
      <c r="C72" s="94">
        <f>'Emissions A'!C72-'Emissions B'!C72</f>
        <v>0</v>
      </c>
      <c r="D72" s="94">
        <f>'Emissions A'!D72-'Emissions B'!D72</f>
        <v>0</v>
      </c>
      <c r="E72" s="94">
        <f>'Emissions A'!E72-'Emissions B'!E72</f>
        <v>0</v>
      </c>
      <c r="F72" s="94">
        <f>'Emissions A'!F72-'Emissions B'!F72</f>
        <v>0</v>
      </c>
      <c r="G72" s="94">
        <f>'Emissions A'!G72-'Emissions B'!G72</f>
        <v>0</v>
      </c>
      <c r="H72" s="94">
        <f>'Emissions A'!H72-'Emissions B'!H72</f>
        <v>0</v>
      </c>
      <c r="I72" s="94">
        <f>'Emissions A'!I72-'Emissions B'!I72</f>
        <v>0</v>
      </c>
      <c r="J72" s="94">
        <f>'Emissions A'!J72-'Emissions B'!J72</f>
        <v>0</v>
      </c>
      <c r="K72" s="94">
        <f>'Emissions A'!K72-'Emissions B'!K72</f>
        <v>0</v>
      </c>
      <c r="L72" s="94">
        <f>'Emissions A'!L72-'Emissions B'!L72</f>
        <v>0</v>
      </c>
      <c r="M72" t="str">
        <f>'Base data'!$F$32</f>
        <v>Mtonne</v>
      </c>
    </row>
    <row r="73" spans="1:13" ht="13" thickBot="1" x14ac:dyDescent="0.3">
      <c r="A73" t="str">
        <v>LA N2O</v>
      </c>
      <c r="B73" s="95">
        <f>'Emissions A'!B73-'Emissions B'!B73</f>
        <v>0</v>
      </c>
      <c r="C73" s="95">
        <f>'Emissions A'!C73-'Emissions B'!C73</f>
        <v>0</v>
      </c>
      <c r="D73" s="95">
        <f>'Emissions A'!D73-'Emissions B'!D73</f>
        <v>0</v>
      </c>
      <c r="E73" s="95">
        <f>'Emissions A'!E73-'Emissions B'!E73</f>
        <v>0</v>
      </c>
      <c r="F73" s="95">
        <f>'Emissions A'!F73-'Emissions B'!F73</f>
        <v>0</v>
      </c>
      <c r="G73" s="95">
        <f>'Emissions A'!G73-'Emissions B'!G73</f>
        <v>0</v>
      </c>
      <c r="H73" s="95">
        <f>'Emissions A'!H73-'Emissions B'!H73</f>
        <v>0</v>
      </c>
      <c r="I73" s="95">
        <f>'Emissions A'!I73-'Emissions B'!I73</f>
        <v>0</v>
      </c>
      <c r="J73" s="95">
        <f>'Emissions A'!J73-'Emissions B'!J73</f>
        <v>0</v>
      </c>
      <c r="K73" s="95">
        <f>'Emissions A'!K73-'Emissions B'!K73</f>
        <v>0</v>
      </c>
      <c r="L73" s="95">
        <f>'Emissions A'!L73-'Emissions B'!L73</f>
        <v>0</v>
      </c>
      <c r="M73" t="str">
        <f>'Base data'!$F$32</f>
        <v>Mtonne</v>
      </c>
    </row>
    <row r="74" spans="1:13" s="2" customFormat="1" ht="13.5" thickTop="1" x14ac:dyDescent="0.3">
      <c r="A74" s="2" t="str">
        <f>"Total "&amp;'Base data'!$D$11</f>
        <v>Total N2O</v>
      </c>
      <c r="B74" s="98">
        <f t="shared" ref="B74:L74" si="2">SUM(B66:B73)</f>
        <v>0</v>
      </c>
      <c r="C74" s="98">
        <f t="shared" si="2"/>
        <v>0</v>
      </c>
      <c r="D74" s="98">
        <f t="shared" si="2"/>
        <v>0</v>
      </c>
      <c r="E74" s="98">
        <f t="shared" si="2"/>
        <v>0</v>
      </c>
      <c r="F74" s="98">
        <f t="shared" si="2"/>
        <v>0</v>
      </c>
      <c r="G74" s="98">
        <f t="shared" si="2"/>
        <v>0</v>
      </c>
      <c r="H74" s="98">
        <f t="shared" si="2"/>
        <v>0</v>
      </c>
      <c r="I74" s="98">
        <f t="shared" si="2"/>
        <v>0</v>
      </c>
      <c r="J74" s="98">
        <f t="shared" si="2"/>
        <v>0</v>
      </c>
      <c r="K74" s="98">
        <f t="shared" si="2"/>
        <v>0</v>
      </c>
      <c r="L74" s="98">
        <f t="shared" si="2"/>
        <v>0</v>
      </c>
      <c r="M74" s="2" t="str">
        <f>'Base data'!$F$32</f>
        <v>Mtonne</v>
      </c>
    </row>
    <row r="97" spans="1:13" x14ac:dyDescent="0.25">
      <c r="A97" t="str">
        <f t="array" ref="A97:A104">R_CODE&amp;" "&amp;GLIN_NAME</f>
        <v>EU Lin</v>
      </c>
      <c r="B97" s="93">
        <f>'Emissions A'!B97-'Emissions B'!B97</f>
        <v>0</v>
      </c>
      <c r="C97" s="93">
        <f>'Emissions A'!C97-'Emissions B'!C97</f>
        <v>0</v>
      </c>
      <c r="D97" s="93">
        <f>'Emissions A'!D97-'Emissions B'!D97</f>
        <v>0</v>
      </c>
      <c r="E97" s="93">
        <f>'Emissions A'!E97-'Emissions B'!E97</f>
        <v>0</v>
      </c>
      <c r="F97" s="93">
        <f>'Emissions A'!F97-'Emissions B'!F97</f>
        <v>0</v>
      </c>
      <c r="G97" s="93">
        <f>'Emissions A'!G97-'Emissions B'!G97</f>
        <v>0</v>
      </c>
      <c r="H97" s="93">
        <f>'Emissions A'!H97-'Emissions B'!H97</f>
        <v>0</v>
      </c>
      <c r="I97" s="93">
        <f>'Emissions A'!I97-'Emissions B'!I97</f>
        <v>0</v>
      </c>
      <c r="J97" s="93">
        <f>'Emissions A'!J97-'Emissions B'!J97</f>
        <v>0</v>
      </c>
      <c r="K97" s="93">
        <f>'Emissions A'!K97-'Emissions B'!K97</f>
        <v>0</v>
      </c>
      <c r="L97" s="93">
        <f>'Emissions A'!L97-'Emissions B'!L97</f>
        <v>0</v>
      </c>
      <c r="M97" t="str">
        <f>'Base data'!$F$32</f>
        <v>Mtonne</v>
      </c>
    </row>
    <row r="98" spans="1:13" x14ac:dyDescent="0.25">
      <c r="A98" t="str">
        <v>US Lin</v>
      </c>
      <c r="B98" s="94">
        <f>'Emissions A'!B98-'Emissions B'!B98</f>
        <v>0</v>
      </c>
      <c r="C98" s="94">
        <f>'Emissions A'!C98-'Emissions B'!C98</f>
        <v>0</v>
      </c>
      <c r="D98" s="94">
        <f>'Emissions A'!D98-'Emissions B'!D98</f>
        <v>0</v>
      </c>
      <c r="E98" s="94">
        <f>'Emissions A'!E98-'Emissions B'!E98</f>
        <v>0</v>
      </c>
      <c r="F98" s="94">
        <f>'Emissions A'!F98-'Emissions B'!F98</f>
        <v>0</v>
      </c>
      <c r="G98" s="94">
        <f>'Emissions A'!G98-'Emissions B'!G98</f>
        <v>0</v>
      </c>
      <c r="H98" s="94">
        <f>'Emissions A'!H98-'Emissions B'!H98</f>
        <v>0</v>
      </c>
      <c r="I98" s="94">
        <f>'Emissions A'!I98-'Emissions B'!I98</f>
        <v>0</v>
      </c>
      <c r="J98" s="94">
        <f>'Emissions A'!J98-'Emissions B'!J98</f>
        <v>0</v>
      </c>
      <c r="K98" s="94">
        <f>'Emissions A'!K98-'Emissions B'!K98</f>
        <v>0</v>
      </c>
      <c r="L98" s="94">
        <f>'Emissions A'!L98-'Emissions B'!L98</f>
        <v>0</v>
      </c>
      <c r="M98" t="str">
        <f>'Base data'!$F$32</f>
        <v>Mtonne</v>
      </c>
    </row>
    <row r="99" spans="1:13" x14ac:dyDescent="0.25">
      <c r="A99" t="str">
        <v>OT Lin</v>
      </c>
      <c r="B99" s="94">
        <f>'Emissions A'!B99-'Emissions B'!B99</f>
        <v>0</v>
      </c>
      <c r="C99" s="94">
        <f>'Emissions A'!C99-'Emissions B'!C99</f>
        <v>0</v>
      </c>
      <c r="D99" s="94">
        <f>'Emissions A'!D99-'Emissions B'!D99</f>
        <v>0</v>
      </c>
      <c r="E99" s="94">
        <f>'Emissions A'!E99-'Emissions B'!E99</f>
        <v>0</v>
      </c>
      <c r="F99" s="94">
        <f>'Emissions A'!F99-'Emissions B'!F99</f>
        <v>0</v>
      </c>
      <c r="G99" s="94">
        <f>'Emissions A'!G99-'Emissions B'!G99</f>
        <v>0</v>
      </c>
      <c r="H99" s="94">
        <f>'Emissions A'!H99-'Emissions B'!H99</f>
        <v>0</v>
      </c>
      <c r="I99" s="94">
        <f>'Emissions A'!I99-'Emissions B'!I99</f>
        <v>0</v>
      </c>
      <c r="J99" s="94">
        <f>'Emissions A'!J99-'Emissions B'!J99</f>
        <v>0</v>
      </c>
      <c r="K99" s="94">
        <f>'Emissions A'!K99-'Emissions B'!K99</f>
        <v>0</v>
      </c>
      <c r="L99" s="94">
        <f>'Emissions A'!L99-'Emissions B'!L99</f>
        <v>0</v>
      </c>
      <c r="M99" t="str">
        <f>'Base data'!$F$32</f>
        <v>Mtonne</v>
      </c>
    </row>
    <row r="100" spans="1:13" x14ac:dyDescent="0.25">
      <c r="A100" t="str">
        <v>EE Lin</v>
      </c>
      <c r="B100" s="94">
        <f>'Emissions A'!B100-'Emissions B'!B100</f>
        <v>0</v>
      </c>
      <c r="C100" s="94">
        <f>'Emissions A'!C100-'Emissions B'!C100</f>
        <v>0</v>
      </c>
      <c r="D100" s="94">
        <f>'Emissions A'!D100-'Emissions B'!D100</f>
        <v>0</v>
      </c>
      <c r="E100" s="94">
        <f>'Emissions A'!E100-'Emissions B'!E100</f>
        <v>0</v>
      </c>
      <c r="F100" s="94">
        <f>'Emissions A'!F100-'Emissions B'!F100</f>
        <v>0</v>
      </c>
      <c r="G100" s="94">
        <f>'Emissions A'!G100-'Emissions B'!G100</f>
        <v>0</v>
      </c>
      <c r="H100" s="94">
        <f>'Emissions A'!H100-'Emissions B'!H100</f>
        <v>0</v>
      </c>
      <c r="I100" s="94">
        <f>'Emissions A'!I100-'Emissions B'!I100</f>
        <v>0</v>
      </c>
      <c r="J100" s="94">
        <f>'Emissions A'!J100-'Emissions B'!J100</f>
        <v>0</v>
      </c>
      <c r="K100" s="94">
        <f>'Emissions A'!K100-'Emissions B'!K100</f>
        <v>0</v>
      </c>
      <c r="L100" s="94">
        <f>'Emissions A'!L100-'Emissions B'!L100</f>
        <v>0</v>
      </c>
      <c r="M100" t="str">
        <f>'Base data'!$F$32</f>
        <v>Mtonne</v>
      </c>
    </row>
    <row r="101" spans="1:13" x14ac:dyDescent="0.25">
      <c r="A101" t="str">
        <v>CA Lin</v>
      </c>
      <c r="B101" s="94">
        <f>'Emissions A'!B101-'Emissions B'!B101</f>
        <v>0</v>
      </c>
      <c r="C101" s="94">
        <f>'Emissions A'!C101-'Emissions B'!C101</f>
        <v>0</v>
      </c>
      <c r="D101" s="94">
        <f>'Emissions A'!D101-'Emissions B'!D101</f>
        <v>0</v>
      </c>
      <c r="E101" s="94">
        <f>'Emissions A'!E101-'Emissions B'!E101</f>
        <v>0</v>
      </c>
      <c r="F101" s="94">
        <f>'Emissions A'!F101-'Emissions B'!F101</f>
        <v>0</v>
      </c>
      <c r="G101" s="94">
        <f>'Emissions A'!G101-'Emissions B'!G101</f>
        <v>0</v>
      </c>
      <c r="H101" s="94">
        <f>'Emissions A'!H101-'Emissions B'!H101</f>
        <v>0</v>
      </c>
      <c r="I101" s="94">
        <f>'Emissions A'!I101-'Emissions B'!I101</f>
        <v>0</v>
      </c>
      <c r="J101" s="94">
        <f>'Emissions A'!J101-'Emissions B'!J101</f>
        <v>0</v>
      </c>
      <c r="K101" s="94">
        <f>'Emissions A'!K101-'Emissions B'!K101</f>
        <v>0</v>
      </c>
      <c r="L101" s="94">
        <f>'Emissions A'!L101-'Emissions B'!L101</f>
        <v>0</v>
      </c>
      <c r="M101" t="str">
        <f>'Base data'!$F$32</f>
        <v>Mtonne</v>
      </c>
    </row>
    <row r="102" spans="1:13" x14ac:dyDescent="0.25">
      <c r="A102" t="str">
        <v>IA Lin</v>
      </c>
      <c r="B102" s="94">
        <f>'Emissions A'!B102-'Emissions B'!B102</f>
        <v>0</v>
      </c>
      <c r="C102" s="94">
        <f>'Emissions A'!C102-'Emissions B'!C102</f>
        <v>0</v>
      </c>
      <c r="D102" s="94">
        <f>'Emissions A'!D102-'Emissions B'!D102</f>
        <v>0</v>
      </c>
      <c r="E102" s="94">
        <f>'Emissions A'!E102-'Emissions B'!E102</f>
        <v>0</v>
      </c>
      <c r="F102" s="94">
        <f>'Emissions A'!F102-'Emissions B'!F102</f>
        <v>0</v>
      </c>
      <c r="G102" s="94">
        <f>'Emissions A'!G102-'Emissions B'!G102</f>
        <v>0</v>
      </c>
      <c r="H102" s="94">
        <f>'Emissions A'!H102-'Emissions B'!H102</f>
        <v>0</v>
      </c>
      <c r="I102" s="94">
        <f>'Emissions A'!I102-'Emissions B'!I102</f>
        <v>0</v>
      </c>
      <c r="J102" s="94">
        <f>'Emissions A'!J102-'Emissions B'!J102</f>
        <v>0</v>
      </c>
      <c r="K102" s="94">
        <f>'Emissions A'!K102-'Emissions B'!K102</f>
        <v>0</v>
      </c>
      <c r="L102" s="94">
        <f>'Emissions A'!L102-'Emissions B'!L102</f>
        <v>0</v>
      </c>
      <c r="M102" t="str">
        <f>'Base data'!$F$32</f>
        <v>Mtonne</v>
      </c>
    </row>
    <row r="103" spans="1:13" x14ac:dyDescent="0.25">
      <c r="A103" t="str">
        <v>AF Lin</v>
      </c>
      <c r="B103" s="94">
        <f>'Emissions A'!B103-'Emissions B'!B103</f>
        <v>0</v>
      </c>
      <c r="C103" s="94">
        <f>'Emissions A'!C103-'Emissions B'!C103</f>
        <v>0</v>
      </c>
      <c r="D103" s="94">
        <f>'Emissions A'!D103-'Emissions B'!D103</f>
        <v>0</v>
      </c>
      <c r="E103" s="94">
        <f>'Emissions A'!E103-'Emissions B'!E103</f>
        <v>0</v>
      </c>
      <c r="F103" s="94">
        <f>'Emissions A'!F103-'Emissions B'!F103</f>
        <v>0</v>
      </c>
      <c r="G103" s="94">
        <f>'Emissions A'!G103-'Emissions B'!G103</f>
        <v>0</v>
      </c>
      <c r="H103" s="94">
        <f>'Emissions A'!H103-'Emissions B'!H103</f>
        <v>0</v>
      </c>
      <c r="I103" s="94">
        <f>'Emissions A'!I103-'Emissions B'!I103</f>
        <v>0</v>
      </c>
      <c r="J103" s="94">
        <f>'Emissions A'!J103-'Emissions B'!J103</f>
        <v>0</v>
      </c>
      <c r="K103" s="94">
        <f>'Emissions A'!K103-'Emissions B'!K103</f>
        <v>0</v>
      </c>
      <c r="L103" s="94">
        <f>'Emissions A'!L103-'Emissions B'!L103</f>
        <v>0</v>
      </c>
      <c r="M103" t="str">
        <f>'Base data'!$F$32</f>
        <v>Mtonne</v>
      </c>
    </row>
    <row r="104" spans="1:13" ht="13" thickBot="1" x14ac:dyDescent="0.3">
      <c r="A104" t="str">
        <v>LA Lin</v>
      </c>
      <c r="B104" s="95">
        <f>'Emissions A'!B104-'Emissions B'!B104</f>
        <v>0</v>
      </c>
      <c r="C104" s="95">
        <f>'Emissions A'!C104-'Emissions B'!C104</f>
        <v>0</v>
      </c>
      <c r="D104" s="95">
        <f>'Emissions A'!D104-'Emissions B'!D104</f>
        <v>0</v>
      </c>
      <c r="E104" s="95">
        <f>'Emissions A'!E104-'Emissions B'!E104</f>
        <v>0</v>
      </c>
      <c r="F104" s="95">
        <f>'Emissions A'!F104-'Emissions B'!F104</f>
        <v>0</v>
      </c>
      <c r="G104" s="95">
        <f>'Emissions A'!G104-'Emissions B'!G104</f>
        <v>0</v>
      </c>
      <c r="H104" s="95">
        <f>'Emissions A'!H104-'Emissions B'!H104</f>
        <v>0</v>
      </c>
      <c r="I104" s="95">
        <f>'Emissions A'!I104-'Emissions B'!I104</f>
        <v>0</v>
      </c>
      <c r="J104" s="95">
        <f>'Emissions A'!J104-'Emissions B'!J104</f>
        <v>0</v>
      </c>
      <c r="K104" s="95">
        <f>'Emissions A'!K104-'Emissions B'!K104</f>
        <v>0</v>
      </c>
      <c r="L104" s="95">
        <f>'Emissions A'!L104-'Emissions B'!L104</f>
        <v>0</v>
      </c>
      <c r="M104" t="str">
        <f>'Base data'!$F$32</f>
        <v>Mtonne</v>
      </c>
    </row>
    <row r="105" spans="1:13" s="2" customFormat="1" ht="13.5" thickTop="1" x14ac:dyDescent="0.3">
      <c r="A105" s="2" t="str">
        <f>"Total "&amp;'Base data'!$E$11</f>
        <v>Total Lin</v>
      </c>
      <c r="B105" s="98">
        <f t="shared" ref="B105:L105" si="3">SUM(B97:B104)</f>
        <v>0</v>
      </c>
      <c r="C105" s="98">
        <f t="shared" si="3"/>
        <v>0</v>
      </c>
      <c r="D105" s="98">
        <f t="shared" si="3"/>
        <v>0</v>
      </c>
      <c r="E105" s="98">
        <f t="shared" si="3"/>
        <v>0</v>
      </c>
      <c r="F105" s="98">
        <f t="shared" si="3"/>
        <v>0</v>
      </c>
      <c r="G105" s="98">
        <f t="shared" si="3"/>
        <v>0</v>
      </c>
      <c r="H105" s="98">
        <f t="shared" si="3"/>
        <v>0</v>
      </c>
      <c r="I105" s="98">
        <f t="shared" si="3"/>
        <v>0</v>
      </c>
      <c r="J105" s="98">
        <f t="shared" si="3"/>
        <v>0</v>
      </c>
      <c r="K105" s="98">
        <f t="shared" si="3"/>
        <v>0</v>
      </c>
      <c r="L105" s="98">
        <f t="shared" si="3"/>
        <v>0</v>
      </c>
      <c r="M105" s="2" t="str">
        <f>'Base data'!$F$32</f>
        <v>Mtonne</v>
      </c>
    </row>
  </sheetData>
  <pageMargins left="0.75" right="0.75" top="1" bottom="1" header="0.5" footer="0.5"/>
  <pageSetup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140"/>
  <sheetViews>
    <sheetView topLeftCell="A57" workbookViewId="0">
      <selection activeCell="C69" sqref="C69"/>
    </sheetView>
  </sheetViews>
  <sheetFormatPr defaultRowHeight="12.5" x14ac:dyDescent="0.25"/>
  <cols>
    <col min="1" max="1" width="31.453125" bestFit="1" customWidth="1"/>
    <col min="2" max="2" width="7.54296875" bestFit="1" customWidth="1"/>
    <col min="4" max="4" width="9.7265625" bestFit="1" customWidth="1"/>
    <col min="5" max="5" width="10.26953125" bestFit="1" customWidth="1"/>
    <col min="6" max="6" width="9.81640625" bestFit="1" customWidth="1"/>
    <col min="7" max="13" width="10.54296875" bestFit="1" customWidth="1"/>
    <col min="14" max="14" width="11.54296875" bestFit="1" customWidth="1"/>
    <col min="15" max="24" width="2.26953125" customWidth="1"/>
  </cols>
  <sheetData>
    <row r="1" spans="1:14" ht="13" x14ac:dyDescent="0.3">
      <c r="A1" s="2" t="str">
        <f>MODEL_NAME</f>
        <v>PAGE09</v>
      </c>
      <c r="B1" t="s">
        <v>44</v>
      </c>
      <c r="C1" s="71">
        <f>VERSION</f>
        <v>1.7</v>
      </c>
    </row>
    <row r="2" spans="1:14" ht="13" x14ac:dyDescent="0.3">
      <c r="A2" s="2"/>
    </row>
    <row r="3" spans="1:14" s="3" customFormat="1" x14ac:dyDescent="0.25">
      <c r="A3" s="3" t="s">
        <v>205</v>
      </c>
      <c r="D3" s="60">
        <f>SUM(AREA)</f>
        <v>142682000</v>
      </c>
      <c r="E3" s="3" t="str">
        <f>'Base data'!$C$32</f>
        <v>Km2</v>
      </c>
    </row>
    <row r="4" spans="1:14" s="3" customFormat="1" x14ac:dyDescent="0.25">
      <c r="A4" s="3" t="s">
        <v>207</v>
      </c>
      <c r="D4" s="72">
        <f>1-(AREA_G/510000000)</f>
        <v>0.72023137254901959</v>
      </c>
    </row>
    <row r="5" spans="1:14" s="3" customFormat="1" x14ac:dyDescent="0.25">
      <c r="A5" s="3" t="s">
        <v>209</v>
      </c>
      <c r="D5" s="72">
        <f t="array" ref="D5">SUM(AREA*LAT/AREA_G)</f>
        <v>30.219894590768281</v>
      </c>
    </row>
    <row r="6" spans="1:14" s="3" customFormat="1" ht="13" thickBot="1" x14ac:dyDescent="0.3">
      <c r="A6" s="3" t="s">
        <v>206</v>
      </c>
      <c r="B6" s="3">
        <f>Y_0</f>
        <v>2000</v>
      </c>
      <c r="D6" s="36">
        <f t="array" ref="D6">SUM(AREA*RTL_0)/AREA_G</f>
        <v>0.92582701391906475</v>
      </c>
      <c r="E6" s="3" t="str">
        <f>'Base data'!$L$32</f>
        <v>degC</v>
      </c>
    </row>
    <row r="7" spans="1:14" ht="13.5" thickTop="1" x14ac:dyDescent="0.3">
      <c r="A7" s="2"/>
    </row>
    <row r="8" spans="1:14" ht="13" x14ac:dyDescent="0.3">
      <c r="A8" s="2"/>
      <c r="D8" t="str">
        <f>'Base data'!B$11</f>
        <v>CO2</v>
      </c>
      <c r="E8" t="str">
        <f>'Base data'!C$11</f>
        <v>CH4</v>
      </c>
      <c r="F8" t="str">
        <f>'Base data'!D$11</f>
        <v>N2O</v>
      </c>
      <c r="G8" t="str">
        <f>GLIN_NAME</f>
        <v>Lin</v>
      </c>
    </row>
    <row r="9" spans="1:14" x14ac:dyDescent="0.25">
      <c r="A9" t="s">
        <v>74</v>
      </c>
      <c r="B9" s="3">
        <f>Y_0</f>
        <v>2000</v>
      </c>
      <c r="C9" t="s">
        <v>66</v>
      </c>
      <c r="D9" s="19">
        <f t="array" ref="D9:G9">C_0-PIC</f>
        <v>91400</v>
      </c>
      <c r="E9" s="19">
        <v>9.9999999997635314E-4</v>
      </c>
      <c r="F9" s="19">
        <v>9.9999999997635314E-4</v>
      </c>
      <c r="G9" s="19">
        <v>1E-10</v>
      </c>
      <c r="H9" t="str">
        <f>'Base data'!$F$12</f>
        <v>ppb</v>
      </c>
    </row>
    <row r="10" spans="1:14" ht="13" thickBot="1" x14ac:dyDescent="0.3">
      <c r="A10" t="s">
        <v>75</v>
      </c>
      <c r="B10" s="3">
        <f>Y_0</f>
        <v>2000</v>
      </c>
      <c r="C10" t="s">
        <v>67</v>
      </c>
      <c r="D10" s="23">
        <f t="array" ref="D10:G10">EXC*DEN</f>
        <v>712920</v>
      </c>
      <c r="E10" s="23">
        <v>2.7799999999342617E-3</v>
      </c>
      <c r="F10" s="23">
        <v>7.7999999998155543E-3</v>
      </c>
      <c r="G10" s="23">
        <v>1.0000000000000001E-5</v>
      </c>
      <c r="H10" t="str">
        <f>'Base data'!$F$20</f>
        <v>Mtonnes</v>
      </c>
    </row>
    <row r="11" spans="1:14" ht="13" thickTop="1" x14ac:dyDescent="0.25"/>
    <row r="12" spans="1:14" x14ac:dyDescent="0.25">
      <c r="C12">
        <f>Y_0</f>
        <v>2000</v>
      </c>
      <c r="D12">
        <f t="array" ref="D12:M12">Y</f>
        <v>2010</v>
      </c>
      <c r="E12">
        <v>2020</v>
      </c>
      <c r="F12">
        <v>2030</v>
      </c>
      <c r="G12">
        <v>2040</v>
      </c>
      <c r="H12">
        <v>2050</v>
      </c>
      <c r="I12">
        <v>2060</v>
      </c>
      <c r="J12">
        <v>2080</v>
      </c>
      <c r="K12">
        <v>2100</v>
      </c>
      <c r="L12">
        <v>2200</v>
      </c>
      <c r="M12">
        <v>2300</v>
      </c>
    </row>
    <row r="13" spans="1:14" s="4" customFormat="1" x14ac:dyDescent="0.25">
      <c r="A13" s="4" t="s">
        <v>71</v>
      </c>
      <c r="D13" s="48">
        <f>Y_1-Y_0</f>
        <v>10</v>
      </c>
      <c r="E13" s="48">
        <f t="array" ref="E13:M13">Y_NOT_1-Y</f>
        <v>10</v>
      </c>
      <c r="F13" s="48">
        <v>10</v>
      </c>
      <c r="G13" s="48">
        <v>10</v>
      </c>
      <c r="H13" s="48">
        <v>10</v>
      </c>
      <c r="I13" s="48">
        <v>10</v>
      </c>
      <c r="J13" s="48">
        <v>20</v>
      </c>
      <c r="K13" s="48">
        <v>20</v>
      </c>
      <c r="L13" s="48">
        <v>100</v>
      </c>
      <c r="M13" s="48">
        <v>100</v>
      </c>
      <c r="N13" s="4" t="s">
        <v>47</v>
      </c>
    </row>
    <row r="14" spans="1:14" s="4" customFormat="1" ht="15.5" x14ac:dyDescent="0.4">
      <c r="A14" s="4" t="s">
        <v>77</v>
      </c>
      <c r="B14" s="4" t="s">
        <v>68</v>
      </c>
      <c r="C14" s="38">
        <f>(E_CO2_G_0)*AIR_CO2/100</f>
        <v>18068.320590407249</v>
      </c>
      <c r="D14" s="38">
        <f t="array" ref="D14:M14">(e_co2_g)*AIR_CO2/100</f>
        <v>20679.176471823132</v>
      </c>
      <c r="E14" s="38">
        <v>21706.78870546196</v>
      </c>
      <c r="F14" s="38">
        <v>20660.19251682812</v>
      </c>
      <c r="G14" s="38">
        <v>17762.067706042872</v>
      </c>
      <c r="H14" s="38">
        <v>12703.128856931911</v>
      </c>
      <c r="I14" s="38">
        <v>10237.056803053038</v>
      </c>
      <c r="J14" s="38">
        <v>6733.7162259771767</v>
      </c>
      <c r="K14" s="38">
        <v>6674.0615310844896</v>
      </c>
      <c r="L14" s="38">
        <v>8834.4938321730897</v>
      </c>
      <c r="M14" s="38">
        <v>4617.8667532885356</v>
      </c>
      <c r="N14" s="4" t="str">
        <f>'Base data'!$F$32</f>
        <v>Mtonne</v>
      </c>
    </row>
    <row r="15" spans="1:14" s="4" customFormat="1" ht="15.5" x14ac:dyDescent="0.4">
      <c r="A15" s="4" t="s">
        <v>79</v>
      </c>
      <c r="B15" s="4" t="s">
        <v>70</v>
      </c>
      <c r="C15" s="43"/>
      <c r="D15" s="38">
        <f>(TEA_CO2_0+tea_co2)*YP_1/2</f>
        <v>193737.48531115189</v>
      </c>
      <c r="E15" s="38">
        <f t="array" ref="E15:M15">(tea_co2+tea_co2_not_1)*YP_NOT_1/2</f>
        <v>211929.82588642545</v>
      </c>
      <c r="F15" s="38">
        <v>211834.9061114504</v>
      </c>
      <c r="G15" s="38">
        <v>192111.30111435492</v>
      </c>
      <c r="H15" s="38">
        <v>152325.98281487392</v>
      </c>
      <c r="I15" s="38">
        <v>114700.92829992474</v>
      </c>
      <c r="J15" s="38">
        <v>169707.73029030213</v>
      </c>
      <c r="K15" s="38">
        <v>134077.77757061669</v>
      </c>
      <c r="L15" s="38">
        <v>775427.76816287893</v>
      </c>
      <c r="M15" s="38">
        <v>672618.02927308122</v>
      </c>
      <c r="N15" s="4" t="str">
        <f>'Base data'!$F$32</f>
        <v>Mtonne</v>
      </c>
    </row>
    <row r="16" spans="1:14" s="4" customFormat="1" ht="15.5" x14ac:dyDescent="0.4">
      <c r="A16" s="4" t="s">
        <v>81</v>
      </c>
      <c r="B16" s="4" t="s">
        <v>73</v>
      </c>
      <c r="C16" s="38">
        <f>CE_CO2_0*AIR_CO2/100</f>
        <v>1116000</v>
      </c>
      <c r="D16" s="38">
        <f>CEA_CO2_0+teay_co2</f>
        <v>1309737.4853111519</v>
      </c>
      <c r="E16" s="38">
        <f t="array" ref="E16:M16">cea_co2+teay_co2_not_1</f>
        <v>1521667.3111975775</v>
      </c>
      <c r="F16" s="38">
        <v>1733502.2173090279</v>
      </c>
      <c r="G16" s="38">
        <v>1925613.5184233829</v>
      </c>
      <c r="H16" s="38">
        <v>2077939.5012382567</v>
      </c>
      <c r="I16" s="38">
        <v>2192640.4295381815</v>
      </c>
      <c r="J16" s="38">
        <v>2362348.1598284836</v>
      </c>
      <c r="K16" s="38">
        <v>2496425.9373991005</v>
      </c>
      <c r="L16" s="38">
        <v>3271853.7055619797</v>
      </c>
      <c r="M16" s="38">
        <v>3944471.7348350608</v>
      </c>
      <c r="N16" s="4" t="str">
        <f>'Base data'!$F$32</f>
        <v>Mtonne</v>
      </c>
    </row>
    <row r="17" spans="1:24" s="6" customFormat="1" x14ac:dyDescent="0.25">
      <c r="A17" s="6" t="s">
        <v>82</v>
      </c>
      <c r="C17" s="44"/>
      <c r="D17" s="35">
        <f t="array" ref="D17:M17">EXP(-(YP/RES_CO2))</f>
        <v>0.87252529286401559</v>
      </c>
      <c r="E17" s="35">
        <v>0.87252529286401559</v>
      </c>
      <c r="F17" s="35">
        <v>0.87252529286401559</v>
      </c>
      <c r="G17" s="35">
        <v>0.87252529286401559</v>
      </c>
      <c r="H17" s="35">
        <v>0.87252529286401559</v>
      </c>
      <c r="I17" s="35">
        <v>0.87252529286401559</v>
      </c>
      <c r="J17" s="35">
        <v>0.76130038668743616</v>
      </c>
      <c r="K17" s="35">
        <v>0.76130038668743616</v>
      </c>
      <c r="L17" s="35">
        <v>0.25572915989724965</v>
      </c>
      <c r="M17" s="35">
        <v>0.25572915989724965</v>
      </c>
    </row>
    <row r="18" spans="1:24" s="6" customFormat="1" x14ac:dyDescent="0.25">
      <c r="A18" s="6" t="s">
        <v>83</v>
      </c>
      <c r="C18" s="44"/>
      <c r="D18" s="35">
        <f t="array" ref="D18:M18">EXP(-(YP/(2*RES_CO2)))</f>
        <v>0.93409062347505423</v>
      </c>
      <c r="E18" s="35">
        <v>0.93409062347505423</v>
      </c>
      <c r="F18" s="35">
        <v>0.93409062347505423</v>
      </c>
      <c r="G18" s="35">
        <v>0.93409062347505423</v>
      </c>
      <c r="H18" s="35">
        <v>0.93409062347505423</v>
      </c>
      <c r="I18" s="35">
        <v>0.93409062347505423</v>
      </c>
      <c r="J18" s="35">
        <v>0.87252529286401559</v>
      </c>
      <c r="K18" s="35">
        <v>0.87252529286401559</v>
      </c>
      <c r="L18" s="35">
        <v>0.50569670742180006</v>
      </c>
      <c r="M18" s="35">
        <v>0.50569670742180006</v>
      </c>
    </row>
    <row r="19" spans="1:24" s="4" customFormat="1" x14ac:dyDescent="0.25">
      <c r="A19" s="4" t="s">
        <v>84</v>
      </c>
      <c r="C19" s="43"/>
      <c r="D19" s="38">
        <f>(STAY_CO2/100)*CEA_CO2_0*(1-EXPF1_CO2)</f>
        <v>42678.53194912758</v>
      </c>
      <c r="E19" s="38">
        <f t="array" ref="E19:M19">(STAY_CO2/100)*cea_co2*(1-EXPF1_CO2_NOT_1)</f>
        <v>50087.520709517928</v>
      </c>
      <c r="F19" s="38">
        <v>58192.228455993616</v>
      </c>
      <c r="G19" s="38">
        <v>66293.306241314378</v>
      </c>
      <c r="H19" s="38">
        <v>73640.105795433978</v>
      </c>
      <c r="I19" s="38">
        <v>79465.418809992087</v>
      </c>
      <c r="J19" s="38">
        <v>157014.72679927733</v>
      </c>
      <c r="K19" s="38">
        <v>169167.47767821176</v>
      </c>
      <c r="L19" s="38">
        <v>557405.10890469735</v>
      </c>
      <c r="M19" s="38">
        <v>730543.59183957335</v>
      </c>
      <c r="N19" s="4" t="str">
        <f>'Base data'!$F$32</f>
        <v>Mtonne</v>
      </c>
    </row>
    <row r="20" spans="1:24" s="4" customFormat="1" x14ac:dyDescent="0.25">
      <c r="A20" s="4" t="s">
        <v>85</v>
      </c>
      <c r="C20" s="43"/>
      <c r="D20" s="38">
        <f>RE_CO2_NO_CCF_0*EXPF1_CO2</f>
        <v>580760.31010432635</v>
      </c>
      <c r="E20" s="38">
        <f t="array" ref="E20:M20">re_co2_no_ccff*EXPF1_CO2_NOT_1</f>
        <v>701865.63692189998</v>
      </c>
      <c r="F20" s="38">
        <v>828824.70723762317</v>
      </c>
      <c r="G20" s="38">
        <v>946593.9084504717</v>
      </c>
      <c r="H20" s="38">
        <v>1040343.8234181667</v>
      </c>
      <c r="I20" s="38">
        <v>1096127.5254562134</v>
      </c>
      <c r="J20" s="38">
        <v>976545.89470502525</v>
      </c>
      <c r="K20" s="38">
        <v>975709.15149189031</v>
      </c>
      <c r="L20" s="38">
        <v>322695.13454330264</v>
      </c>
      <c r="M20" s="38">
        <v>325346.69592515036</v>
      </c>
      <c r="N20" s="4" t="str">
        <f>'Base data'!$F$32</f>
        <v>Mtonne</v>
      </c>
    </row>
    <row r="21" spans="1:24" s="4" customFormat="1" x14ac:dyDescent="0.25">
      <c r="A21" s="4" t="s">
        <v>86</v>
      </c>
      <c r="C21" s="43"/>
      <c r="D21" s="38">
        <f t="array" ref="D21:M21">teay_co2*EXPF2_CO2</f>
        <v>180968.36844478303</v>
      </c>
      <c r="E21" s="38">
        <v>197961.66319521083</v>
      </c>
      <c r="F21" s="38">
        <v>197872.99952342428</v>
      </c>
      <c r="G21" s="38">
        <v>179449.36503451166</v>
      </c>
      <c r="H21" s="38">
        <v>142286.27225899597</v>
      </c>
      <c r="I21" s="38">
        <v>107141.0616288442</v>
      </c>
      <c r="J21" s="38">
        <v>148074.28707283325</v>
      </c>
      <c r="K21" s="38">
        <v>116986.25214135867</v>
      </c>
      <c r="L21" s="38">
        <v>392131.2692034028</v>
      </c>
      <c r="M21" s="38">
        <v>340140.72275593708</v>
      </c>
      <c r="N21" s="4" t="str">
        <f>'Base data'!$F$32</f>
        <v>Mtonne</v>
      </c>
    </row>
    <row r="22" spans="1:24" s="4" customFormat="1" x14ac:dyDescent="0.25">
      <c r="A22" s="80" t="s">
        <v>203</v>
      </c>
      <c r="C22" s="38">
        <f>RE_CO2_0/((100+CCF*RT_G_0)/100)</f>
        <v>665608.56728635682</v>
      </c>
      <c r="D22" s="38">
        <f t="shared" ref="D22:M22" si="0">SUM(D19:D21)</f>
        <v>804407.21049823693</v>
      </c>
      <c r="E22" s="38">
        <f t="shared" si="0"/>
        <v>949914.82082662871</v>
      </c>
      <c r="F22" s="38">
        <f t="shared" si="0"/>
        <v>1084889.9352170411</v>
      </c>
      <c r="G22" s="38">
        <f t="shared" si="0"/>
        <v>1192336.5797262979</v>
      </c>
      <c r="H22" s="38">
        <f t="shared" si="0"/>
        <v>1256270.2014725967</v>
      </c>
      <c r="I22" s="38">
        <f t="shared" si="0"/>
        <v>1282734.0058950495</v>
      </c>
      <c r="J22" s="38">
        <f t="shared" si="0"/>
        <v>1281634.9085771358</v>
      </c>
      <c r="K22" s="38">
        <f t="shared" si="0"/>
        <v>1261862.8813114606</v>
      </c>
      <c r="L22" s="38">
        <f t="shared" si="0"/>
        <v>1272231.5126514027</v>
      </c>
      <c r="M22" s="38">
        <f t="shared" si="0"/>
        <v>1396031.0105206608</v>
      </c>
      <c r="N22" s="4" t="str">
        <f>'Base data'!$F$32</f>
        <v>Mtonne</v>
      </c>
    </row>
    <row r="23" spans="1:24" s="4" customFormat="1" x14ac:dyDescent="0.25">
      <c r="A23" s="80" t="s">
        <v>202</v>
      </c>
      <c r="C23" s="58"/>
      <c r="D23" s="38">
        <f t="array" ref="D23:M23">PIC_CO2+EXC_CO2*(re_co2_no_ccff/RE_CO2_0)</f>
        <v>381129.12955105602</v>
      </c>
      <c r="E23" s="38">
        <v>399783.95138802932</v>
      </c>
      <c r="F23" s="38">
        <v>417088.45323295402</v>
      </c>
      <c r="G23" s="38">
        <v>430863.66406747408</v>
      </c>
      <c r="H23" s="38">
        <v>439060.28224007651</v>
      </c>
      <c r="I23" s="38">
        <v>442453.07767885248</v>
      </c>
      <c r="J23" s="38">
        <v>442312.16776629945</v>
      </c>
      <c r="K23" s="38">
        <v>439777.29247582832</v>
      </c>
      <c r="L23" s="38">
        <v>441106.60418607725</v>
      </c>
      <c r="M23" s="38">
        <v>456978.33468213596</v>
      </c>
      <c r="N23" s="4" t="str">
        <f>'Base data'!$F$12</f>
        <v>ppb</v>
      </c>
    </row>
    <row r="24" spans="1:24" s="4" customFormat="1" x14ac:dyDescent="0.25">
      <c r="A24" s="80" t="s">
        <v>490</v>
      </c>
      <c r="B24" s="80" t="s">
        <v>491</v>
      </c>
      <c r="C24" s="81"/>
      <c r="D24" s="35">
        <f>MIN(CCF*RT_G_0,CCFFMAX)</f>
        <v>7.1079963568571323</v>
      </c>
      <c r="E24" s="35">
        <f t="array" ref="E24:M24">IF(CCF*(rt_g)&lt;CCFFMAX,CCF*(rt_g),CCFFMAX)</f>
        <v>8.9730212567227383</v>
      </c>
      <c r="F24" s="35">
        <v>10.847075372943733</v>
      </c>
      <c r="G24" s="35">
        <v>13.062857142645891</v>
      </c>
      <c r="H24" s="35">
        <v>15.852966803587277</v>
      </c>
      <c r="I24" s="35">
        <v>18.383692002883809</v>
      </c>
      <c r="J24" s="35">
        <v>20.662648328901803</v>
      </c>
      <c r="K24" s="35">
        <v>24.487914031939937</v>
      </c>
      <c r="L24" s="35">
        <v>27.588844311561726</v>
      </c>
      <c r="M24" s="35">
        <v>32.020571331239424</v>
      </c>
      <c r="N24" s="80" t="s">
        <v>46</v>
      </c>
    </row>
    <row r="25" spans="1:24" s="4" customFormat="1" x14ac:dyDescent="0.25">
      <c r="A25" s="80" t="s">
        <v>200</v>
      </c>
      <c r="B25" s="80" t="s">
        <v>201</v>
      </c>
      <c r="C25" s="81"/>
      <c r="D25" s="38">
        <f t="array" ref="D25:M25">(c_co2_no_ccf-PIC_CO2)*gain/100</f>
        <v>7330.414771347534</v>
      </c>
      <c r="E25" s="38">
        <v>10927.699845324758</v>
      </c>
      <c r="F25" s="38">
        <v>15087.029357240117</v>
      </c>
      <c r="G25" s="38">
        <v>19968.362060148258</v>
      </c>
      <c r="H25" s="38">
        <v>25532.833077283307</v>
      </c>
      <c r="I25" s="38">
        <v>30232.547289743503</v>
      </c>
      <c r="J25" s="38">
        <v>33951.245387145595</v>
      </c>
      <c r="K25" s="38">
        <v>39615.884304680876</v>
      </c>
      <c r="L25" s="38">
        <v>44999.227090772074</v>
      </c>
      <c r="M25" s="38">
        <v>57309.885324357776</v>
      </c>
      <c r="N25" s="4" t="str">
        <f>'Base data'!$F$12</f>
        <v>ppb</v>
      </c>
    </row>
    <row r="26" spans="1:24" s="4" customFormat="1" ht="15.5" x14ac:dyDescent="0.4">
      <c r="A26" s="80" t="s">
        <v>87</v>
      </c>
      <c r="B26" s="4" t="s">
        <v>88</v>
      </c>
      <c r="C26" s="38">
        <f>C_CO2_0</f>
        <v>369400</v>
      </c>
      <c r="D26" s="38">
        <f t="array" ref="D26:M26">c_co2_no_ccf+ccff</f>
        <v>388459.54432240356</v>
      </c>
      <c r="E26" s="38">
        <v>410711.65123335406</v>
      </c>
      <c r="F26" s="38">
        <v>432175.48259019415</v>
      </c>
      <c r="G26" s="38">
        <v>450832.02612762235</v>
      </c>
      <c r="H26" s="38">
        <v>464593.1153173598</v>
      </c>
      <c r="I26" s="38">
        <v>472685.62496859598</v>
      </c>
      <c r="J26" s="38">
        <v>476263.41315344506</v>
      </c>
      <c r="K26" s="38">
        <v>479393.17678050918</v>
      </c>
      <c r="L26" s="38">
        <v>486105.83127684932</v>
      </c>
      <c r="M26" s="38">
        <v>514288.22000649374</v>
      </c>
      <c r="N26" s="4" t="str">
        <f>'Base data'!$F$12</f>
        <v>ppb</v>
      </c>
      <c r="O26" s="80">
        <f t="shared" ref="O26:X26" si="1">D26/1000</f>
        <v>388.45954432240353</v>
      </c>
      <c r="P26" s="80">
        <f t="shared" si="1"/>
        <v>410.71165123335408</v>
      </c>
      <c r="Q26" s="80">
        <f t="shared" si="1"/>
        <v>432.17548259019418</v>
      </c>
      <c r="R26" s="80">
        <f t="shared" si="1"/>
        <v>450.83202612762233</v>
      </c>
      <c r="S26" s="80">
        <f t="shared" si="1"/>
        <v>464.59311531735977</v>
      </c>
      <c r="T26" s="80">
        <f t="shared" si="1"/>
        <v>472.68562496859596</v>
      </c>
      <c r="U26" s="80">
        <f t="shared" si="1"/>
        <v>476.26341315344507</v>
      </c>
      <c r="V26" s="80">
        <f t="shared" si="1"/>
        <v>479.39317678050918</v>
      </c>
      <c r="W26" s="80">
        <f t="shared" si="1"/>
        <v>486.1058312768493</v>
      </c>
      <c r="X26" s="80">
        <f t="shared" si="1"/>
        <v>514.2882200064937</v>
      </c>
    </row>
    <row r="27" spans="1:24" s="6" customFormat="1" ht="16" thickBot="1" x14ac:dyDescent="0.45">
      <c r="A27" s="6" t="s">
        <v>89</v>
      </c>
      <c r="B27" s="6" t="s">
        <v>90</v>
      </c>
      <c r="C27" s="49">
        <f>F_CO2_0</f>
        <v>1.529668356278562</v>
      </c>
      <c r="D27" s="49">
        <f t="array" ref="D27:M27">F_CO2_0+FSLOPE_CO2*LN(c_co2/C_CO2_0)</f>
        <v>1.8063676560899862</v>
      </c>
      <c r="E27" s="49">
        <v>2.1127306272899489</v>
      </c>
      <c r="F27" s="49">
        <v>2.3929024186157455</v>
      </c>
      <c r="G27" s="49">
        <v>2.6253495074096529</v>
      </c>
      <c r="H27" s="49">
        <v>2.7907189929768563</v>
      </c>
      <c r="I27" s="49">
        <v>2.8856958813115949</v>
      </c>
      <c r="J27" s="49">
        <v>2.9271689793734685</v>
      </c>
      <c r="K27" s="49">
        <v>2.9631939734407244</v>
      </c>
      <c r="L27" s="49">
        <v>3.0396729636977389</v>
      </c>
      <c r="M27" s="49">
        <v>3.3496391454355665</v>
      </c>
      <c r="N27" s="6" t="str">
        <f>'Base data'!$F$21</f>
        <v>W/m2</v>
      </c>
      <c r="O27" s="6">
        <f t="shared" ref="O27:X27" si="2">D27</f>
        <v>1.8063676560899862</v>
      </c>
      <c r="P27" s="6">
        <f t="shared" si="2"/>
        <v>2.1127306272899489</v>
      </c>
      <c r="Q27" s="6">
        <f t="shared" si="2"/>
        <v>2.3929024186157455</v>
      </c>
      <c r="R27" s="6">
        <f t="shared" si="2"/>
        <v>2.6253495074096529</v>
      </c>
      <c r="S27" s="6">
        <f t="shared" si="2"/>
        <v>2.7907189929768563</v>
      </c>
      <c r="T27" s="6">
        <f t="shared" si="2"/>
        <v>2.8856958813115949</v>
      </c>
      <c r="U27" s="6">
        <f t="shared" si="2"/>
        <v>2.9271689793734685</v>
      </c>
      <c r="V27" s="6">
        <f t="shared" si="2"/>
        <v>2.9631939734407244</v>
      </c>
      <c r="W27" s="6">
        <f t="shared" si="2"/>
        <v>3.0396729636977389</v>
      </c>
      <c r="X27" s="6">
        <f t="shared" si="2"/>
        <v>3.3496391454355665</v>
      </c>
    </row>
    <row r="28" spans="1:24" s="6" customFormat="1" ht="13" thickTop="1" x14ac:dyDescent="0.25">
      <c r="C28" s="17"/>
      <c r="D28" s="17"/>
      <c r="E28" s="17"/>
      <c r="F28" s="17"/>
      <c r="G28" s="17"/>
      <c r="H28" s="17"/>
      <c r="I28" s="17"/>
      <c r="J28" s="17"/>
      <c r="K28" s="17"/>
      <c r="L28" s="17"/>
      <c r="M28" s="17"/>
    </row>
    <row r="29" spans="1:24" s="4" customFormat="1" ht="15.5" x14ac:dyDescent="0.4">
      <c r="A29" s="4" t="s">
        <v>76</v>
      </c>
      <c r="B29" s="80" t="s">
        <v>216</v>
      </c>
      <c r="C29" s="20">
        <f>STIM_CH4*RTL_G_0</f>
        <v>0</v>
      </c>
      <c r="D29" s="20">
        <f>STIM_CH4*RTL_G_0</f>
        <v>0</v>
      </c>
      <c r="E29" s="37">
        <f t="array" ref="E29:M29">STIM_CH4*rt_g</f>
        <v>0</v>
      </c>
      <c r="F29" s="37">
        <v>0</v>
      </c>
      <c r="G29" s="37">
        <v>0</v>
      </c>
      <c r="H29" s="37">
        <v>0</v>
      </c>
      <c r="I29" s="37">
        <v>0</v>
      </c>
      <c r="J29" s="37">
        <v>0</v>
      </c>
      <c r="K29" s="37">
        <v>0</v>
      </c>
      <c r="L29" s="37">
        <v>0</v>
      </c>
      <c r="M29" s="37">
        <v>0</v>
      </c>
      <c r="N29" s="4" t="str">
        <f>'Base data'!$G$32</f>
        <v>Mtonne</v>
      </c>
    </row>
    <row r="30" spans="1:24" s="4" customFormat="1" ht="15.5" x14ac:dyDescent="0.4">
      <c r="A30" s="4" t="s">
        <v>78</v>
      </c>
      <c r="B30" s="4" t="s">
        <v>69</v>
      </c>
      <c r="C30" s="38">
        <f>(E_CH4_G_0+NTE_CH4_0)*AIR_CH4/100</f>
        <v>8.0000000000000002E-3</v>
      </c>
      <c r="D30" s="38">
        <f t="array" ref="D30:M30">(e_ch4_g+nte_ch4)*AIR_CH4/100</f>
        <v>0</v>
      </c>
      <c r="E30" s="38">
        <v>0</v>
      </c>
      <c r="F30" s="38">
        <v>0</v>
      </c>
      <c r="G30" s="38">
        <v>0</v>
      </c>
      <c r="H30" s="38">
        <v>0</v>
      </c>
      <c r="I30" s="38">
        <v>0</v>
      </c>
      <c r="J30" s="38">
        <v>0</v>
      </c>
      <c r="K30" s="38">
        <v>0</v>
      </c>
      <c r="L30" s="38">
        <v>0</v>
      </c>
      <c r="M30" s="38">
        <v>0</v>
      </c>
      <c r="N30" s="4" t="str">
        <f>'Base data'!$G$32</f>
        <v>Mtonne</v>
      </c>
    </row>
    <row r="31" spans="1:24" s="4" customFormat="1" ht="15.5" x14ac:dyDescent="0.4">
      <c r="A31" s="4" t="s">
        <v>80</v>
      </c>
      <c r="B31" s="4" t="s">
        <v>72</v>
      </c>
      <c r="C31" s="43"/>
      <c r="D31" s="38">
        <f>(TEA_CH4_0+tea_ch4)*YP_1/2</f>
        <v>0.04</v>
      </c>
      <c r="E31" s="38">
        <f t="array" ref="E31:M31">(tea_ch4+tea_ch4_not_1)*YP_NOT_1/2</f>
        <v>0</v>
      </c>
      <c r="F31" s="38">
        <v>0</v>
      </c>
      <c r="G31" s="38">
        <v>0</v>
      </c>
      <c r="H31" s="38">
        <v>0</v>
      </c>
      <c r="I31" s="38">
        <v>0</v>
      </c>
      <c r="J31" s="38">
        <v>0</v>
      </c>
      <c r="K31" s="38">
        <v>0</v>
      </c>
      <c r="L31" s="38">
        <v>0</v>
      </c>
      <c r="M31" s="38">
        <v>0</v>
      </c>
      <c r="N31" s="4" t="str">
        <f>'Base data'!$G$32</f>
        <v>Mtonne</v>
      </c>
    </row>
    <row r="32" spans="1:24" s="6" customFormat="1" x14ac:dyDescent="0.25">
      <c r="A32" s="6" t="s">
        <v>91</v>
      </c>
      <c r="C32" s="44"/>
      <c r="D32" s="35">
        <f t="array" ref="D32:M32">EXP(-(YP/RES_CH4))</f>
        <v>0</v>
      </c>
      <c r="E32" s="35">
        <v>0</v>
      </c>
      <c r="F32" s="35">
        <v>0</v>
      </c>
      <c r="G32" s="35">
        <v>0</v>
      </c>
      <c r="H32" s="35">
        <v>0</v>
      </c>
      <c r="I32" s="35">
        <v>0</v>
      </c>
      <c r="J32" s="35">
        <v>0</v>
      </c>
      <c r="K32" s="35">
        <v>0</v>
      </c>
      <c r="L32" s="35">
        <v>0</v>
      </c>
      <c r="M32" s="35">
        <v>0</v>
      </c>
    </row>
    <row r="33" spans="1:14" s="4" customFormat="1" x14ac:dyDescent="0.25">
      <c r="A33" s="4" t="s">
        <v>92</v>
      </c>
      <c r="C33" s="43"/>
      <c r="D33" s="38">
        <f>RE_CH4_0*EXPF_CH4</f>
        <v>0</v>
      </c>
      <c r="E33" s="38">
        <f t="array" ref="E33:M33">re_ch4*EXPF_CH4_NOT_1</f>
        <v>0</v>
      </c>
      <c r="F33" s="38">
        <v>0</v>
      </c>
      <c r="G33" s="38">
        <v>0</v>
      </c>
      <c r="H33" s="38">
        <v>0</v>
      </c>
      <c r="I33" s="38">
        <v>0</v>
      </c>
      <c r="J33" s="38">
        <v>0</v>
      </c>
      <c r="K33" s="38">
        <v>0</v>
      </c>
      <c r="L33" s="38">
        <v>0</v>
      </c>
      <c r="M33" s="38">
        <v>0</v>
      </c>
      <c r="N33" s="4" t="str">
        <f>'Base data'!$G$32</f>
        <v>Mtonne</v>
      </c>
    </row>
    <row r="34" spans="1:14" s="4" customFormat="1" x14ac:dyDescent="0.25">
      <c r="A34" s="4" t="s">
        <v>93</v>
      </c>
      <c r="C34" s="43"/>
      <c r="D34" s="22">
        <f t="array" ref="D34:M34">teay_ch4*RES_CH4*(1-EXPF_CH4)/YP</f>
        <v>4.0000000000000009E-7</v>
      </c>
      <c r="E34" s="22">
        <v>0</v>
      </c>
      <c r="F34" s="22">
        <v>0</v>
      </c>
      <c r="G34" s="22">
        <v>0</v>
      </c>
      <c r="H34" s="22">
        <v>0</v>
      </c>
      <c r="I34" s="22">
        <v>0</v>
      </c>
      <c r="J34" s="22">
        <v>0</v>
      </c>
      <c r="K34" s="22">
        <v>0</v>
      </c>
      <c r="L34" s="22">
        <v>0</v>
      </c>
      <c r="M34" s="22">
        <v>0</v>
      </c>
      <c r="N34" s="4" t="str">
        <f>'Base data'!$G$32</f>
        <v>Mtonne</v>
      </c>
    </row>
    <row r="35" spans="1:14" s="4" customFormat="1" ht="15.5" x14ac:dyDescent="0.4">
      <c r="A35" s="4" t="s">
        <v>64</v>
      </c>
      <c r="B35" s="4" t="s">
        <v>65</v>
      </c>
      <c r="C35" s="22">
        <f>RE_CH4_0</f>
        <v>2.7799999999342617E-3</v>
      </c>
      <c r="D35" s="22">
        <f t="shared" ref="D35:M35" si="3">SUM(D33:D34)</f>
        <v>4.0000000000000009E-7</v>
      </c>
      <c r="E35" s="22">
        <f t="shared" si="3"/>
        <v>0</v>
      </c>
      <c r="F35" s="22">
        <f t="shared" si="3"/>
        <v>0</v>
      </c>
      <c r="G35" s="22">
        <f t="shared" si="3"/>
        <v>0</v>
      </c>
      <c r="H35" s="22">
        <f t="shared" si="3"/>
        <v>0</v>
      </c>
      <c r="I35" s="22">
        <f t="shared" si="3"/>
        <v>0</v>
      </c>
      <c r="J35" s="22">
        <f t="shared" si="3"/>
        <v>0</v>
      </c>
      <c r="K35" s="22">
        <f t="shared" si="3"/>
        <v>0</v>
      </c>
      <c r="L35" s="22">
        <f t="shared" si="3"/>
        <v>0</v>
      </c>
      <c r="M35" s="22">
        <f t="shared" si="3"/>
        <v>0</v>
      </c>
      <c r="N35" s="4" t="str">
        <f>'Base data'!$G$32</f>
        <v>Mtonne</v>
      </c>
    </row>
    <row r="36" spans="1:14" s="4" customFormat="1" ht="15.5" x14ac:dyDescent="0.4">
      <c r="A36" s="4" t="s">
        <v>94</v>
      </c>
      <c r="B36" s="4" t="s">
        <v>95</v>
      </c>
      <c r="C36" s="22">
        <f>C_CH4_0</f>
        <v>700.00099999999998</v>
      </c>
      <c r="D36" s="22">
        <f t="array" ref="D36:M36">PIC_CH4+EXC_CH4*(re_ch4/RE_CH4_0)</f>
        <v>700.0000001438849</v>
      </c>
      <c r="E36" s="22">
        <v>700</v>
      </c>
      <c r="F36" s="22">
        <v>700</v>
      </c>
      <c r="G36" s="22">
        <v>700</v>
      </c>
      <c r="H36" s="22">
        <v>700</v>
      </c>
      <c r="I36" s="22">
        <v>700</v>
      </c>
      <c r="J36" s="22">
        <v>700</v>
      </c>
      <c r="K36" s="22">
        <v>700</v>
      </c>
      <c r="L36" s="22">
        <v>700</v>
      </c>
      <c r="M36" s="22">
        <v>700</v>
      </c>
      <c r="N36" s="4" t="str">
        <f>'Base data'!$F$19</f>
        <v>ppb</v>
      </c>
    </row>
    <row r="37" spans="1:14" s="6" customFormat="1" ht="13" thickBot="1" x14ac:dyDescent="0.3">
      <c r="A37" s="6" t="s">
        <v>195</v>
      </c>
      <c r="C37" s="49">
        <f>F_CH4_0</f>
        <v>0</v>
      </c>
      <c r="D37" s="49">
        <f t="array" ref="D37:M37">F_CH4_0+FSLOPE_CH4*(SQRT(c_ch4)-SQRT(C_CH4_0))</f>
        <v>0</v>
      </c>
      <c r="E37" s="49">
        <v>0</v>
      </c>
      <c r="F37" s="49">
        <v>0</v>
      </c>
      <c r="G37" s="49">
        <v>0</v>
      </c>
      <c r="H37" s="49">
        <v>0</v>
      </c>
      <c r="I37" s="49">
        <v>0</v>
      </c>
      <c r="J37" s="49">
        <v>0</v>
      </c>
      <c r="K37" s="49">
        <v>0</v>
      </c>
      <c r="L37" s="49">
        <v>0</v>
      </c>
      <c r="M37" s="49">
        <v>0</v>
      </c>
      <c r="N37" s="6" t="str">
        <f>'Base data'!$F$21</f>
        <v>W/m2</v>
      </c>
    </row>
    <row r="38" spans="1:14" s="6" customFormat="1" ht="13" thickTop="1" x14ac:dyDescent="0.25">
      <c r="C38" s="17"/>
      <c r="D38" s="17"/>
      <c r="E38" s="17"/>
      <c r="F38" s="17"/>
      <c r="G38" s="17"/>
      <c r="H38" s="17"/>
      <c r="I38" s="17"/>
      <c r="J38" s="17"/>
      <c r="K38" s="17"/>
      <c r="L38" s="17"/>
      <c r="M38" s="17"/>
    </row>
    <row r="39" spans="1:14" s="4" customFormat="1" ht="15.5" x14ac:dyDescent="0.4">
      <c r="A39" s="4" t="s">
        <v>184</v>
      </c>
      <c r="B39" s="80" t="s">
        <v>217</v>
      </c>
      <c r="C39" s="20">
        <f>STIM_N2O*RTL_G_0</f>
        <v>0</v>
      </c>
      <c r="D39" s="20">
        <f>STIM_N2O*RTL_G_0</f>
        <v>0</v>
      </c>
      <c r="E39" s="37">
        <f t="array" ref="E39:M39">STIM_N2O*rt_g</f>
        <v>0</v>
      </c>
      <c r="F39" s="37">
        <v>0</v>
      </c>
      <c r="G39" s="37">
        <v>0</v>
      </c>
      <c r="H39" s="37">
        <v>0</v>
      </c>
      <c r="I39" s="37">
        <v>0</v>
      </c>
      <c r="J39" s="37">
        <v>0</v>
      </c>
      <c r="K39" s="37">
        <v>0</v>
      </c>
      <c r="L39" s="37">
        <v>0</v>
      </c>
      <c r="M39" s="37">
        <v>0</v>
      </c>
      <c r="N39" s="4" t="str">
        <f>'Base data'!$G$32</f>
        <v>Mtonne</v>
      </c>
    </row>
    <row r="40" spans="1:14" s="4" customFormat="1" ht="15.5" x14ac:dyDescent="0.4">
      <c r="A40" s="4" t="s">
        <v>185</v>
      </c>
      <c r="B40" s="80" t="s">
        <v>154</v>
      </c>
      <c r="C40" s="38">
        <f>(E_N2O_G_0+NTE_N2O_0)*AIR_N2O/100</f>
        <v>8.0000000000000002E-3</v>
      </c>
      <c r="D40" s="38">
        <f t="array" ref="D40:M40">(e_n2o_g+nte_n2o)*AIR_N2O/100</f>
        <v>0</v>
      </c>
      <c r="E40" s="38">
        <v>0</v>
      </c>
      <c r="F40" s="38">
        <v>0</v>
      </c>
      <c r="G40" s="38">
        <v>0</v>
      </c>
      <c r="H40" s="38">
        <v>0</v>
      </c>
      <c r="I40" s="38">
        <v>0</v>
      </c>
      <c r="J40" s="38">
        <v>0</v>
      </c>
      <c r="K40" s="38">
        <v>0</v>
      </c>
      <c r="L40" s="38">
        <v>0</v>
      </c>
      <c r="M40" s="38">
        <v>0</v>
      </c>
      <c r="N40" s="4" t="str">
        <f>'Base data'!$G$32</f>
        <v>Mtonne</v>
      </c>
    </row>
    <row r="41" spans="1:14" s="4" customFormat="1" ht="15.5" x14ac:dyDescent="0.4">
      <c r="A41" s="4" t="s">
        <v>186</v>
      </c>
      <c r="B41" s="80" t="s">
        <v>155</v>
      </c>
      <c r="C41" s="43"/>
      <c r="D41" s="38">
        <f>(TEA_N2O_0+tea_n2o)*YP_1/2</f>
        <v>0.04</v>
      </c>
      <c r="E41" s="38">
        <f t="array" ref="E41:M41">(tea_n2o+tea_n2o_not_1)*YP_NOT_1/2</f>
        <v>0</v>
      </c>
      <c r="F41" s="38">
        <v>0</v>
      </c>
      <c r="G41" s="38">
        <v>0</v>
      </c>
      <c r="H41" s="38">
        <v>0</v>
      </c>
      <c r="I41" s="38">
        <v>0</v>
      </c>
      <c r="J41" s="38">
        <v>0</v>
      </c>
      <c r="K41" s="38">
        <v>0</v>
      </c>
      <c r="L41" s="38">
        <v>0</v>
      </c>
      <c r="M41" s="38">
        <v>0</v>
      </c>
      <c r="N41" s="4" t="str">
        <f>'Base data'!$G$32</f>
        <v>Mtonne</v>
      </c>
    </row>
    <row r="42" spans="1:14" s="6" customFormat="1" x14ac:dyDescent="0.25">
      <c r="A42" s="6" t="s">
        <v>187</v>
      </c>
      <c r="C42" s="44"/>
      <c r="D42" s="35">
        <f t="array" ref="D42:M42">EXP(-(YP/RES_N2O))</f>
        <v>0</v>
      </c>
      <c r="E42" s="35">
        <v>0</v>
      </c>
      <c r="F42" s="35">
        <v>0</v>
      </c>
      <c r="G42" s="35">
        <v>0</v>
      </c>
      <c r="H42" s="35">
        <v>0</v>
      </c>
      <c r="I42" s="35">
        <v>0</v>
      </c>
      <c r="J42" s="35">
        <v>0</v>
      </c>
      <c r="K42" s="35">
        <v>0</v>
      </c>
      <c r="L42" s="35">
        <v>0</v>
      </c>
      <c r="M42" s="35">
        <v>0</v>
      </c>
    </row>
    <row r="43" spans="1:14" s="4" customFormat="1" x14ac:dyDescent="0.25">
      <c r="A43" s="4" t="s">
        <v>188</v>
      </c>
      <c r="C43" s="43"/>
      <c r="D43" s="38">
        <f>RE_N2O_0*EXPF_N2O</f>
        <v>0</v>
      </c>
      <c r="E43" s="38">
        <f t="array" ref="E43:M43">re_n2o*EXPF_N2O_NOT_1</f>
        <v>0</v>
      </c>
      <c r="F43" s="38">
        <v>0</v>
      </c>
      <c r="G43" s="38">
        <v>0</v>
      </c>
      <c r="H43" s="38">
        <v>0</v>
      </c>
      <c r="I43" s="38">
        <v>0</v>
      </c>
      <c r="J43" s="38">
        <v>0</v>
      </c>
      <c r="K43" s="38">
        <v>0</v>
      </c>
      <c r="L43" s="38">
        <v>0</v>
      </c>
      <c r="M43" s="38">
        <v>0</v>
      </c>
      <c r="N43" s="4" t="str">
        <f>'Base data'!$G$32</f>
        <v>Mtonne</v>
      </c>
    </row>
    <row r="44" spans="1:14" s="4" customFormat="1" x14ac:dyDescent="0.25">
      <c r="A44" s="4" t="s">
        <v>189</v>
      </c>
      <c r="C44" s="43"/>
      <c r="D44" s="22">
        <f t="array" ref="D44:M44">teay_n2o*RES_N2O*(1-EXPF_N2O)/YP</f>
        <v>4.0000000000000009E-7</v>
      </c>
      <c r="E44" s="22">
        <v>0</v>
      </c>
      <c r="F44" s="22">
        <v>0</v>
      </c>
      <c r="G44" s="22">
        <v>0</v>
      </c>
      <c r="H44" s="22">
        <v>0</v>
      </c>
      <c r="I44" s="22">
        <v>0</v>
      </c>
      <c r="J44" s="22">
        <v>0</v>
      </c>
      <c r="K44" s="22">
        <v>0</v>
      </c>
      <c r="L44" s="22">
        <v>0</v>
      </c>
      <c r="M44" s="22">
        <v>0</v>
      </c>
      <c r="N44" s="4" t="str">
        <f>'Base data'!$G$32</f>
        <v>Mtonne</v>
      </c>
    </row>
    <row r="45" spans="1:14" s="4" customFormat="1" ht="15.5" x14ac:dyDescent="0.4">
      <c r="A45" s="4" t="s">
        <v>190</v>
      </c>
      <c r="B45" s="80" t="s">
        <v>156</v>
      </c>
      <c r="C45" s="22">
        <f>RE_N2O_0</f>
        <v>7.7999999998155543E-3</v>
      </c>
      <c r="D45" s="22">
        <f t="shared" ref="D45:M45" si="4">SUM(D43:D44)</f>
        <v>4.0000000000000009E-7</v>
      </c>
      <c r="E45" s="22">
        <f t="shared" si="4"/>
        <v>0</v>
      </c>
      <c r="F45" s="22">
        <f t="shared" si="4"/>
        <v>0</v>
      </c>
      <c r="G45" s="22">
        <f t="shared" si="4"/>
        <v>0</v>
      </c>
      <c r="H45" s="22">
        <f t="shared" si="4"/>
        <v>0</v>
      </c>
      <c r="I45" s="22">
        <f t="shared" si="4"/>
        <v>0</v>
      </c>
      <c r="J45" s="22">
        <f t="shared" si="4"/>
        <v>0</v>
      </c>
      <c r="K45" s="22">
        <f t="shared" si="4"/>
        <v>0</v>
      </c>
      <c r="L45" s="22">
        <f t="shared" si="4"/>
        <v>0</v>
      </c>
      <c r="M45" s="22">
        <f t="shared" si="4"/>
        <v>0</v>
      </c>
      <c r="N45" s="4" t="str">
        <f>'Base data'!$G$32</f>
        <v>Mtonne</v>
      </c>
    </row>
    <row r="46" spans="1:14" s="4" customFormat="1" ht="15.5" x14ac:dyDescent="0.4">
      <c r="A46" s="4" t="s">
        <v>191</v>
      </c>
      <c r="B46" s="80" t="s">
        <v>157</v>
      </c>
      <c r="C46" s="22">
        <f>C_N2O_0</f>
        <v>270.00099999999998</v>
      </c>
      <c r="D46" s="22">
        <f t="array" ref="D46:M46">PIC_N2O+EXC_N2O*(re_n2o/RE_N2O_0)</f>
        <v>270.00000005128203</v>
      </c>
      <c r="E46" s="22">
        <v>270</v>
      </c>
      <c r="F46" s="22">
        <v>270</v>
      </c>
      <c r="G46" s="22">
        <v>270</v>
      </c>
      <c r="H46" s="22">
        <v>270</v>
      </c>
      <c r="I46" s="22">
        <v>270</v>
      </c>
      <c r="J46" s="22">
        <v>270</v>
      </c>
      <c r="K46" s="22">
        <v>270</v>
      </c>
      <c r="L46" s="22">
        <v>270</v>
      </c>
      <c r="M46" s="22">
        <v>270</v>
      </c>
      <c r="N46" s="4" t="str">
        <f>'Base data'!$F$19</f>
        <v>ppb</v>
      </c>
    </row>
    <row r="47" spans="1:14" s="6" customFormat="1" x14ac:dyDescent="0.25">
      <c r="A47" s="6" t="s">
        <v>196</v>
      </c>
      <c r="C47" s="35">
        <f>F_N2O_0</f>
        <v>0</v>
      </c>
      <c r="D47" s="35">
        <f t="array" ref="D47:M47">F_N2O_0+FSLOPE_N2O*(SQRT(c_n2o)-SQRT(C_N2O_0))</f>
        <v>0</v>
      </c>
      <c r="E47" s="35">
        <v>0</v>
      </c>
      <c r="F47" s="35">
        <v>0</v>
      </c>
      <c r="G47" s="35">
        <v>0</v>
      </c>
      <c r="H47" s="35">
        <v>0</v>
      </c>
      <c r="I47" s="35">
        <v>0</v>
      </c>
      <c r="J47" s="35">
        <v>0</v>
      </c>
      <c r="K47" s="35">
        <v>0</v>
      </c>
      <c r="L47" s="35">
        <v>0</v>
      </c>
      <c r="M47" s="35">
        <v>0</v>
      </c>
      <c r="N47" s="6" t="str">
        <f>'Base data'!$F$21</f>
        <v>W/m2</v>
      </c>
    </row>
    <row r="48" spans="1:14" s="6" customFormat="1" x14ac:dyDescent="0.25">
      <c r="A48" s="6" t="s">
        <v>193</v>
      </c>
      <c r="C48" s="35">
        <v>0</v>
      </c>
      <c r="D48" s="35">
        <f t="array" ref="D48:M48">-(0.47*LN(1+0.00002*(c_ch4*C_N2O_0)^0.75+0.0000000000000053*c_ch4*(c_ch4*C_N2O_0)^1.52)-0.47*LN(1+0.00002*(C_CH4_0*C_N2O_0)^0.75+0.0000000000000053*C_CH4_0*(C_CH4_0*C_N2O_0)^1.52))</f>
        <v>7.7802473935628669E-8</v>
      </c>
      <c r="E48" s="35">
        <v>7.7813670271154045E-8</v>
      </c>
      <c r="F48" s="35">
        <v>7.7813670271154045E-8</v>
      </c>
      <c r="G48" s="35">
        <v>7.7813670271154045E-8</v>
      </c>
      <c r="H48" s="35">
        <v>7.7813670271154045E-8</v>
      </c>
      <c r="I48" s="35">
        <v>7.7813670271154045E-8</v>
      </c>
      <c r="J48" s="35">
        <v>7.7813670271154045E-8</v>
      </c>
      <c r="K48" s="35">
        <v>7.7813670271154045E-8</v>
      </c>
      <c r="L48" s="35">
        <v>7.7813670271154045E-8</v>
      </c>
      <c r="M48" s="35">
        <v>7.7813670271154045E-8</v>
      </c>
      <c r="N48" s="6" t="str">
        <f>'Base data'!$F$21</f>
        <v>W/m2</v>
      </c>
    </row>
    <row r="49" spans="1:24" s="6" customFormat="1" x14ac:dyDescent="0.25">
      <c r="A49" s="6" t="s">
        <v>194</v>
      </c>
      <c r="C49" s="35">
        <v>0</v>
      </c>
      <c r="D49" s="35">
        <f t="array" ref="D49:M49">-(0.47*LN(1+0.00002*(C_CH4_0*c_n2o)^0.75+0.0000000000000053*C_CH4_0*(C_CH4_0*c_n2o)^1.52)-0.47*LN(1+0.00002*(C_CH4_0*C_N2O_0)^0.75+0.0000000000000053*C_CH4_0*(C_CH4_0*C_N2O_0)^1.52))</f>
        <v>2.0115587909264043E-7</v>
      </c>
      <c r="E49" s="35">
        <v>2.0116619527110746E-7</v>
      </c>
      <c r="F49" s="35">
        <v>2.0116619527110746E-7</v>
      </c>
      <c r="G49" s="35">
        <v>2.0116619527110746E-7</v>
      </c>
      <c r="H49" s="35">
        <v>2.0116619527110746E-7</v>
      </c>
      <c r="I49" s="35">
        <v>2.0116619527110746E-7</v>
      </c>
      <c r="J49" s="35">
        <v>2.0116619527110746E-7</v>
      </c>
      <c r="K49" s="35">
        <v>2.0116619527110746E-7</v>
      </c>
      <c r="L49" s="35">
        <v>2.0116619527110746E-7</v>
      </c>
      <c r="M49" s="35">
        <v>2.0116619527110746E-7</v>
      </c>
      <c r="N49" s="6" t="str">
        <f>'Base data'!$F$21</f>
        <v>W/m2</v>
      </c>
    </row>
    <row r="50" spans="1:24" s="6" customFormat="1" ht="15.5" x14ac:dyDescent="0.4">
      <c r="A50" s="6" t="s">
        <v>96</v>
      </c>
      <c r="B50" s="6" t="s">
        <v>97</v>
      </c>
      <c r="C50" s="35">
        <f>F_CH4_0</f>
        <v>0</v>
      </c>
      <c r="D50" s="35">
        <f t="array" ref="D50:M50">f_ch4_no_over+over_ch4</f>
        <v>7.7802473935628669E-8</v>
      </c>
      <c r="E50" s="35">
        <v>7.7813670271154045E-8</v>
      </c>
      <c r="F50" s="35">
        <v>7.7813670271154045E-8</v>
      </c>
      <c r="G50" s="35">
        <v>7.7813670271154045E-8</v>
      </c>
      <c r="H50" s="35">
        <v>7.7813670271154045E-8</v>
      </c>
      <c r="I50" s="35">
        <v>7.7813670271154045E-8</v>
      </c>
      <c r="J50" s="35">
        <v>7.7813670271154045E-8</v>
      </c>
      <c r="K50" s="35">
        <v>7.7813670271154045E-8</v>
      </c>
      <c r="L50" s="35">
        <v>7.7813670271154045E-8</v>
      </c>
      <c r="M50" s="35">
        <v>7.7813670271154045E-8</v>
      </c>
      <c r="N50" s="6" t="str">
        <f>'Base data'!$F$21</f>
        <v>W/m2</v>
      </c>
    </row>
    <row r="51" spans="1:24" s="6" customFormat="1" ht="16" thickBot="1" x14ac:dyDescent="0.45">
      <c r="A51" s="6" t="s">
        <v>192</v>
      </c>
      <c r="B51" s="78" t="s">
        <v>158</v>
      </c>
      <c r="C51" s="49">
        <f>F_N2O_0</f>
        <v>0</v>
      </c>
      <c r="D51" s="49">
        <f t="array" ref="D51:M51">f_n2o_no_over+over_n2o</f>
        <v>2.0115587909264043E-7</v>
      </c>
      <c r="E51" s="49">
        <v>2.0116619527110746E-7</v>
      </c>
      <c r="F51" s="49">
        <v>2.0116619527110746E-7</v>
      </c>
      <c r="G51" s="49">
        <v>2.0116619527110746E-7</v>
      </c>
      <c r="H51" s="49">
        <v>2.0116619527110746E-7</v>
      </c>
      <c r="I51" s="49">
        <v>2.0116619527110746E-7</v>
      </c>
      <c r="J51" s="49">
        <v>2.0116619527110746E-7</v>
      </c>
      <c r="K51" s="49">
        <v>2.0116619527110746E-7</v>
      </c>
      <c r="L51" s="49">
        <v>2.0116619527110746E-7</v>
      </c>
      <c r="M51" s="49">
        <v>2.0116619527110746E-7</v>
      </c>
    </row>
    <row r="52" spans="1:24" s="6" customFormat="1" ht="13" thickTop="1" x14ac:dyDescent="0.25">
      <c r="C52" s="17"/>
      <c r="D52" s="17"/>
      <c r="E52" s="17"/>
      <c r="F52" s="17"/>
      <c r="G52" s="17"/>
      <c r="H52" s="17"/>
      <c r="I52" s="17"/>
      <c r="J52" s="17"/>
      <c r="K52" s="17"/>
      <c r="L52" s="17"/>
      <c r="M52" s="17"/>
    </row>
    <row r="53" spans="1:24" s="4" customFormat="1" ht="15.5" x14ac:dyDescent="0.4">
      <c r="A53" s="4" t="str">
        <f>"Natural emissions of "&amp;GLIN_NAME</f>
        <v>Natural emissions of Lin</v>
      </c>
      <c r="B53" s="80" t="s">
        <v>218</v>
      </c>
      <c r="C53" s="20">
        <f>STIM_GLIN*RTL_G_0</f>
        <v>0</v>
      </c>
      <c r="D53" s="20">
        <f>STIM_GLIN*RTL_G_0</f>
        <v>0</v>
      </c>
      <c r="E53" s="37">
        <f t="array" ref="E53:M53">STIM_GLIN*rt_g</f>
        <v>0</v>
      </c>
      <c r="F53" s="37">
        <v>0</v>
      </c>
      <c r="G53" s="37">
        <v>0</v>
      </c>
      <c r="H53" s="37">
        <v>0</v>
      </c>
      <c r="I53" s="37">
        <v>0</v>
      </c>
      <c r="J53" s="37">
        <v>0</v>
      </c>
      <c r="K53" s="37">
        <v>0</v>
      </c>
      <c r="L53" s="37">
        <v>0</v>
      </c>
      <c r="M53" s="37">
        <v>0</v>
      </c>
      <c r="N53" s="4" t="str">
        <f>'Base data'!$G$32</f>
        <v>Mtonne</v>
      </c>
    </row>
    <row r="54" spans="1:24" s="4" customFormat="1" ht="15.5" x14ac:dyDescent="0.4">
      <c r="A54" s="4" t="str">
        <f>"Total emissions to air of "&amp;GLIN_NAME</f>
        <v>Total emissions to air of Lin</v>
      </c>
      <c r="B54" s="80" t="s">
        <v>219</v>
      </c>
      <c r="C54" s="38">
        <f>(E_GLIN_G_0+NTE_GLIN_0)*AIR_GLIN/100</f>
        <v>8.0000000000000002E-3</v>
      </c>
      <c r="D54" s="38">
        <f t="array" ref="D54:M54">(e_glin_g+nte_glin)*AIR_GLIN/100</f>
        <v>0</v>
      </c>
      <c r="E54" s="38">
        <v>0</v>
      </c>
      <c r="F54" s="38">
        <v>0</v>
      </c>
      <c r="G54" s="38">
        <v>0</v>
      </c>
      <c r="H54" s="38">
        <v>0</v>
      </c>
      <c r="I54" s="38">
        <v>0</v>
      </c>
      <c r="J54" s="38">
        <v>0</v>
      </c>
      <c r="K54" s="38">
        <v>0</v>
      </c>
      <c r="L54" s="38">
        <v>0</v>
      </c>
      <c r="M54" s="38">
        <v>0</v>
      </c>
      <c r="N54" s="4" t="str">
        <f>'Base data'!$G$32</f>
        <v>Mtonne</v>
      </c>
    </row>
    <row r="55" spans="1:24" s="4" customFormat="1" ht="15.5" x14ac:dyDescent="0.4">
      <c r="A55" s="4" t="str">
        <f>"Total this period of "&amp;GLIN_NAME</f>
        <v>Total this period of Lin</v>
      </c>
      <c r="B55" s="80" t="s">
        <v>220</v>
      </c>
      <c r="C55" s="43"/>
      <c r="D55" s="38">
        <f>(TEA_GLIN_0+tea_glin)*YP_1/2</f>
        <v>0.04</v>
      </c>
      <c r="E55" s="38">
        <f t="array" ref="E55:M55">(tea_glin+tea_glin_not_1)*YP_NOT_1/2</f>
        <v>0</v>
      </c>
      <c r="F55" s="38">
        <v>0</v>
      </c>
      <c r="G55" s="38">
        <v>0</v>
      </c>
      <c r="H55" s="38">
        <v>0</v>
      </c>
      <c r="I55" s="38">
        <v>0</v>
      </c>
      <c r="J55" s="38">
        <v>0</v>
      </c>
      <c r="K55" s="38">
        <v>0</v>
      </c>
      <c r="L55" s="38">
        <v>0</v>
      </c>
      <c r="M55" s="38">
        <v>0</v>
      </c>
      <c r="N55" s="4" t="str">
        <f>'Base data'!$G$32</f>
        <v>Mtonne</v>
      </c>
    </row>
    <row r="56" spans="1:24" s="6" customFormat="1" x14ac:dyDescent="0.25">
      <c r="A56" s="6" t="str">
        <f>"Exponential factor for "&amp;GLIN_NAME</f>
        <v>Exponential factor for Lin</v>
      </c>
      <c r="C56" s="44"/>
      <c r="D56" s="35">
        <f t="array" ref="D56:M56">EXP(-(YP/RES_GLIN))</f>
        <v>0</v>
      </c>
      <c r="E56" s="35">
        <v>0</v>
      </c>
      <c r="F56" s="35">
        <v>0</v>
      </c>
      <c r="G56" s="35">
        <v>0</v>
      </c>
      <c r="H56" s="35">
        <v>0</v>
      </c>
      <c r="I56" s="35">
        <v>0</v>
      </c>
      <c r="J56" s="35">
        <v>0</v>
      </c>
      <c r="K56" s="35">
        <v>0</v>
      </c>
      <c r="L56" s="35">
        <v>0</v>
      </c>
      <c r="M56" s="35">
        <v>0</v>
      </c>
    </row>
    <row r="57" spans="1:24" s="4" customFormat="1" x14ac:dyDescent="0.25">
      <c r="A57" s="4" t="str">
        <f>"Remaining emissions factor for "&amp;GLIN_NAME</f>
        <v>Remaining emissions factor for Lin</v>
      </c>
      <c r="C57" s="43"/>
      <c r="D57" s="38">
        <f>RE_GLIN_0*EXPF_GLIN</f>
        <v>0</v>
      </c>
      <c r="E57" s="38">
        <f t="array" ref="E57:M57">re_glin*EXPF_GLIN_NOT_1</f>
        <v>0</v>
      </c>
      <c r="F57" s="38">
        <v>0</v>
      </c>
      <c r="G57" s="38">
        <v>0</v>
      </c>
      <c r="H57" s="38">
        <v>0</v>
      </c>
      <c r="I57" s="38">
        <v>0</v>
      </c>
      <c r="J57" s="38">
        <v>0</v>
      </c>
      <c r="K57" s="38">
        <v>0</v>
      </c>
      <c r="L57" s="38">
        <v>0</v>
      </c>
      <c r="M57" s="38">
        <v>0</v>
      </c>
      <c r="N57" s="4" t="str">
        <f>'Base data'!$G$32</f>
        <v>Mtonne</v>
      </c>
    </row>
    <row r="58" spans="1:24" s="4" customFormat="1" x14ac:dyDescent="0.25">
      <c r="A58" s="4" t="str">
        <f>"Total this period factor for "&amp;GLIN_NAME</f>
        <v>Total this period factor for Lin</v>
      </c>
      <c r="C58" s="43"/>
      <c r="D58" s="38">
        <f t="array" ref="D58:M58">teay_glin*RES_GLIN*(1-EXPF_GLIN)/YP</f>
        <v>4.0000000000000009E-7</v>
      </c>
      <c r="E58" s="38">
        <v>0</v>
      </c>
      <c r="F58" s="38">
        <v>0</v>
      </c>
      <c r="G58" s="38">
        <v>0</v>
      </c>
      <c r="H58" s="38">
        <v>0</v>
      </c>
      <c r="I58" s="38">
        <v>0</v>
      </c>
      <c r="J58" s="38">
        <v>0</v>
      </c>
      <c r="K58" s="38">
        <v>0</v>
      </c>
      <c r="L58" s="38">
        <v>0</v>
      </c>
      <c r="M58" s="38">
        <v>0</v>
      </c>
      <c r="N58" s="4" t="str">
        <f>'Base data'!$G$32</f>
        <v>Mtonne</v>
      </c>
    </row>
    <row r="59" spans="1:24" s="4" customFormat="1" ht="15.5" x14ac:dyDescent="0.4">
      <c r="A59" s="4" t="str">
        <f>"Remaining emissions of "&amp;GLIN_NAME</f>
        <v>Remaining emissions of Lin</v>
      </c>
      <c r="B59" s="80" t="s">
        <v>221</v>
      </c>
      <c r="C59" s="38">
        <f>RE_GLIN_0</f>
        <v>1.0000000000000001E-5</v>
      </c>
      <c r="D59" s="38">
        <f t="shared" ref="D59:M59" si="5">SUM(D57:D58)</f>
        <v>4.0000000000000009E-7</v>
      </c>
      <c r="E59" s="38">
        <f t="shared" si="5"/>
        <v>0</v>
      </c>
      <c r="F59" s="38">
        <f t="shared" si="5"/>
        <v>0</v>
      </c>
      <c r="G59" s="38">
        <f t="shared" si="5"/>
        <v>0</v>
      </c>
      <c r="H59" s="38">
        <f t="shared" si="5"/>
        <v>0</v>
      </c>
      <c r="I59" s="38">
        <f t="shared" si="5"/>
        <v>0</v>
      </c>
      <c r="J59" s="38">
        <f t="shared" si="5"/>
        <v>0</v>
      </c>
      <c r="K59" s="38">
        <f t="shared" si="5"/>
        <v>0</v>
      </c>
      <c r="L59" s="38">
        <f t="shared" si="5"/>
        <v>0</v>
      </c>
      <c r="M59" s="38">
        <f t="shared" si="5"/>
        <v>0</v>
      </c>
      <c r="N59" s="4" t="str">
        <f>'Base data'!$G$32</f>
        <v>Mtonne</v>
      </c>
    </row>
    <row r="60" spans="1:24" s="4" customFormat="1" ht="15.5" x14ac:dyDescent="0.4">
      <c r="A60" s="4" t="str">
        <f>"Concentration of "&amp;GLIN_NAME</f>
        <v>Concentration of Lin</v>
      </c>
      <c r="B60" s="80" t="s">
        <v>222</v>
      </c>
      <c r="C60" s="38">
        <f>C_GLIN_0</f>
        <v>1E-10</v>
      </c>
      <c r="D60" s="38">
        <f t="array" ref="D60:M60">PIC_GLIN+EXC_GLIN*(re_glin/RE_GLIN_0)</f>
        <v>4.0000000000000007E-12</v>
      </c>
      <c r="E60" s="38">
        <v>0</v>
      </c>
      <c r="F60" s="38">
        <v>0</v>
      </c>
      <c r="G60" s="38">
        <v>0</v>
      </c>
      <c r="H60" s="38">
        <v>0</v>
      </c>
      <c r="I60" s="38">
        <v>0</v>
      </c>
      <c r="J60" s="38">
        <v>0</v>
      </c>
      <c r="K60" s="38">
        <v>0</v>
      </c>
      <c r="L60" s="38">
        <v>0</v>
      </c>
      <c r="M60" s="38">
        <v>0</v>
      </c>
      <c r="N60" s="4" t="str">
        <f>'Base data'!$F$19</f>
        <v>ppb</v>
      </c>
    </row>
    <row r="61" spans="1:24" s="6" customFormat="1" ht="15.5" x14ac:dyDescent="0.4">
      <c r="A61" s="6" t="str">
        <f>"Forcing from "&amp;GLIN_NAME</f>
        <v>Forcing from Lin</v>
      </c>
      <c r="B61" s="78" t="s">
        <v>223</v>
      </c>
      <c r="C61" s="38">
        <f>F_GLIN_0</f>
        <v>0</v>
      </c>
      <c r="D61" s="38">
        <f t="array" ref="D61:M61">F_GLIN_0+FSLOPE_GLIN*(c_glin-C_GLIN_0)</f>
        <v>0</v>
      </c>
      <c r="E61" s="38">
        <v>0</v>
      </c>
      <c r="F61" s="38">
        <v>0</v>
      </c>
      <c r="G61" s="38">
        <v>0</v>
      </c>
      <c r="H61" s="38">
        <v>0</v>
      </c>
      <c r="I61" s="38">
        <v>0</v>
      </c>
      <c r="J61" s="38">
        <v>0</v>
      </c>
      <c r="K61" s="38">
        <v>0</v>
      </c>
      <c r="L61" s="38">
        <v>0</v>
      </c>
      <c r="M61" s="38">
        <v>0</v>
      </c>
      <c r="N61" s="6" t="str">
        <f>'Base data'!$F$21</f>
        <v>W/m2</v>
      </c>
    </row>
    <row r="62" spans="1:24" ht="13" thickBot="1" x14ac:dyDescent="0.3">
      <c r="A62" s="4" t="s">
        <v>159</v>
      </c>
      <c r="B62" s="4" t="s">
        <v>98</v>
      </c>
      <c r="C62" s="49">
        <f>F_CO2_0+F_CH4_0+F_N2O_0+F_GLIN_0+EXF_0</f>
        <v>2.8357852798494578</v>
      </c>
      <c r="D62" s="49">
        <f t="array" ref="D62:M62">f_co2+f_ch4+f_n2o+f_glin+exf_a</f>
        <v>3.3485842571270883</v>
      </c>
      <c r="E62" s="49">
        <v>3.6914461095949278</v>
      </c>
      <c r="F62" s="49">
        <v>4.0146338011976619</v>
      </c>
      <c r="G62" s="49">
        <v>4.2754809708120192</v>
      </c>
      <c r="H62" s="49">
        <v>4.4123276018483448</v>
      </c>
      <c r="I62" s="49">
        <v>4.4749602166205911</v>
      </c>
      <c r="J62" s="49">
        <v>4.449022496024357</v>
      </c>
      <c r="K62" s="49">
        <v>4.4015050836135989</v>
      </c>
      <c r="L62" s="49">
        <v>4.4779840738706138</v>
      </c>
      <c r="M62" s="49">
        <v>4.7879502556084415</v>
      </c>
      <c r="N62" s="6" t="str">
        <f>'Base data'!$F$21</f>
        <v>W/m2</v>
      </c>
      <c r="O62" s="6">
        <f t="shared" ref="O62:X62" si="6">D62</f>
        <v>3.3485842571270883</v>
      </c>
      <c r="P62" s="6">
        <f t="shared" si="6"/>
        <v>3.6914461095949278</v>
      </c>
      <c r="Q62" s="6">
        <f t="shared" si="6"/>
        <v>4.0146338011976619</v>
      </c>
      <c r="R62" s="6">
        <f t="shared" si="6"/>
        <v>4.2754809708120192</v>
      </c>
      <c r="S62" s="6">
        <f t="shared" si="6"/>
        <v>4.4123276018483448</v>
      </c>
      <c r="T62" s="6">
        <f t="shared" si="6"/>
        <v>4.4749602166205911</v>
      </c>
      <c r="U62" s="6">
        <f t="shared" si="6"/>
        <v>4.449022496024357</v>
      </c>
      <c r="V62" s="6">
        <f t="shared" si="6"/>
        <v>4.4015050836135989</v>
      </c>
      <c r="W62" s="6">
        <f t="shared" si="6"/>
        <v>4.4779840738706138</v>
      </c>
      <c r="X62" s="6">
        <f t="shared" si="6"/>
        <v>4.7879502556084415</v>
      </c>
    </row>
    <row r="63" spans="1:24" ht="13" thickTop="1" x14ac:dyDescent="0.25">
      <c r="A63" s="4"/>
      <c r="B63" s="4"/>
      <c r="C63" s="6"/>
      <c r="D63" s="6"/>
      <c r="E63" s="6"/>
      <c r="F63" s="6"/>
      <c r="G63" s="6"/>
      <c r="H63" s="6"/>
      <c r="I63" s="6"/>
      <c r="J63" s="6"/>
      <c r="K63" s="6"/>
      <c r="L63" s="6"/>
      <c r="M63" s="6"/>
      <c r="N63" s="6"/>
    </row>
    <row r="64" spans="1:24" s="1" customFormat="1" x14ac:dyDescent="0.25">
      <c r="A64" s="84" t="s">
        <v>239</v>
      </c>
      <c r="B64" s="1" t="str">
        <f t="array" ref="B64:B71">R_CODE</f>
        <v>EU</v>
      </c>
      <c r="C64" s="37">
        <f t="array" ref="C64:C71">SE_0/AREA</f>
        <v>1.3555555555555554E-6</v>
      </c>
      <c r="D64" s="37">
        <f t="array" ref="D64:M71">SE_0*(pse_a/100)/AREA</f>
        <v>7.8649704764702146E-7</v>
      </c>
      <c r="E64" s="37">
        <v>5.4700142058369409E-7</v>
      </c>
      <c r="F64" s="37">
        <v>5.4384151888168414E-7</v>
      </c>
      <c r="G64" s="37">
        <v>5.0282073358645428E-7</v>
      </c>
      <c r="H64" s="37">
        <v>5.4780259313707858E-7</v>
      </c>
      <c r="I64" s="37">
        <v>5.1156167742695437E-7</v>
      </c>
      <c r="J64" s="37">
        <v>4.3907984600670613E-7</v>
      </c>
      <c r="K64" s="37">
        <v>3.6659801458645767E-7</v>
      </c>
      <c r="L64" s="37">
        <v>3.6659801458645767E-7</v>
      </c>
      <c r="M64" s="37">
        <v>3.6659801458645767E-7</v>
      </c>
      <c r="N64" s="1" t="str">
        <f>'Base data'!$K$32</f>
        <v>Tg/Km2</v>
      </c>
    </row>
    <row r="65" spans="1:14" s="1" customFormat="1" x14ac:dyDescent="0.25">
      <c r="B65" s="1" t="str">
        <v>US</v>
      </c>
      <c r="C65" s="38">
        <v>8.8646801238919153E-7</v>
      </c>
      <c r="D65" s="38">
        <v>5.1433116977037719E-7</v>
      </c>
      <c r="E65" s="38">
        <v>3.577125703860674E-7</v>
      </c>
      <c r="F65" s="38">
        <v>3.5564614694097455E-7</v>
      </c>
      <c r="G65" s="38">
        <v>3.2882053005033892E-7</v>
      </c>
      <c r="H65" s="38">
        <v>3.582364986294131E-7</v>
      </c>
      <c r="I65" s="38">
        <v>3.3453668611708015E-7</v>
      </c>
      <c r="J65" s="38">
        <v>2.8713706109241425E-7</v>
      </c>
      <c r="K65" s="38">
        <v>2.3973743606774831E-7</v>
      </c>
      <c r="L65" s="38">
        <v>2.3973743606774831E-7</v>
      </c>
      <c r="M65" s="38">
        <v>2.3973743606774831E-7</v>
      </c>
      <c r="N65" s="1" t="str">
        <f>'Base data'!$K$32</f>
        <v>Tg/Km2</v>
      </c>
    </row>
    <row r="66" spans="1:14" s="1" customFormat="1" x14ac:dyDescent="0.25">
      <c r="B66" s="1" t="str">
        <v>OT</v>
      </c>
      <c r="C66" s="38">
        <v>1.8300837615260083E-7</v>
      </c>
      <c r="D66" s="38">
        <v>1.0618196129903813E-7</v>
      </c>
      <c r="E66" s="38">
        <v>7.3848571771122074E-8</v>
      </c>
      <c r="F66" s="38">
        <v>7.3421965515910602E-8</v>
      </c>
      <c r="G66" s="38">
        <v>6.7883906028331866E-8</v>
      </c>
      <c r="H66" s="38">
        <v>7.3956735016377524E-8</v>
      </c>
      <c r="I66" s="38">
        <v>6.906398745821868E-8</v>
      </c>
      <c r="J66" s="38">
        <v>5.9278492341900979E-8</v>
      </c>
      <c r="K66" s="38">
        <v>4.9492997225583271E-8</v>
      </c>
      <c r="L66" s="38">
        <v>4.9492997225583271E-8</v>
      </c>
      <c r="M66" s="38">
        <v>4.9492997225583271E-8</v>
      </c>
      <c r="N66" s="1" t="str">
        <f>'Base data'!$K$32</f>
        <v>Tg/Km2</v>
      </c>
    </row>
    <row r="67" spans="1:14" s="1" customFormat="1" x14ac:dyDescent="0.25">
      <c r="B67" s="1" t="str">
        <v>EE</v>
      </c>
      <c r="C67" s="38">
        <v>4.8034934497816597E-7</v>
      </c>
      <c r="D67" s="38">
        <v>5.3009369661786026E-7</v>
      </c>
      <c r="E67" s="38">
        <v>4.6882520137886344E-7</v>
      </c>
      <c r="F67" s="38">
        <v>3.4133660519240415E-7</v>
      </c>
      <c r="G67" s="38">
        <v>1.8535880563806057E-7</v>
      </c>
      <c r="H67" s="38">
        <v>1.5099600806358238E-7</v>
      </c>
      <c r="I67" s="38">
        <v>1.3434152513819652E-7</v>
      </c>
      <c r="J67" s="38">
        <v>1.0103255928742482E-7</v>
      </c>
      <c r="K67" s="38">
        <v>6.7723593436653118E-8</v>
      </c>
      <c r="L67" s="38">
        <v>6.7723593436653118E-8</v>
      </c>
      <c r="M67" s="38">
        <v>6.7723593436653118E-8</v>
      </c>
      <c r="N67" s="1" t="str">
        <f>'Base data'!$K$32</f>
        <v>Tg/Km2</v>
      </c>
    </row>
    <row r="68" spans="1:14" s="1" customFormat="1" x14ac:dyDescent="0.25">
      <c r="B68" s="1" t="str">
        <v>CA</v>
      </c>
      <c r="C68" s="38">
        <v>1.7904339670901185E-6</v>
      </c>
      <c r="D68" s="38">
        <v>2.9775687812478925E-6</v>
      </c>
      <c r="E68" s="38">
        <v>3.8369061589721272E-6</v>
      </c>
      <c r="F68" s="38">
        <v>2.7117203080184045E-6</v>
      </c>
      <c r="G68" s="38">
        <v>1.4017833545700111E-6</v>
      </c>
      <c r="H68" s="38">
        <v>1.0708758758105345E-6</v>
      </c>
      <c r="I68" s="38">
        <v>9.471571730009837E-7</v>
      </c>
      <c r="J68" s="38">
        <v>6.9971976738188266E-7</v>
      </c>
      <c r="K68" s="38">
        <v>4.5228236176278124E-7</v>
      </c>
      <c r="L68" s="38">
        <v>4.5228236176278124E-7</v>
      </c>
      <c r="M68" s="38">
        <v>4.5228236176278124E-7</v>
      </c>
      <c r="N68" s="1" t="str">
        <f>'Base data'!$K$32</f>
        <v>Tg/Km2</v>
      </c>
    </row>
    <row r="69" spans="1:14" s="1" customFormat="1" x14ac:dyDescent="0.25">
      <c r="B69" s="1" t="str">
        <v>IA</v>
      </c>
      <c r="C69" s="38">
        <v>4.8320035959096527E-7</v>
      </c>
      <c r="D69" s="38">
        <v>8.0358300403792324E-7</v>
      </c>
      <c r="E69" s="38">
        <v>1.0355000350810497E-6</v>
      </c>
      <c r="F69" s="38">
        <v>7.3183610902678089E-7</v>
      </c>
      <c r="G69" s="38">
        <v>3.7831175762248374E-7</v>
      </c>
      <c r="H69" s="38">
        <v>2.8900680939935235E-7</v>
      </c>
      <c r="I69" s="38">
        <v>2.5561774128260917E-7</v>
      </c>
      <c r="J69" s="38">
        <v>1.8883960504912279E-7</v>
      </c>
      <c r="K69" s="38">
        <v>1.2206146881563651E-7</v>
      </c>
      <c r="L69" s="38">
        <v>1.2206146881563651E-7</v>
      </c>
      <c r="M69" s="38">
        <v>1.2206146881563651E-7</v>
      </c>
      <c r="N69" s="1" t="str">
        <f>'Base data'!$K$32</f>
        <v>Tg/Km2</v>
      </c>
    </row>
    <row r="70" spans="1:14" s="1" customFormat="1" x14ac:dyDescent="0.25">
      <c r="B70" s="1" t="str">
        <v>AF</v>
      </c>
      <c r="C70" s="38">
        <v>2.1190522057407051E-7</v>
      </c>
      <c r="D70" s="38">
        <v>3.309929477690548E-7</v>
      </c>
      <c r="E70" s="38">
        <v>4.1940645284935775E-7</v>
      </c>
      <c r="F70" s="38">
        <v>6.1757245252488212E-7</v>
      </c>
      <c r="G70" s="38">
        <v>5.8810823156695995E-7</v>
      </c>
      <c r="H70" s="38">
        <v>5.8994137485628997E-7</v>
      </c>
      <c r="I70" s="38">
        <v>5.1183957318550508E-7</v>
      </c>
      <c r="J70" s="38">
        <v>3.5563596984393489E-7</v>
      </c>
      <c r="K70" s="38">
        <v>1.9943236650236488E-7</v>
      </c>
      <c r="L70" s="38">
        <v>1.9943236650236488E-7</v>
      </c>
      <c r="M70" s="38">
        <v>1.9943236650236488E-7</v>
      </c>
      <c r="N70" s="1" t="str">
        <f>'Base data'!$K$32</f>
        <v>Tg/Km2</v>
      </c>
    </row>
    <row r="71" spans="1:14" s="1" customFormat="1" x14ac:dyDescent="0.25">
      <c r="B71" s="1" t="str">
        <v>LA</v>
      </c>
      <c r="C71" s="38">
        <v>1.4677526117362649E-7</v>
      </c>
      <c r="D71" s="38">
        <v>2.2926087532822281E-7</v>
      </c>
      <c r="E71" s="38">
        <v>2.9050011834583971E-7</v>
      </c>
      <c r="F71" s="38">
        <v>3.6126793489681548E-7</v>
      </c>
      <c r="G71" s="38">
        <v>4.0735069694249217E-7</v>
      </c>
      <c r="H71" s="38">
        <v>4.0862041594389851E-7</v>
      </c>
      <c r="I71" s="38">
        <v>3.5452353099078214E-7</v>
      </c>
      <c r="J71" s="38">
        <v>2.4632976108454923E-7</v>
      </c>
      <c r="K71" s="38">
        <v>1.3813599117831643E-7</v>
      </c>
      <c r="L71" s="38">
        <v>1.3813599117831643E-7</v>
      </c>
      <c r="M71" s="38">
        <v>1.3813599117831643E-7</v>
      </c>
      <c r="N71" s="1" t="str">
        <f>'Base data'!$K$32</f>
        <v>Tg/Km2</v>
      </c>
    </row>
    <row r="72" spans="1:14" s="1" customFormat="1" x14ac:dyDescent="0.25">
      <c r="B72" s="6" t="s">
        <v>172</v>
      </c>
      <c r="C72" s="105">
        <f t="array" ref="C72">SUM(AREA*C64:C71)/AREA_G</f>
        <v>4.6326796652696204E-7</v>
      </c>
      <c r="D72" s="105">
        <f t="array" ref="D72">SUM(AREA*D64:D71)/AREA_G</f>
        <v>5.8921938296351312E-7</v>
      </c>
      <c r="E72" s="105">
        <f t="array" ref="E72">SUM(AREA*E64:E71)/AREA_G</f>
        <v>6.8087074753647985E-7</v>
      </c>
      <c r="F72" s="105">
        <f t="array" ref="F72">SUM(AREA*F64:F71)/AREA_G</f>
        <v>6.1639870481209961E-7</v>
      </c>
      <c r="G72" s="105">
        <f t="array" ref="G72">SUM(AREA*G64:G71)/AREA_G</f>
        <v>4.6174710194698705E-7</v>
      </c>
      <c r="H72" s="105">
        <f t="array" ref="H72">SUM(AREA*H64:H71)/AREA_G</f>
        <v>4.2818996089205369E-7</v>
      </c>
      <c r="I72" s="105">
        <f t="array" ref="I72">SUM(AREA*I64:I71)/AREA_G</f>
        <v>3.7701461992402696E-7</v>
      </c>
      <c r="J72" s="105">
        <f t="array" ref="J72">SUM(AREA*J64:J71)/AREA_G</f>
        <v>2.7466393798797329E-7</v>
      </c>
      <c r="K72" s="105">
        <f t="array" ref="K72">SUM(AREA*K64:K71)/AREA_G</f>
        <v>1.723132560519197E-7</v>
      </c>
      <c r="L72" s="105">
        <f t="array" ref="L72">SUM(AREA*L64:L71)/AREA_G</f>
        <v>1.723132560519197E-7</v>
      </c>
      <c r="M72" s="105">
        <f t="array" ref="M72">SUM(AREA*M64:M71)/AREA_G</f>
        <v>1.723132560519197E-7</v>
      </c>
      <c r="N72" s="1" t="str">
        <f>'Base data'!$K$32</f>
        <v>Tg/Km2</v>
      </c>
    </row>
    <row r="73" spans="1:14" s="6" customFormat="1" x14ac:dyDescent="0.25">
      <c r="A73" s="78" t="s">
        <v>240</v>
      </c>
      <c r="B73" s="1" t="str">
        <f t="array" ref="B73:B80">R_CODE</f>
        <v>EU</v>
      </c>
      <c r="C73" s="35">
        <f t="array" ref="C73:C80">D*SFX_0/SFX_G_0</f>
        <v>-1.3655003979235008</v>
      </c>
      <c r="D73" s="35">
        <f t="array" ref="D73:M80">FSD_0*sfx/SFX_0</f>
        <v>-0.79226707243844252</v>
      </c>
      <c r="E73" s="35">
        <v>-0.5510144194463763</v>
      </c>
      <c r="F73" s="35">
        <v>-0.54783133557068431</v>
      </c>
      <c r="G73" s="35">
        <v>-0.50650960706298442</v>
      </c>
      <c r="H73" s="35">
        <v>-0.55182146968933266</v>
      </c>
      <c r="I73" s="35">
        <v>-0.51531467760658023</v>
      </c>
      <c r="J73" s="35">
        <v>-0.44230109344107543</v>
      </c>
      <c r="K73" s="35">
        <v>-0.36928750927557052</v>
      </c>
      <c r="L73" s="35">
        <v>-0.36928750927557052</v>
      </c>
      <c r="M73" s="35">
        <v>-0.36928750927557052</v>
      </c>
      <c r="N73" s="6" t="str">
        <f>'Base data'!$F$21</f>
        <v>W/m2</v>
      </c>
    </row>
    <row r="74" spans="1:14" s="6" customFormat="1" x14ac:dyDescent="0.25">
      <c r="B74" s="1" t="str">
        <v>US</v>
      </c>
      <c r="C74" s="35">
        <v>-0.89297146007992334</v>
      </c>
      <c r="D74" s="35">
        <v>-0.5181044879404253</v>
      </c>
      <c r="E74" s="35">
        <v>-0.36033687826555089</v>
      </c>
      <c r="F74" s="35">
        <v>-0.3582552947959628</v>
      </c>
      <c r="G74" s="35">
        <v>-0.33123287554609748</v>
      </c>
      <c r="H74" s="35">
        <v>-0.36086465023464487</v>
      </c>
      <c r="I74" s="35">
        <v>-0.33699096738655249</v>
      </c>
      <c r="J74" s="35">
        <v>-0.28924360169036772</v>
      </c>
      <c r="K74" s="35">
        <v>-0.24149623599418296</v>
      </c>
      <c r="L74" s="35">
        <v>-0.24149623599418296</v>
      </c>
      <c r="M74" s="35">
        <v>-0.24149623599418296</v>
      </c>
      <c r="N74" s="6" t="str">
        <f>'Base data'!$F$21</f>
        <v>W/m2</v>
      </c>
    </row>
    <row r="75" spans="1:14" s="6" customFormat="1" x14ac:dyDescent="0.25">
      <c r="B75" s="1" t="str">
        <v>OT</v>
      </c>
      <c r="C75" s="35">
        <v>-0.18435099132273702</v>
      </c>
      <c r="D75" s="35">
        <v>-0.10696095029960731</v>
      </c>
      <c r="E75" s="35">
        <v>-7.4390351414421699E-2</v>
      </c>
      <c r="F75" s="35">
        <v>-7.3960615422517501E-2</v>
      </c>
      <c r="G75" s="35">
        <v>-6.8381926741688387E-2</v>
      </c>
      <c r="H75" s="35">
        <v>-7.4499308184088356E-2</v>
      </c>
      <c r="I75" s="35">
        <v>-6.9570665672740298E-2</v>
      </c>
      <c r="J75" s="35">
        <v>-5.9713380650044182E-2</v>
      </c>
      <c r="K75" s="35">
        <v>-4.9856095627348052E-2</v>
      </c>
      <c r="L75" s="35">
        <v>-4.9856095627348052E-2</v>
      </c>
      <c r="M75" s="35">
        <v>-4.9856095627348052E-2</v>
      </c>
      <c r="N75" s="6" t="str">
        <f>'Base data'!$F$21</f>
        <v>W/m2</v>
      </c>
    </row>
    <row r="76" spans="1:14" s="6" customFormat="1" x14ac:dyDescent="0.25">
      <c r="B76" s="1" t="str">
        <v>EE</v>
      </c>
      <c r="C76" s="35">
        <v>-0.4838733602778531</v>
      </c>
      <c r="D76" s="35">
        <v>-0.53398265434556147</v>
      </c>
      <c r="E76" s="35">
        <v>-0.47226467142251077</v>
      </c>
      <c r="F76" s="35">
        <v>-0.34384077311022648</v>
      </c>
      <c r="G76" s="35">
        <v>-0.18671866440299745</v>
      </c>
      <c r="H76" s="35">
        <v>-0.15210376900501124</v>
      </c>
      <c r="I76" s="35">
        <v>-0.135327102811862</v>
      </c>
      <c r="J76" s="35">
        <v>-0.1017737704255635</v>
      </c>
      <c r="K76" s="35">
        <v>-6.8220438039265002E-2</v>
      </c>
      <c r="L76" s="35">
        <v>-6.8220438039265002E-2</v>
      </c>
      <c r="M76" s="35">
        <v>-6.8220438039265002E-2</v>
      </c>
      <c r="N76" s="6" t="str">
        <f>'Base data'!$F$21</f>
        <v>W/m2</v>
      </c>
    </row>
    <row r="77" spans="1:14" s="6" customFormat="1" x14ac:dyDescent="0.25">
      <c r="B77" s="1" t="str">
        <v>CA</v>
      </c>
      <c r="C77" s="35">
        <v>-1.8035692336603102</v>
      </c>
      <c r="D77" s="35">
        <v>-2.9994132951432233</v>
      </c>
      <c r="E77" s="35">
        <v>-3.8650550804790282</v>
      </c>
      <c r="F77" s="35">
        <v>-2.7316144620415845</v>
      </c>
      <c r="G77" s="35">
        <v>-1.4120673406730337</v>
      </c>
      <c r="H77" s="35">
        <v>-1.0787322058125954</v>
      </c>
      <c r="I77" s="35">
        <v>-0.95410585816889137</v>
      </c>
      <c r="J77" s="35">
        <v>-0.70485316288148381</v>
      </c>
      <c r="K77" s="35">
        <v>-0.45560046759407602</v>
      </c>
      <c r="L77" s="35">
        <v>-0.45560046759407602</v>
      </c>
      <c r="M77" s="35">
        <v>-0.45560046759407602</v>
      </c>
      <c r="N77" s="6" t="str">
        <f>'Base data'!$F$21</f>
        <v>W/m2</v>
      </c>
    </row>
    <row r="78" spans="1:14" s="6" customFormat="1" x14ac:dyDescent="0.25">
      <c r="B78" s="1" t="str">
        <v>IA</v>
      </c>
      <c r="C78" s="35">
        <v>-0.4867452909577194</v>
      </c>
      <c r="D78" s="35">
        <v>-0.80947837754140317</v>
      </c>
      <c r="E78" s="35">
        <v>-1.0430968352112095</v>
      </c>
      <c r="F78" s="35">
        <v>-0.73720512154243478</v>
      </c>
      <c r="G78" s="35">
        <v>-0.38108718853719387</v>
      </c>
      <c r="H78" s="35">
        <v>-0.29112706714235681</v>
      </c>
      <c r="I78" s="35">
        <v>-0.25749304483109708</v>
      </c>
      <c r="J78" s="35">
        <v>-0.19022500020857749</v>
      </c>
      <c r="K78" s="35">
        <v>-0.12295695558605803</v>
      </c>
      <c r="L78" s="35">
        <v>-0.12295695558605803</v>
      </c>
      <c r="M78" s="35">
        <v>-0.12295695558605803</v>
      </c>
      <c r="N78" s="6" t="str">
        <f>'Base data'!$F$21</f>
        <v>W/m2</v>
      </c>
    </row>
    <row r="79" spans="1:14" s="6" customFormat="1" x14ac:dyDescent="0.25">
      <c r="B79" s="1" t="str">
        <v>AF</v>
      </c>
      <c r="C79" s="35">
        <v>-0.21345983337242991</v>
      </c>
      <c r="D79" s="35">
        <v>-0.33342123090136494</v>
      </c>
      <c r="E79" s="35">
        <v>-0.42248336920633922</v>
      </c>
      <c r="F79" s="35">
        <v>-0.62210318582162871</v>
      </c>
      <c r="G79" s="35">
        <v>-0.59242280475745357</v>
      </c>
      <c r="H79" s="35">
        <v>-0.59426939664427958</v>
      </c>
      <c r="I79" s="35">
        <v>-0.51559461210821467</v>
      </c>
      <c r="J79" s="35">
        <v>-0.3582450430360844</v>
      </c>
      <c r="K79" s="35">
        <v>-0.20089547396395432</v>
      </c>
      <c r="L79" s="35">
        <v>-0.20089547396395432</v>
      </c>
      <c r="M79" s="35">
        <v>-0.20089547396395432</v>
      </c>
      <c r="N79" s="6" t="str">
        <f>'Base data'!$F$21</f>
        <v>W/m2</v>
      </c>
    </row>
    <row r="80" spans="1:14" s="6" customFormat="1" x14ac:dyDescent="0.25">
      <c r="B80" s="1" t="str">
        <v>LA</v>
      </c>
      <c r="C80" s="35">
        <v>-0.14785205720009956</v>
      </c>
      <c r="D80" s="35">
        <v>-0.23094281544268896</v>
      </c>
      <c r="E80" s="35">
        <v>-0.2926313315395585</v>
      </c>
      <c r="F80" s="35">
        <v>-0.36391832620716613</v>
      </c>
      <c r="G80" s="35">
        <v>-0.41033916794463077</v>
      </c>
      <c r="H80" s="35">
        <v>-0.41161820206061789</v>
      </c>
      <c r="I80" s="35">
        <v>-0.35712444293200152</v>
      </c>
      <c r="J80" s="35">
        <v>-0.24813692467476853</v>
      </c>
      <c r="K80" s="35">
        <v>-0.13914940641753562</v>
      </c>
      <c r="L80" s="35">
        <v>-0.13914940641753562</v>
      </c>
      <c r="M80" s="35">
        <v>-0.13914940641753562</v>
      </c>
      <c r="N80" s="6" t="str">
        <f>'Base data'!$F$21</f>
        <v>W/m2</v>
      </c>
    </row>
    <row r="81" spans="1:14" s="6" customFormat="1" x14ac:dyDescent="0.25">
      <c r="B81" s="6" t="s">
        <v>172</v>
      </c>
      <c r="C81" s="106">
        <f>D</f>
        <v>-0.46666666670000001</v>
      </c>
      <c r="D81" s="106">
        <f t="array" ref="D81">SUM(AREA*D73:D80)/AREA_G</f>
        <v>-0.59354210795969298</v>
      </c>
      <c r="E81" s="106">
        <f t="array" ref="E81">SUM(AREA*E73:E80)/AREA_G</f>
        <v>-0.6858658598573617</v>
      </c>
      <c r="F81" s="106">
        <f t="array" ref="F81">SUM(AREA*F73:F80)/AREA_G</f>
        <v>-0.62092082707410434</v>
      </c>
      <c r="G81" s="106">
        <f t="array" ref="G81">SUM(AREA*G73:G80)/AREA_G</f>
        <v>-0.46513464451128761</v>
      </c>
      <c r="H81" s="106">
        <f t="array" ref="H81">SUM(AREA*H73:H80)/AREA_G</f>
        <v>-0.43133131621840404</v>
      </c>
      <c r="I81" s="106">
        <f t="array" ref="I81">SUM(AREA*I73:I80)/AREA_G</f>
        <v>-0.37978053457074806</v>
      </c>
      <c r="J81" s="106">
        <f t="array" ref="J81">SUM(AREA*J73:J80)/AREA_G</f>
        <v>-0.27667897127543606</v>
      </c>
      <c r="K81" s="106">
        <f t="array" ref="K81">SUM(AREA*K73:K80)/AREA_G</f>
        <v>-0.17357740798012411</v>
      </c>
      <c r="L81" s="106">
        <f t="array" ref="L81">SUM(AREA*L73:L80)/AREA_G</f>
        <v>-0.17357740798012411</v>
      </c>
      <c r="M81" s="106">
        <f t="array" ref="M81">SUM(AREA*M73:M80)/AREA_G</f>
        <v>-0.17357740798012411</v>
      </c>
      <c r="N81" s="6" t="s">
        <v>51</v>
      </c>
    </row>
    <row r="82" spans="1:14" s="6" customFormat="1" x14ac:dyDescent="0.25">
      <c r="A82" s="78" t="s">
        <v>241</v>
      </c>
      <c r="B82" s="1" t="str">
        <f t="array" ref="B82:B89">R_CODE</f>
        <v>EU</v>
      </c>
      <c r="D82" s="35">
        <f t="array" ref="D82:M89">(IND/LN(2))*LN((NF_0+sfx)/NF_0)</f>
        <v>-1.4452085784659612</v>
      </c>
      <c r="E82" s="35">
        <v>-1.2559387935473827</v>
      </c>
      <c r="F82" s="35">
        <v>-1.2529757610534948</v>
      </c>
      <c r="G82" s="35">
        <v>-1.2130627542321322</v>
      </c>
      <c r="H82" s="35">
        <v>-1.2566876397247615</v>
      </c>
      <c r="I82" s="35">
        <v>-1.2218021509699351</v>
      </c>
      <c r="J82" s="35">
        <v>-1.1449860498477733</v>
      </c>
      <c r="K82" s="35">
        <v>-1.0563514970281267</v>
      </c>
      <c r="L82" s="35">
        <v>-1.0563514970281267</v>
      </c>
      <c r="M82" s="35">
        <v>-1.0563514970281267</v>
      </c>
      <c r="N82" s="6" t="str">
        <f>'Base data'!$F$21</f>
        <v>W/m2</v>
      </c>
    </row>
    <row r="83" spans="1:14" s="6" customFormat="1" x14ac:dyDescent="0.25">
      <c r="B83" s="1" t="str">
        <v>US</v>
      </c>
      <c r="D83" s="35">
        <v>-1.2245437685341196</v>
      </c>
      <c r="E83" s="35">
        <v>-1.0444859124731956</v>
      </c>
      <c r="F83" s="35">
        <v>-1.0416910974692446</v>
      </c>
      <c r="G83" s="35">
        <v>-1.0041251399866911</v>
      </c>
      <c r="H83" s="35">
        <v>-1.0451923739206983</v>
      </c>
      <c r="I83" s="35">
        <v>-1.0123374858965757</v>
      </c>
      <c r="J83" s="35">
        <v>-0.94042041077753746</v>
      </c>
      <c r="K83" s="35">
        <v>-0.85824757443935684</v>
      </c>
      <c r="L83" s="35">
        <v>-0.85824757443935684</v>
      </c>
      <c r="M83" s="35">
        <v>-0.85824757443935684</v>
      </c>
      <c r="N83" s="6" t="str">
        <f>'Base data'!$F$21</f>
        <v>W/m2</v>
      </c>
    </row>
    <row r="84" spans="1:14" s="6" customFormat="1" x14ac:dyDescent="0.25">
      <c r="B84" s="1" t="str">
        <v>OT</v>
      </c>
      <c r="D84" s="35">
        <v>-0.5326557567088992</v>
      </c>
      <c r="E84" s="35">
        <v>-0.4156496279584776</v>
      </c>
      <c r="F84" s="35">
        <v>-0.41393566679267135</v>
      </c>
      <c r="G84" s="35">
        <v>-0.39121089857862817</v>
      </c>
      <c r="H84" s="35">
        <v>-0.41608338392114563</v>
      </c>
      <c r="I84" s="35">
        <v>-0.39612881410163564</v>
      </c>
      <c r="J84" s="35">
        <v>-0.35402218051325657</v>
      </c>
      <c r="K84" s="35">
        <v>-0.30859969829229711</v>
      </c>
      <c r="L84" s="35">
        <v>-0.30859969829229711</v>
      </c>
      <c r="M84" s="35">
        <v>-0.30859969829229711</v>
      </c>
      <c r="N84" s="6" t="str">
        <f>'Base data'!$F$21</f>
        <v>W/m2</v>
      </c>
    </row>
    <row r="85" spans="1:14" s="6" customFormat="1" x14ac:dyDescent="0.25">
      <c r="B85" s="1" t="str">
        <v>EE</v>
      </c>
      <c r="D85" s="35">
        <v>-1.2399043794819988</v>
      </c>
      <c r="E85" s="35">
        <v>-1.1777562005834294</v>
      </c>
      <c r="F85" s="35">
        <v>-1.0219570548131718</v>
      </c>
      <c r="G85" s="35">
        <v>-0.74683959270319755</v>
      </c>
      <c r="H85" s="35">
        <v>-0.66343739308919647</v>
      </c>
      <c r="I85" s="35">
        <v>-0.61822223323405678</v>
      </c>
      <c r="J85" s="35">
        <v>-0.51553766736609685</v>
      </c>
      <c r="K85" s="35">
        <v>-0.39053956065773709</v>
      </c>
      <c r="L85" s="35">
        <v>-0.39053956065773709</v>
      </c>
      <c r="M85" s="35">
        <v>-0.39053956065773709</v>
      </c>
      <c r="N85" s="6" t="str">
        <f>'Base data'!$F$21</f>
        <v>W/m2</v>
      </c>
    </row>
    <row r="86" spans="1:14" s="6" customFormat="1" x14ac:dyDescent="0.25">
      <c r="B86" s="1" t="str">
        <v>CA</v>
      </c>
      <c r="D86" s="35">
        <v>-2.1776640197722728</v>
      </c>
      <c r="E86" s="35">
        <v>-2.3210111484701494</v>
      </c>
      <c r="F86" s="35">
        <v>-2.1249914548347544</v>
      </c>
      <c r="G86" s="35">
        <v>-1.7576266364355375</v>
      </c>
      <c r="H86" s="35">
        <v>-1.6106572426354389</v>
      </c>
      <c r="I86" s="35">
        <v>-1.5444175568138061</v>
      </c>
      <c r="J86" s="35">
        <v>-1.383562588340796</v>
      </c>
      <c r="K86" s="35">
        <v>-1.1597612621786404</v>
      </c>
      <c r="L86" s="35">
        <v>-1.1597612621786404</v>
      </c>
      <c r="M86" s="35">
        <v>-1.1597612621786404</v>
      </c>
      <c r="N86" s="6" t="str">
        <f>'Base data'!$F$21</f>
        <v>W/m2</v>
      </c>
    </row>
    <row r="87" spans="1:14" s="6" customFormat="1" x14ac:dyDescent="0.25">
      <c r="B87" s="1" t="str">
        <v>IA</v>
      </c>
      <c r="D87" s="35">
        <v>-1.4566071844240547</v>
      </c>
      <c r="E87" s="35">
        <v>-1.5924801354610341</v>
      </c>
      <c r="F87" s="35">
        <v>-1.4071522242245933</v>
      </c>
      <c r="G87" s="35">
        <v>-1.0716302037891621</v>
      </c>
      <c r="H87" s="35">
        <v>-0.94343375248216443</v>
      </c>
      <c r="I87" s="35">
        <v>-0.88710099192583736</v>
      </c>
      <c r="J87" s="35">
        <v>-0.75465262152990953</v>
      </c>
      <c r="K87" s="35">
        <v>-0.58245651551660438</v>
      </c>
      <c r="L87" s="35">
        <v>-0.58245651551660438</v>
      </c>
      <c r="M87" s="35">
        <v>-0.58245651551660438</v>
      </c>
      <c r="N87" s="6" t="str">
        <f>'Base data'!$F$21</f>
        <v>W/m2</v>
      </c>
    </row>
    <row r="88" spans="1:14" s="6" customFormat="1" x14ac:dyDescent="0.25">
      <c r="B88" s="1" t="str">
        <v>AF</v>
      </c>
      <c r="D88" s="35">
        <v>-1.0072600148682431</v>
      </c>
      <c r="E88" s="35">
        <v>-1.1222425185524367</v>
      </c>
      <c r="F88" s="35">
        <v>-1.3184339669873966</v>
      </c>
      <c r="G88" s="35">
        <v>-1.2931592159711314</v>
      </c>
      <c r="H88" s="35">
        <v>-1.2947644171259791</v>
      </c>
      <c r="I88" s="35">
        <v>-1.2220778383754001</v>
      </c>
      <c r="J88" s="35">
        <v>-1.0416772995076609</v>
      </c>
      <c r="K88" s="35">
        <v>-0.77779853712480496</v>
      </c>
      <c r="L88" s="35">
        <v>-0.77779853712480496</v>
      </c>
      <c r="M88" s="35">
        <v>-0.77779853712480496</v>
      </c>
      <c r="N88" s="6" t="str">
        <f>'Base data'!$F$21</f>
        <v>W/m2</v>
      </c>
    </row>
    <row r="89" spans="1:14" s="6" customFormat="1" x14ac:dyDescent="0.25">
      <c r="B89" s="1" t="str">
        <v>LA</v>
      </c>
      <c r="D89" s="35">
        <v>-0.83839073975814893</v>
      </c>
      <c r="E89" s="35">
        <v>-0.94582916236292292</v>
      </c>
      <c r="F89" s="35">
        <v>-1.049263050960779</v>
      </c>
      <c r="G89" s="35">
        <v>-1.1078490954067532</v>
      </c>
      <c r="H89" s="35">
        <v>-1.1093820441405682</v>
      </c>
      <c r="I89" s="35">
        <v>-1.0401670784904233</v>
      </c>
      <c r="J89" s="35">
        <v>-0.87040098695206192</v>
      </c>
      <c r="K89" s="35">
        <v>-0.62883985295995648</v>
      </c>
      <c r="L89" s="35">
        <v>-0.62883985295995648</v>
      </c>
      <c r="M89" s="35">
        <v>-0.62883985295995648</v>
      </c>
      <c r="N89" s="6" t="str">
        <f>'Base data'!$F$21</f>
        <v>W/m2</v>
      </c>
    </row>
    <row r="90" spans="1:14" s="6" customFormat="1" x14ac:dyDescent="0.25">
      <c r="B90" s="6" t="s">
        <v>172</v>
      </c>
      <c r="D90" s="106">
        <f t="array" ref="D90">SUM(AREA*D82:D89)/AREA_G</f>
        <v>-1.1085254716805573</v>
      </c>
      <c r="E90" s="106">
        <f t="array" ref="E90">SUM(AREA*E82:E89)/AREA_G</f>
        <v>-1.1448204413615934</v>
      </c>
      <c r="F90" s="106">
        <f t="array" ref="F90">SUM(AREA*F82:F89)/AREA_G</f>
        <v>-1.1668486280748593</v>
      </c>
      <c r="G90" s="106">
        <f t="array" ref="G90">SUM(AREA*G82:G89)/AREA_G</f>
        <v>-1.0734119576391092</v>
      </c>
      <c r="H90" s="106">
        <f t="array" ref="H90">SUM(AREA*H82:H89)/AREA_G</f>
        <v>-1.0472786461358834</v>
      </c>
      <c r="I90" s="106">
        <f t="array" ref="I90">SUM(AREA*I82:I89)/AREA_G</f>
        <v>-0.99045310482882898</v>
      </c>
      <c r="J90" s="106">
        <f t="array" ref="J90">SUM(AREA*J82:J89)/AREA_G</f>
        <v>-0.85386881060776787</v>
      </c>
      <c r="K90" s="106">
        <f t="array" ref="K90">SUM(AREA*K82:K89)/AREA_G</f>
        <v>-0.66593031930294155</v>
      </c>
      <c r="L90" s="106">
        <f t="array" ref="L90">SUM(AREA*L82:L89)/AREA_G</f>
        <v>-0.66593031930294155</v>
      </c>
      <c r="M90" s="106">
        <f t="array" ref="M90">SUM(AREA*M82:M89)/AREA_G</f>
        <v>-0.66593031930294155</v>
      </c>
      <c r="N90" s="6" t="s">
        <v>51</v>
      </c>
    </row>
    <row r="91" spans="1:14" x14ac:dyDescent="0.25">
      <c r="A91" t="s">
        <v>99</v>
      </c>
      <c r="B91" t="s">
        <v>100</v>
      </c>
      <c r="C91" s="1" t="str">
        <f t="array" ref="C91:C98">R_CODE</f>
        <v>EU</v>
      </c>
      <c r="D91" s="35">
        <f t="array" ref="D91:M98">fsd+fsi</f>
        <v>-2.2374756509044036</v>
      </c>
      <c r="E91" s="35">
        <v>-1.8069532129937591</v>
      </c>
      <c r="F91" s="35">
        <v>-1.8008070966241791</v>
      </c>
      <c r="G91" s="35">
        <v>-1.7195723612951166</v>
      </c>
      <c r="H91" s="35">
        <v>-1.8085091094140942</v>
      </c>
      <c r="I91" s="35">
        <v>-1.7371168285765153</v>
      </c>
      <c r="J91" s="35">
        <v>-1.5872871432888487</v>
      </c>
      <c r="K91" s="35">
        <v>-1.4256390063036972</v>
      </c>
      <c r="L91" s="35">
        <v>-1.4256390063036972</v>
      </c>
      <c r="M91" s="35">
        <v>-1.4256390063036972</v>
      </c>
      <c r="N91" s="6" t="str">
        <f>'Base data'!$F$21</f>
        <v>W/m2</v>
      </c>
    </row>
    <row r="92" spans="1:14" x14ac:dyDescent="0.25">
      <c r="C92" s="1" t="str">
        <v>US</v>
      </c>
      <c r="D92" s="35">
        <v>-1.7426482564745449</v>
      </c>
      <c r="E92" s="35">
        <v>-1.4048227907387465</v>
      </c>
      <c r="F92" s="35">
        <v>-1.3999463922652073</v>
      </c>
      <c r="G92" s="35">
        <v>-1.3353580155327887</v>
      </c>
      <c r="H92" s="35">
        <v>-1.4060570241553432</v>
      </c>
      <c r="I92" s="35">
        <v>-1.3493284532831282</v>
      </c>
      <c r="J92" s="35">
        <v>-1.2296640124679052</v>
      </c>
      <c r="K92" s="35">
        <v>-1.0997438104335397</v>
      </c>
      <c r="L92" s="35">
        <v>-1.0997438104335397</v>
      </c>
      <c r="M92" s="35">
        <v>-1.0997438104335397</v>
      </c>
      <c r="N92" s="6" t="str">
        <f>'Base data'!$F$21</f>
        <v>W/m2</v>
      </c>
    </row>
    <row r="93" spans="1:14" x14ac:dyDescent="0.25">
      <c r="C93" s="1" t="str">
        <v>OT</v>
      </c>
      <c r="D93" s="35">
        <v>-0.63961670700850648</v>
      </c>
      <c r="E93" s="35">
        <v>-0.49003997937289928</v>
      </c>
      <c r="F93" s="35">
        <v>-0.48789628221518888</v>
      </c>
      <c r="G93" s="35">
        <v>-0.45959282532031653</v>
      </c>
      <c r="H93" s="35">
        <v>-0.49058269210523398</v>
      </c>
      <c r="I93" s="35">
        <v>-0.46569947977437592</v>
      </c>
      <c r="J93" s="35">
        <v>-0.41373556116330074</v>
      </c>
      <c r="K93" s="35">
        <v>-0.35845579391964516</v>
      </c>
      <c r="L93" s="35">
        <v>-0.35845579391964516</v>
      </c>
      <c r="M93" s="35">
        <v>-0.35845579391964516</v>
      </c>
      <c r="N93" s="6" t="str">
        <f>'Base data'!$F$21</f>
        <v>W/m2</v>
      </c>
    </row>
    <row r="94" spans="1:14" x14ac:dyDescent="0.25">
      <c r="C94" s="1" t="str">
        <v>EE</v>
      </c>
      <c r="D94" s="35">
        <v>-1.7738870338275603</v>
      </c>
      <c r="E94" s="35">
        <v>-1.6500208720059402</v>
      </c>
      <c r="F94" s="35">
        <v>-1.3657978279233982</v>
      </c>
      <c r="G94" s="35">
        <v>-0.933558257106195</v>
      </c>
      <c r="H94" s="35">
        <v>-0.81554116209420768</v>
      </c>
      <c r="I94" s="35">
        <v>-0.75354933604591878</v>
      </c>
      <c r="J94" s="35">
        <v>-0.61731143779166031</v>
      </c>
      <c r="K94" s="35">
        <v>-0.45875999869700212</v>
      </c>
      <c r="L94" s="35">
        <v>-0.45875999869700212</v>
      </c>
      <c r="M94" s="35">
        <v>-0.45875999869700212</v>
      </c>
      <c r="N94" s="6" t="str">
        <f>'Base data'!$F$21</f>
        <v>W/m2</v>
      </c>
    </row>
    <row r="95" spans="1:14" x14ac:dyDescent="0.25">
      <c r="C95" s="1" t="str">
        <v>CA</v>
      </c>
      <c r="D95" s="35">
        <v>-5.1770773149154961</v>
      </c>
      <c r="E95" s="35">
        <v>-6.1860662289491781</v>
      </c>
      <c r="F95" s="35">
        <v>-4.8566059168763385</v>
      </c>
      <c r="G95" s="35">
        <v>-3.1696939771085715</v>
      </c>
      <c r="H95" s="35">
        <v>-2.6893894484480345</v>
      </c>
      <c r="I95" s="35">
        <v>-2.4985234149826976</v>
      </c>
      <c r="J95" s="35">
        <v>-2.0884157512222798</v>
      </c>
      <c r="K95" s="35">
        <v>-1.6153617297727165</v>
      </c>
      <c r="L95" s="35">
        <v>-1.6153617297727165</v>
      </c>
      <c r="M95" s="35">
        <v>-1.6153617297727165</v>
      </c>
      <c r="N95" s="6" t="str">
        <f>'Base data'!$F$21</f>
        <v>W/m2</v>
      </c>
    </row>
    <row r="96" spans="1:14" x14ac:dyDescent="0.25">
      <c r="C96" s="1" t="str">
        <v>IA</v>
      </c>
      <c r="D96" s="35">
        <v>-2.2660855619654576</v>
      </c>
      <c r="E96" s="35">
        <v>-2.6355769706722434</v>
      </c>
      <c r="F96" s="35">
        <v>-2.1443573457670282</v>
      </c>
      <c r="G96" s="35">
        <v>-1.4527173923263559</v>
      </c>
      <c r="H96" s="35">
        <v>-1.2345608196245212</v>
      </c>
      <c r="I96" s="35">
        <v>-1.1445940367569345</v>
      </c>
      <c r="J96" s="35">
        <v>-0.94487762173848699</v>
      </c>
      <c r="K96" s="35">
        <v>-0.70541347110266239</v>
      </c>
      <c r="L96" s="35">
        <v>-0.70541347110266239</v>
      </c>
      <c r="M96" s="35">
        <v>-0.70541347110266239</v>
      </c>
      <c r="N96" s="6" t="str">
        <f>'Base data'!$F$21</f>
        <v>W/m2</v>
      </c>
    </row>
    <row r="97" spans="1:14" x14ac:dyDescent="0.25">
      <c r="C97" s="1" t="str">
        <v>AF</v>
      </c>
      <c r="D97" s="35">
        <v>-1.340681245769608</v>
      </c>
      <c r="E97" s="35">
        <v>-1.544725887758776</v>
      </c>
      <c r="F97" s="35">
        <v>-1.9405371528090254</v>
      </c>
      <c r="G97" s="35">
        <v>-1.8855820207285849</v>
      </c>
      <c r="H97" s="35">
        <v>-1.8890338137702587</v>
      </c>
      <c r="I97" s="35">
        <v>-1.7376724504836147</v>
      </c>
      <c r="J97" s="35">
        <v>-1.3999223425437453</v>
      </c>
      <c r="K97" s="35">
        <v>-0.97869401108875931</v>
      </c>
      <c r="L97" s="35">
        <v>-0.97869401108875931</v>
      </c>
      <c r="M97" s="35">
        <v>-0.97869401108875931</v>
      </c>
      <c r="N97" s="6" t="str">
        <f>'Base data'!$F$21</f>
        <v>W/m2</v>
      </c>
    </row>
    <row r="98" spans="1:14" x14ac:dyDescent="0.25">
      <c r="C98" s="1" t="str">
        <v>LA</v>
      </c>
      <c r="D98" s="35">
        <v>-1.0693335552008378</v>
      </c>
      <c r="E98" s="35">
        <v>-1.2384604939024815</v>
      </c>
      <c r="F98" s="35">
        <v>-1.4131813771679451</v>
      </c>
      <c r="G98" s="35">
        <v>-1.5181882633513841</v>
      </c>
      <c r="H98" s="35">
        <v>-1.521000246201186</v>
      </c>
      <c r="I98" s="35">
        <v>-1.3972915214224249</v>
      </c>
      <c r="J98" s="35">
        <v>-1.1185379116268304</v>
      </c>
      <c r="K98" s="35">
        <v>-0.76798925937749207</v>
      </c>
      <c r="L98" s="35">
        <v>-0.76798925937749207</v>
      </c>
      <c r="M98" s="35">
        <v>-0.76798925937749207</v>
      </c>
      <c r="N98" s="6" t="str">
        <f>'Base data'!$F$21</f>
        <v>W/m2</v>
      </c>
    </row>
    <row r="99" spans="1:14" ht="13" thickBot="1" x14ac:dyDescent="0.3">
      <c r="C99" t="s">
        <v>172</v>
      </c>
      <c r="D99" s="49">
        <f t="array" ref="D99">SUM(AREA*D91:D98)/AREA_G</f>
        <v>-1.7020675796402498</v>
      </c>
      <c r="E99" s="49">
        <f t="array" ref="E99">SUM(AREA*E91:E98)/AREA_G</f>
        <v>-1.8306863012189554</v>
      </c>
      <c r="F99" s="49">
        <f t="array" ref="F99">SUM(AREA*F91:F98)/AREA_G</f>
        <v>-1.7877694551489638</v>
      </c>
      <c r="G99" s="49">
        <f t="array" ref="G99">SUM(AREA*G91:G98)/AREA_G</f>
        <v>-1.5385466021503968</v>
      </c>
      <c r="H99" s="49">
        <f t="array" ref="H99">SUM(AREA*H91:H98)/AREA_G</f>
        <v>-1.4786099623542874</v>
      </c>
      <c r="I99" s="49">
        <f t="array" ref="I99">SUM(AREA*I91:I98)/AREA_G</f>
        <v>-1.3702336393995773</v>
      </c>
      <c r="J99" s="49">
        <f t="array" ref="J99">SUM(AREA*J91:J98)/AREA_G</f>
        <v>-1.1305477818832039</v>
      </c>
      <c r="K99" s="49">
        <f t="array" ref="K99">SUM(AREA*K91:K98)/AREA_G</f>
        <v>-0.83950772728306566</v>
      </c>
      <c r="L99" s="49">
        <f t="array" ref="L99">SUM(AREA*L91:L98)/AREA_G</f>
        <v>-0.83950772728306566</v>
      </c>
      <c r="M99" s="49">
        <f t="array" ref="M99">SUM(AREA*M91:M98)/AREA_G</f>
        <v>-0.83950772728306566</v>
      </c>
      <c r="N99" s="6" t="s">
        <v>51</v>
      </c>
    </row>
    <row r="100" spans="1:14" ht="13" thickTop="1" x14ac:dyDescent="0.25">
      <c r="D100" s="17"/>
      <c r="E100" s="17"/>
      <c r="F100" s="17"/>
      <c r="G100" s="17"/>
      <c r="H100" s="17"/>
      <c r="I100" s="17"/>
      <c r="J100" s="17"/>
      <c r="K100" s="17"/>
      <c r="L100" s="17"/>
      <c r="M100" s="17"/>
      <c r="N100" s="6"/>
    </row>
    <row r="101" spans="1:14" x14ac:dyDescent="0.25">
      <c r="A101" t="s">
        <v>101</v>
      </c>
      <c r="B101" t="s">
        <v>102</v>
      </c>
      <c r="C101" s="1" t="str">
        <f t="array" ref="C101:C108">R_CODE</f>
        <v>EU</v>
      </c>
      <c r="D101" s="39">
        <f t="array" ref="D101:M108">SENS*(1/LN(2))*(ft+fs)/FSLOPE_CO2</f>
        <v>1.020085102964146</v>
      </c>
      <c r="E101" s="39">
        <v>1.7301127177835354</v>
      </c>
      <c r="F101" s="39">
        <v>2.0324670596845489</v>
      </c>
      <c r="G101" s="39">
        <v>2.3465251574007349</v>
      </c>
      <c r="H101" s="39">
        <v>2.3905101986244626</v>
      </c>
      <c r="I101" s="39">
        <v>2.513555595512071</v>
      </c>
      <c r="J101" s="39">
        <v>2.6272981647360929</v>
      </c>
      <c r="K101" s="39">
        <v>2.7320791476902553</v>
      </c>
      <c r="L101" s="39">
        <v>2.8022928767658857</v>
      </c>
      <c r="M101" s="39">
        <v>3.0868662142799916</v>
      </c>
      <c r="N101" t="str">
        <f>'Base data'!$L$32</f>
        <v>degC</v>
      </c>
    </row>
    <row r="102" spans="1:14" x14ac:dyDescent="0.25">
      <c r="C102" s="1" t="str">
        <v>US</v>
      </c>
      <c r="D102" s="35">
        <v>1.4743755753532142</v>
      </c>
      <c r="E102" s="35">
        <v>2.0993000779512845</v>
      </c>
      <c r="F102" s="35">
        <v>2.400488718944696</v>
      </c>
      <c r="G102" s="35">
        <v>2.699264150026913</v>
      </c>
      <c r="H102" s="35">
        <v>2.7599928707324222</v>
      </c>
      <c r="I102" s="35">
        <v>2.8695758283894439</v>
      </c>
      <c r="J102" s="35">
        <v>2.9556243303177214</v>
      </c>
      <c r="K102" s="35">
        <v>3.0312765731920646</v>
      </c>
      <c r="L102" s="35">
        <v>3.1014903022676945</v>
      </c>
      <c r="M102" s="35">
        <v>3.3860636397818</v>
      </c>
      <c r="N102" t="str">
        <f>'Base data'!$L$32</f>
        <v>degC</v>
      </c>
    </row>
    <row r="103" spans="1:14" x14ac:dyDescent="0.25">
      <c r="C103" s="1" t="str">
        <v>OT</v>
      </c>
      <c r="D103" s="35">
        <v>2.4870453048542198</v>
      </c>
      <c r="E103" s="35">
        <v>2.9391426577818121</v>
      </c>
      <c r="F103" s="35">
        <v>3.2378224640064928</v>
      </c>
      <c r="G103" s="35">
        <v>3.5032854844195485</v>
      </c>
      <c r="H103" s="35">
        <v>3.600470320947768</v>
      </c>
      <c r="I103" s="35">
        <v>3.6808167344320055</v>
      </c>
      <c r="J103" s="35">
        <v>3.7047108314924087</v>
      </c>
      <c r="K103" s="35">
        <v>3.7118372838343445</v>
      </c>
      <c r="L103" s="35">
        <v>3.7820510129099749</v>
      </c>
      <c r="M103" s="35">
        <v>4.06662435042408</v>
      </c>
      <c r="N103" t="str">
        <f>'Base data'!$L$32</f>
        <v>degC</v>
      </c>
    </row>
    <row r="104" spans="1:14" x14ac:dyDescent="0.25">
      <c r="C104" s="1" t="str">
        <v>EE</v>
      </c>
      <c r="D104" s="35">
        <v>1.4456959204264497</v>
      </c>
      <c r="E104" s="35">
        <v>1.8741889514824039</v>
      </c>
      <c r="F104" s="35">
        <v>2.4318397872179545</v>
      </c>
      <c r="G104" s="35">
        <v>3.0681479347893683</v>
      </c>
      <c r="H104" s="35">
        <v>3.3021328834899766</v>
      </c>
      <c r="I104" s="35">
        <v>3.4165479234188338</v>
      </c>
      <c r="J104" s="35">
        <v>3.5178121629838177</v>
      </c>
      <c r="K104" s="35">
        <v>3.6197501336808688</v>
      </c>
      <c r="L104" s="35">
        <v>3.6899638627564997</v>
      </c>
      <c r="M104" s="35">
        <v>3.9745372002706048</v>
      </c>
      <c r="N104" t="str">
        <f>'Base data'!$L$32</f>
        <v>degC</v>
      </c>
    </row>
    <row r="105" spans="1:14" x14ac:dyDescent="0.25">
      <c r="C105" s="1" t="str">
        <v>CA</v>
      </c>
      <c r="D105" s="35">
        <v>-1.6787004606726024</v>
      </c>
      <c r="E105" s="35">
        <v>-2.2902575023326794</v>
      </c>
      <c r="F105" s="35">
        <v>-0.77299663372680982</v>
      </c>
      <c r="G105" s="35">
        <v>1.0151994440607597</v>
      </c>
      <c r="H105" s="35">
        <v>1.5817927552439193</v>
      </c>
      <c r="I105" s="35">
        <v>1.8145244551340027</v>
      </c>
      <c r="J105" s="35">
        <v>2.1672226826822696</v>
      </c>
      <c r="K105" s="35">
        <v>2.5578987635039905</v>
      </c>
      <c r="L105" s="35">
        <v>2.6281124925796209</v>
      </c>
      <c r="M105" s="35">
        <v>2.9126858300937259</v>
      </c>
      <c r="N105" t="str">
        <f>'Base data'!$L$32</f>
        <v>degC</v>
      </c>
    </row>
    <row r="106" spans="1:14" x14ac:dyDescent="0.25">
      <c r="C106" s="1" t="str">
        <v>IA</v>
      </c>
      <c r="D106" s="35">
        <v>0.99381895408629151</v>
      </c>
      <c r="E106" s="35">
        <v>0.96937092671456326</v>
      </c>
      <c r="F106" s="35">
        <v>1.7170609064898315</v>
      </c>
      <c r="G106" s="35">
        <v>2.5915190103620684</v>
      </c>
      <c r="H106" s="35">
        <v>2.9174398767919927</v>
      </c>
      <c r="I106" s="35">
        <v>3.0575381276577573</v>
      </c>
      <c r="J106" s="35">
        <v>3.2170806389837212</v>
      </c>
      <c r="K106" s="35">
        <v>3.3933028436623403</v>
      </c>
      <c r="L106" s="35">
        <v>3.4635165727379702</v>
      </c>
      <c r="M106" s="35">
        <v>3.7480899102520753</v>
      </c>
      <c r="N106" t="str">
        <f>'Base data'!$L$32</f>
        <v>degC</v>
      </c>
    </row>
    <row r="107" spans="1:14" x14ac:dyDescent="0.25">
      <c r="C107" s="1" t="str">
        <v>AF</v>
      </c>
      <c r="D107" s="35">
        <v>1.8434129108636517</v>
      </c>
      <c r="E107" s="35">
        <v>1.9708580297757727</v>
      </c>
      <c r="F107" s="35">
        <v>1.9041838766075401</v>
      </c>
      <c r="G107" s="35">
        <v>2.1941152313252523</v>
      </c>
      <c r="H107" s="35">
        <v>2.3165821857602973</v>
      </c>
      <c r="I107" s="35">
        <v>2.5130454908948101</v>
      </c>
      <c r="J107" s="35">
        <v>2.7993137903819805</v>
      </c>
      <c r="K107" s="35">
        <v>3.1424098110563579</v>
      </c>
      <c r="L107" s="35">
        <v>3.2126235401319887</v>
      </c>
      <c r="M107" s="35">
        <v>3.4971968776460938</v>
      </c>
      <c r="N107" t="str">
        <f>'Base data'!$L$32</f>
        <v>degC</v>
      </c>
    </row>
    <row r="108" spans="1:14" x14ac:dyDescent="0.25">
      <c r="C108" s="1" t="str">
        <v>LA</v>
      </c>
      <c r="D108" s="35">
        <v>2.0925314356619849</v>
      </c>
      <c r="E108" s="35">
        <v>2.2520337529018337</v>
      </c>
      <c r="F108" s="35">
        <v>2.3883379617085194</v>
      </c>
      <c r="G108" s="35">
        <v>2.5314116006663028</v>
      </c>
      <c r="H108" s="35">
        <v>2.6544659511864812</v>
      </c>
      <c r="I108" s="35">
        <v>2.8255419589482913</v>
      </c>
      <c r="J108" s="35">
        <v>3.0576468323338331</v>
      </c>
      <c r="K108" s="35">
        <v>3.3358533476653673</v>
      </c>
      <c r="L108" s="35">
        <v>3.4060670767409977</v>
      </c>
      <c r="M108" s="35">
        <v>3.6906404142551028</v>
      </c>
      <c r="N108" t="str">
        <f>'Base data'!$L$32</f>
        <v>degC</v>
      </c>
    </row>
    <row r="109" spans="1:14" s="6" customFormat="1" x14ac:dyDescent="0.25">
      <c r="A109" s="6" t="s">
        <v>104</v>
      </c>
      <c r="B109" s="78" t="s">
        <v>224</v>
      </c>
      <c r="D109" s="35">
        <f t="array" ref="D109:M109">EXP(-(YP/FRT))</f>
        <v>0.75147729307528599</v>
      </c>
      <c r="E109" s="35">
        <v>0.75147729307528599</v>
      </c>
      <c r="F109" s="35">
        <v>0.75147729307528599</v>
      </c>
      <c r="G109" s="35">
        <v>0.75147729307528599</v>
      </c>
      <c r="H109" s="35">
        <v>0.75147729307528599</v>
      </c>
      <c r="I109" s="35">
        <v>0.75147729307528599</v>
      </c>
      <c r="J109" s="35">
        <v>0.56471812200775928</v>
      </c>
      <c r="K109" s="35">
        <v>0.56471812200775928</v>
      </c>
      <c r="L109" s="35">
        <v>5.7432619267617349E-2</v>
      </c>
      <c r="M109" s="35">
        <v>5.7432619267617349E-2</v>
      </c>
    </row>
    <row r="110" spans="1:14" s="6" customFormat="1" x14ac:dyDescent="0.25">
      <c r="A110" s="78" t="s">
        <v>204</v>
      </c>
      <c r="B110" s="78" t="s">
        <v>215</v>
      </c>
      <c r="C110" s="1" t="str">
        <f t="array" ref="C110:C117">R_CODE</f>
        <v>EU</v>
      </c>
      <c r="D110" s="35">
        <f t="array" ref="D110:M117">(LAT-LAT_G)*POLE/90</f>
        <v>0.24633509015386196</v>
      </c>
      <c r="E110" s="35">
        <v>0.24633509015386196</v>
      </c>
      <c r="F110" s="35">
        <v>0.24633509015386196</v>
      </c>
      <c r="G110" s="35">
        <v>0.24633509015386196</v>
      </c>
      <c r="H110" s="35">
        <v>0.24633509015386196</v>
      </c>
      <c r="I110" s="35">
        <v>0.24633509015386196</v>
      </c>
      <c r="J110" s="35">
        <v>0.24633509015386196</v>
      </c>
      <c r="K110" s="35">
        <v>0.24633509015386196</v>
      </c>
      <c r="L110" s="35">
        <v>0.24633509015386196</v>
      </c>
      <c r="M110" s="35">
        <v>0.24633509015386196</v>
      </c>
      <c r="N110" t="str">
        <f>'Base data'!$L$32</f>
        <v>degC</v>
      </c>
    </row>
    <row r="111" spans="1:14" s="6" customFormat="1" x14ac:dyDescent="0.25">
      <c r="C111" s="1" t="str">
        <v>US</v>
      </c>
      <c r="D111" s="35">
        <v>0.16300175682052867</v>
      </c>
      <c r="E111" s="35">
        <v>0.16300175682052867</v>
      </c>
      <c r="F111" s="35">
        <v>0.16300175682052867</v>
      </c>
      <c r="G111" s="35">
        <v>0.16300175682052867</v>
      </c>
      <c r="H111" s="35">
        <v>0.16300175682052867</v>
      </c>
      <c r="I111" s="35">
        <v>0.16300175682052867</v>
      </c>
      <c r="J111" s="35">
        <v>0.16300175682052867</v>
      </c>
      <c r="K111" s="35">
        <v>0.16300175682052867</v>
      </c>
      <c r="L111" s="35">
        <v>0.16300175682052867</v>
      </c>
      <c r="M111" s="35">
        <v>0.16300175682052867</v>
      </c>
      <c r="N111" t="str">
        <f>'Base data'!$L$32</f>
        <v>degC</v>
      </c>
    </row>
    <row r="112" spans="1:14" s="6" customFormat="1" x14ac:dyDescent="0.25">
      <c r="C112" s="1" t="str">
        <v>OT</v>
      </c>
      <c r="D112" s="35">
        <v>0.16300175682052867</v>
      </c>
      <c r="E112" s="35">
        <v>0.16300175682052867</v>
      </c>
      <c r="F112" s="35">
        <v>0.16300175682052867</v>
      </c>
      <c r="G112" s="35">
        <v>0.16300175682052867</v>
      </c>
      <c r="H112" s="35">
        <v>0.16300175682052867</v>
      </c>
      <c r="I112" s="35">
        <v>0.16300175682052867</v>
      </c>
      <c r="J112" s="35">
        <v>0.16300175682052867</v>
      </c>
      <c r="K112" s="35">
        <v>0.16300175682052867</v>
      </c>
      <c r="L112" s="35">
        <v>0.16300175682052867</v>
      </c>
      <c r="M112" s="35">
        <v>0.16300175682052867</v>
      </c>
      <c r="N112" t="str">
        <f>'Base data'!$L$32</f>
        <v>degC</v>
      </c>
    </row>
    <row r="113" spans="1:14" s="6" customFormat="1" x14ac:dyDescent="0.25">
      <c r="C113" s="1" t="str">
        <v>EE</v>
      </c>
      <c r="D113" s="35">
        <v>0.41300175682052864</v>
      </c>
      <c r="E113" s="35">
        <v>0.41300175682052864</v>
      </c>
      <c r="F113" s="35">
        <v>0.41300175682052864</v>
      </c>
      <c r="G113" s="35">
        <v>0.41300175682052864</v>
      </c>
      <c r="H113" s="35">
        <v>0.41300175682052864</v>
      </c>
      <c r="I113" s="35">
        <v>0.41300175682052864</v>
      </c>
      <c r="J113" s="35">
        <v>0.41300175682052864</v>
      </c>
      <c r="K113" s="35">
        <v>0.41300175682052864</v>
      </c>
      <c r="L113" s="35">
        <v>0.41300175682052864</v>
      </c>
      <c r="M113" s="35">
        <v>0.41300175682052864</v>
      </c>
      <c r="N113" t="str">
        <f>'Base data'!$L$32</f>
        <v>degC</v>
      </c>
    </row>
    <row r="114" spans="1:14" s="6" customFormat="1" x14ac:dyDescent="0.25">
      <c r="C114" s="1" t="str">
        <v>CA</v>
      </c>
      <c r="D114" s="35">
        <v>-3.6649098461380091E-3</v>
      </c>
      <c r="E114" s="35">
        <v>-3.6649098461380091E-3</v>
      </c>
      <c r="F114" s="35">
        <v>-3.6649098461380091E-3</v>
      </c>
      <c r="G114" s="35">
        <v>-3.6649098461380091E-3</v>
      </c>
      <c r="H114" s="35">
        <v>-3.6649098461380091E-3</v>
      </c>
      <c r="I114" s="35">
        <v>-3.6649098461380091E-3</v>
      </c>
      <c r="J114" s="35">
        <v>-3.6649098461380091E-3</v>
      </c>
      <c r="K114" s="35">
        <v>-3.6649098461380091E-3</v>
      </c>
      <c r="L114" s="35">
        <v>-3.6649098461380091E-3</v>
      </c>
      <c r="M114" s="35">
        <v>-3.6649098461380091E-3</v>
      </c>
      <c r="N114" t="str">
        <f>'Base data'!$L$32</f>
        <v>degC</v>
      </c>
    </row>
    <row r="115" spans="1:14" s="6" customFormat="1" x14ac:dyDescent="0.25">
      <c r="C115" s="1" t="str">
        <v>IA</v>
      </c>
      <c r="D115" s="35">
        <v>-0.25366490984613804</v>
      </c>
      <c r="E115" s="35">
        <v>-0.25366490984613804</v>
      </c>
      <c r="F115" s="35">
        <v>-0.25366490984613804</v>
      </c>
      <c r="G115" s="35">
        <v>-0.25366490984613804</v>
      </c>
      <c r="H115" s="35">
        <v>-0.25366490984613804</v>
      </c>
      <c r="I115" s="35">
        <v>-0.25366490984613804</v>
      </c>
      <c r="J115" s="35">
        <v>-0.25366490984613804</v>
      </c>
      <c r="K115" s="35">
        <v>-0.25366490984613804</v>
      </c>
      <c r="L115" s="35">
        <v>-0.25366490984613804</v>
      </c>
      <c r="M115" s="35">
        <v>-0.25366490984613804</v>
      </c>
      <c r="N115" t="str">
        <f>'Base data'!$L$32</f>
        <v>degC</v>
      </c>
    </row>
    <row r="116" spans="1:14" s="6" customFormat="1" x14ac:dyDescent="0.25">
      <c r="C116" s="1" t="str">
        <v>AF</v>
      </c>
      <c r="D116" s="35">
        <v>-0.17033157651280467</v>
      </c>
      <c r="E116" s="35">
        <v>-0.17033157651280467</v>
      </c>
      <c r="F116" s="35">
        <v>-0.17033157651280467</v>
      </c>
      <c r="G116" s="35">
        <v>-0.17033157651280467</v>
      </c>
      <c r="H116" s="35">
        <v>-0.17033157651280467</v>
      </c>
      <c r="I116" s="35">
        <v>-0.17033157651280467</v>
      </c>
      <c r="J116" s="35">
        <v>-0.17033157651280467</v>
      </c>
      <c r="K116" s="35">
        <v>-0.17033157651280467</v>
      </c>
      <c r="L116" s="35">
        <v>-0.17033157651280467</v>
      </c>
      <c r="M116" s="35">
        <v>-0.17033157651280467</v>
      </c>
      <c r="N116" t="str">
        <f>'Base data'!$L$32</f>
        <v>degC</v>
      </c>
    </row>
    <row r="117" spans="1:14" s="6" customFormat="1" x14ac:dyDescent="0.25">
      <c r="C117" s="1" t="str">
        <v>LA</v>
      </c>
      <c r="D117" s="35">
        <v>-0.17033157651280467</v>
      </c>
      <c r="E117" s="35">
        <v>-0.17033157651280467</v>
      </c>
      <c r="F117" s="35">
        <v>-0.17033157651280467</v>
      </c>
      <c r="G117" s="35">
        <v>-0.17033157651280467</v>
      </c>
      <c r="H117" s="35">
        <v>-0.17033157651280467</v>
      </c>
      <c r="I117" s="35">
        <v>-0.17033157651280467</v>
      </c>
      <c r="J117" s="35">
        <v>-0.17033157651280467</v>
      </c>
      <c r="K117" s="35">
        <v>-0.17033157651280467</v>
      </c>
      <c r="L117" s="35">
        <v>-0.17033157651280467</v>
      </c>
      <c r="M117" s="35">
        <v>-0.17033157651280467</v>
      </c>
      <c r="N117" t="str">
        <f>'Base data'!$L$32</f>
        <v>degC</v>
      </c>
    </row>
    <row r="118" spans="1:14" s="6" customFormat="1" x14ac:dyDescent="0.25">
      <c r="A118" s="78" t="s">
        <v>211</v>
      </c>
      <c r="B118" s="78" t="s">
        <v>103</v>
      </c>
      <c r="C118" s="1" t="str">
        <f t="array" ref="C118:C125">R_CODE</f>
        <v>EU</v>
      </c>
      <c r="D118" s="35">
        <f t="array" ref="D118:D125">((RTL_0-RT_ADJ_1)*(1+(OCEAN_PROP/RLO)-OCEAN_PROP))+(et_1-((RTL_0-RT_ADJ_1)*(1+(OCEAN_PROP/RLO)-OCEAN_PROP)))*(1-EXPFT)</f>
        <v>0.70333016930563041</v>
      </c>
      <c r="E118" s="35">
        <f t="array" ref="E118:M125">rt+(et_not_1-rt)*(1-EXPFT_NOT_1)</f>
        <v>0.9585089476764157</v>
      </c>
      <c r="F118" s="35">
        <v>1.2254119247964321</v>
      </c>
      <c r="G118" s="35">
        <v>1.5040340201323699</v>
      </c>
      <c r="H118" s="35">
        <v>1.7243434796355006</v>
      </c>
      <c r="I118" s="35">
        <v>1.9204806110109269</v>
      </c>
      <c r="J118" s="35">
        <v>2.2281454831942988</v>
      </c>
      <c r="K118" s="35">
        <v>2.4474986750596104</v>
      </c>
      <c r="L118" s="35">
        <v>2.781916116460931</v>
      </c>
      <c r="M118" s="35">
        <v>3.069352131416327</v>
      </c>
      <c r="N118" t="str">
        <f>'Base data'!$L$32</f>
        <v>degC</v>
      </c>
    </row>
    <row r="119" spans="1:14" s="6" customFormat="1" x14ac:dyDescent="0.25">
      <c r="C119" s="1" t="str">
        <v>US</v>
      </c>
      <c r="D119" s="35">
        <v>0.86596816731797499</v>
      </c>
      <c r="E119" s="35">
        <v>1.1724791522851945</v>
      </c>
      <c r="F119" s="35">
        <v>1.4776674139208588</v>
      </c>
      <c r="G119" s="35">
        <v>1.7812619415483308</v>
      </c>
      <c r="H119" s="35">
        <v>2.0244988014201017</v>
      </c>
      <c r="I119" s="35">
        <v>2.2345196317224123</v>
      </c>
      <c r="J119" s="35">
        <v>2.5484034391560071</v>
      </c>
      <c r="K119" s="35">
        <v>2.7585893637712213</v>
      </c>
      <c r="L119" s="35">
        <v>3.0817966032205177</v>
      </c>
      <c r="M119" s="35">
        <v>3.3685887869152897</v>
      </c>
      <c r="N119" t="str">
        <f>'Base data'!$L$32</f>
        <v>degC</v>
      </c>
    </row>
    <row r="120" spans="1:14" s="6" customFormat="1" x14ac:dyDescent="0.25">
      <c r="C120" s="1" t="str">
        <v>OT</v>
      </c>
      <c r="D120" s="35">
        <v>1.2370071899161381</v>
      </c>
      <c r="E120" s="35">
        <v>1.66002650394268</v>
      </c>
      <c r="F120" s="35">
        <v>2.0521446269126167</v>
      </c>
      <c r="G120" s="35">
        <v>2.41278608094929</v>
      </c>
      <c r="H120" s="35">
        <v>2.7079525832455333</v>
      </c>
      <c r="I120" s="35">
        <v>2.9497314155684098</v>
      </c>
      <c r="J120" s="35">
        <v>3.278360273577293</v>
      </c>
      <c r="K120" s="35">
        <v>3.4670449606684444</v>
      </c>
      <c r="L120" s="35">
        <v>3.763959390244592</v>
      </c>
      <c r="M120" s="35">
        <v>4.049241509000443</v>
      </c>
      <c r="N120" t="str">
        <f>'Base data'!$L$32</f>
        <v>degC</v>
      </c>
    </row>
    <row r="121" spans="1:14" s="6" customFormat="1" x14ac:dyDescent="0.25">
      <c r="C121" s="1" t="str">
        <v>EE</v>
      </c>
      <c r="D121" s="35">
        <v>0.94836632199330007</v>
      </c>
      <c r="E121" s="35">
        <v>1.1784542680060888</v>
      </c>
      <c r="F121" s="35">
        <v>1.4899490300608598</v>
      </c>
      <c r="G121" s="35">
        <v>1.8821672939296075</v>
      </c>
      <c r="H121" s="35">
        <v>2.235060985987098</v>
      </c>
      <c r="I121" s="35">
        <v>2.5286873178738234</v>
      </c>
      <c r="J121" s="35">
        <v>2.9592354380220858</v>
      </c>
      <c r="K121" s="35">
        <v>3.2467455151899141</v>
      </c>
      <c r="L121" s="35">
        <v>3.6645086721482856</v>
      </c>
      <c r="M121" s="35">
        <v>3.9567314498528559</v>
      </c>
      <c r="N121" t="str">
        <f>'Base data'!$L$32</f>
        <v>degC</v>
      </c>
    </row>
    <row r="122" spans="1:14" s="6" customFormat="1" x14ac:dyDescent="0.25">
      <c r="C122" s="1" t="str">
        <v>CA</v>
      </c>
      <c r="D122" s="35">
        <v>-5.6905024530105874E-2</v>
      </c>
      <c r="E122" s="35">
        <v>-0.61194382783061863</v>
      </c>
      <c r="F122" s="35">
        <v>-0.65196910710976064</v>
      </c>
      <c r="G122" s="35">
        <v>-0.23763986587310937</v>
      </c>
      <c r="H122" s="35">
        <v>0.21453045419402217</v>
      </c>
      <c r="I122" s="35">
        <v>0.61216529437092959</v>
      </c>
      <c r="J122" s="35">
        <v>1.2890535947407988</v>
      </c>
      <c r="K122" s="35">
        <v>1.8413589026814225</v>
      </c>
      <c r="L122" s="35">
        <v>2.5829271731935664</v>
      </c>
      <c r="M122" s="35">
        <v>2.8937469267017781</v>
      </c>
      <c r="N122" t="str">
        <f>'Base data'!$L$32</f>
        <v>degC</v>
      </c>
    </row>
    <row r="123" spans="1:14" s="6" customFormat="1" x14ac:dyDescent="0.25">
      <c r="C123" s="1" t="str">
        <v>IA</v>
      </c>
      <c r="D123" s="35">
        <v>0.87585383518880133</v>
      </c>
      <c r="E123" s="35">
        <v>0.89909495591850996</v>
      </c>
      <c r="F123" s="35">
        <v>1.1023780681267417</v>
      </c>
      <c r="G123" s="35">
        <v>1.4724634060834842</v>
      </c>
      <c r="H123" s="35">
        <v>1.8315728700264824</v>
      </c>
      <c r="I123" s="35">
        <v>2.1362530744486614</v>
      </c>
      <c r="J123" s="35">
        <v>2.6067177265252619</v>
      </c>
      <c r="K123" s="35">
        <v>2.9491039735134361</v>
      </c>
      <c r="L123" s="35">
        <v>3.4339725097802423</v>
      </c>
      <c r="M123" s="35">
        <v>3.7300493251854427</v>
      </c>
      <c r="N123" t="str">
        <f>'Base data'!$L$32</f>
        <v>degC</v>
      </c>
    </row>
    <row r="124" spans="1:14" s="6" customFormat="1" x14ac:dyDescent="0.25">
      <c r="C124" s="1" t="str">
        <v>AF</v>
      </c>
      <c r="D124" s="35">
        <v>0.9775769249289552</v>
      </c>
      <c r="E124" s="35">
        <v>1.2244298338426569</v>
      </c>
      <c r="F124" s="35">
        <v>1.3933641485936035</v>
      </c>
      <c r="G124" s="35">
        <v>1.5923689752469685</v>
      </c>
      <c r="H124" s="35">
        <v>1.7723524027143787</v>
      </c>
      <c r="I124" s="35">
        <v>1.9564314539894054</v>
      </c>
      <c r="J124" s="35">
        <v>2.3233228603008529</v>
      </c>
      <c r="K124" s="35">
        <v>2.6798565664646472</v>
      </c>
      <c r="L124" s="35">
        <v>3.1820253373749914</v>
      </c>
      <c r="M124" s="35">
        <v>3.4790957505697149</v>
      </c>
      <c r="N124" t="str">
        <f>'Base data'!$L$32</f>
        <v>degC</v>
      </c>
    </row>
    <row r="125" spans="1:14" s="6" customFormat="1" x14ac:dyDescent="0.25">
      <c r="C125" s="1" t="str">
        <v>LA</v>
      </c>
      <c r="D125" s="35">
        <v>1.1290142352083201</v>
      </c>
      <c r="E125" s="35">
        <v>1.408110085674799</v>
      </c>
      <c r="F125" s="35">
        <v>1.6517189708297622</v>
      </c>
      <c r="G125" s="35">
        <v>1.8703425644584597</v>
      </c>
      <c r="H125" s="35">
        <v>2.065215031091082</v>
      </c>
      <c r="I125" s="35">
        <v>2.2541735373499074</v>
      </c>
      <c r="J125" s="35">
        <v>2.6039109021071241</v>
      </c>
      <c r="K125" s="35">
        <v>2.9225121843919495</v>
      </c>
      <c r="L125" s="35">
        <v>3.3782952527137211</v>
      </c>
      <c r="M125" s="35">
        <v>3.6727016135122144</v>
      </c>
      <c r="N125" t="str">
        <f>'Base data'!$L$32</f>
        <v>degC</v>
      </c>
    </row>
    <row r="126" spans="1:14" s="6" customFormat="1" x14ac:dyDescent="0.25">
      <c r="A126" s="78" t="s">
        <v>181</v>
      </c>
      <c r="B126" s="78" t="s">
        <v>212</v>
      </c>
      <c r="C126" s="1" t="str">
        <f t="array" ref="C126:C133">R_CODE</f>
        <v>EU</v>
      </c>
      <c r="D126" s="35">
        <f t="array" ref="D126:M133">(rt/(1+(OCEAN_PROP/RLO)-OCEAN_PROP))+RT_ADJ</f>
        <v>1.1318964164672032</v>
      </c>
      <c r="E126" s="35">
        <v>1.4531914032074253</v>
      </c>
      <c r="F126" s="35">
        <v>1.7892483004236059</v>
      </c>
      <c r="G126" s="35">
        <v>2.1400607112284615</v>
      </c>
      <c r="H126" s="35">
        <v>2.4174518223613446</v>
      </c>
      <c r="I126" s="35">
        <v>2.6644076132263876</v>
      </c>
      <c r="J126" s="35">
        <v>3.0517877145800898</v>
      </c>
      <c r="K126" s="35">
        <v>3.3279747914277755</v>
      </c>
      <c r="L126" s="35">
        <v>3.7490389884066166</v>
      </c>
      <c r="M126" s="35">
        <v>4.1109489842275284</v>
      </c>
      <c r="N126" t="str">
        <f>'Base data'!$L$32</f>
        <v>degC</v>
      </c>
    </row>
    <row r="127" spans="1:14" s="6" customFormat="1" x14ac:dyDescent="0.25">
      <c r="C127" s="1" t="str">
        <v>US</v>
      </c>
      <c r="D127" s="35">
        <v>1.2533401956682995</v>
      </c>
      <c r="E127" s="35">
        <v>1.6392674404005361</v>
      </c>
      <c r="F127" s="35">
        <v>2.0235292473640589</v>
      </c>
      <c r="G127" s="35">
        <v>2.405784387667059</v>
      </c>
      <c r="H127" s="35">
        <v>2.7120433335174763</v>
      </c>
      <c r="I127" s="35">
        <v>2.9764800563436276</v>
      </c>
      <c r="J127" s="35">
        <v>3.3716904041289326</v>
      </c>
      <c r="K127" s="35">
        <v>3.6363349968077969</v>
      </c>
      <c r="L127" s="35">
        <v>4.0432844554430858</v>
      </c>
      <c r="M127" s="35">
        <v>4.4043838048706494</v>
      </c>
      <c r="N127" t="str">
        <f>'Base data'!$L$32</f>
        <v>degC</v>
      </c>
    </row>
    <row r="128" spans="1:14" s="6" customFormat="1" x14ac:dyDescent="0.25">
      <c r="C128" s="1" t="str">
        <v>OT</v>
      </c>
      <c r="D128" s="35">
        <v>1.7205145375430788</v>
      </c>
      <c r="E128" s="35">
        <v>2.2531371394646507</v>
      </c>
      <c r="F128" s="35">
        <v>2.7468521259717353</v>
      </c>
      <c r="G128" s="35">
        <v>3.2009349142525076</v>
      </c>
      <c r="H128" s="35">
        <v>3.5725783481105902</v>
      </c>
      <c r="I128" s="35">
        <v>3.877001494977331</v>
      </c>
      <c r="J128" s="35">
        <v>4.2907773005147192</v>
      </c>
      <c r="K128" s="35">
        <v>4.5283497366870806</v>
      </c>
      <c r="L128" s="35">
        <v>4.9021939815836255</v>
      </c>
      <c r="M128" s="35">
        <v>5.2613920118747579</v>
      </c>
      <c r="N128" t="str">
        <f>'Base data'!$L$32</f>
        <v>degC</v>
      </c>
    </row>
    <row r="129" spans="1:24" s="6" customFormat="1" x14ac:dyDescent="0.25">
      <c r="C129" s="1" t="str">
        <v>EE</v>
      </c>
      <c r="D129" s="35">
        <v>1.6070875142457062</v>
      </c>
      <c r="E129" s="35">
        <v>1.8967906942485755</v>
      </c>
      <c r="F129" s="35">
        <v>2.2889930007374542</v>
      </c>
      <c r="G129" s="35">
        <v>2.782834074409628</v>
      </c>
      <c r="H129" s="35">
        <v>3.2271616741976059</v>
      </c>
      <c r="I129" s="35">
        <v>3.596865883193562</v>
      </c>
      <c r="J129" s="35">
        <v>4.1389679868138716</v>
      </c>
      <c r="K129" s="35">
        <v>4.5009712341885111</v>
      </c>
      <c r="L129" s="35">
        <v>5.0269758213742781</v>
      </c>
      <c r="M129" s="35">
        <v>5.394912818671739</v>
      </c>
      <c r="N129" t="str">
        <f>'Base data'!$L$32</f>
        <v>degC</v>
      </c>
    </row>
    <row r="130" spans="1:24" s="6" customFormat="1" x14ac:dyDescent="0.25">
      <c r="C130" s="1" t="str">
        <v>CA</v>
      </c>
      <c r="D130" s="35">
        <v>-7.5313889508882542E-2</v>
      </c>
      <c r="E130" s="35">
        <v>-0.77416191317809413</v>
      </c>
      <c r="F130" s="35">
        <v>-0.82455764615154548</v>
      </c>
      <c r="G130" s="35">
        <v>-0.30287669400048306</v>
      </c>
      <c r="H130" s="35">
        <v>0.26644986958699973</v>
      </c>
      <c r="I130" s="35">
        <v>0.76711094147461611</v>
      </c>
      <c r="J130" s="35">
        <v>1.6193793741416151</v>
      </c>
      <c r="K130" s="35">
        <v>2.314785660370835</v>
      </c>
      <c r="L130" s="35">
        <v>3.2484924880403527</v>
      </c>
      <c r="M130" s="35">
        <v>3.6398448928900704</v>
      </c>
      <c r="N130" t="str">
        <f>'Base data'!$L$32</f>
        <v>degC</v>
      </c>
    </row>
    <row r="131" spans="1:24" s="6" customFormat="1" x14ac:dyDescent="0.25">
      <c r="C131" s="1" t="str">
        <v>IA</v>
      </c>
      <c r="D131" s="35">
        <v>0.84912054966594597</v>
      </c>
      <c r="E131" s="35">
        <v>0.87838338893633949</v>
      </c>
      <c r="F131" s="35">
        <v>1.1343366670986448</v>
      </c>
      <c r="G131" s="35">
        <v>1.6003102269327865</v>
      </c>
      <c r="H131" s="35">
        <v>2.0524640901674553</v>
      </c>
      <c r="I131" s="35">
        <v>2.4360862035141646</v>
      </c>
      <c r="J131" s="35">
        <v>3.028447116579811</v>
      </c>
      <c r="K131" s="35">
        <v>3.4595448175267731</v>
      </c>
      <c r="L131" s="35">
        <v>4.0700416265687513</v>
      </c>
      <c r="M131" s="35">
        <v>4.4428312334751539</v>
      </c>
      <c r="N131" t="str">
        <f>'Base data'!$L$32</f>
        <v>degC</v>
      </c>
    </row>
    <row r="132" spans="1:24" s="6" customFormat="1" x14ac:dyDescent="0.25">
      <c r="C132" s="1" t="str">
        <v>AF</v>
      </c>
      <c r="D132" s="35">
        <v>1.0605331808856704</v>
      </c>
      <c r="E132" s="35">
        <v>1.3713450853966662</v>
      </c>
      <c r="F132" s="35">
        <v>1.5840498752087959</v>
      </c>
      <c r="G132" s="35">
        <v>1.8346163743082107</v>
      </c>
      <c r="H132" s="35">
        <v>2.0612330753944397</v>
      </c>
      <c r="I132" s="35">
        <v>2.2930065665764698</v>
      </c>
      <c r="J132" s="35">
        <v>2.7549586547499345</v>
      </c>
      <c r="K132" s="35">
        <v>3.2038693875534636</v>
      </c>
      <c r="L132" s="35">
        <v>3.8361488804686337</v>
      </c>
      <c r="M132" s="35">
        <v>4.2101895239645524</v>
      </c>
      <c r="N132" t="str">
        <f>'Base data'!$L$32</f>
        <v>degC</v>
      </c>
    </row>
    <row r="133" spans="1:24" s="6" customFormat="1" x14ac:dyDescent="0.25">
      <c r="C133" s="1" t="str">
        <v>LA</v>
      </c>
      <c r="D133" s="35">
        <v>1.2512075344068878</v>
      </c>
      <c r="E133" s="35">
        <v>1.6026164491583375</v>
      </c>
      <c r="F133" s="35">
        <v>1.909343811148974</v>
      </c>
      <c r="G133" s="35">
        <v>2.1846122526099117</v>
      </c>
      <c r="H133" s="35">
        <v>2.4299757071358425</v>
      </c>
      <c r="I133" s="35">
        <v>2.6678929083643292</v>
      </c>
      <c r="J133" s="35">
        <v>3.1082463840320962</v>
      </c>
      <c r="K133" s="35">
        <v>3.5093964930681238</v>
      </c>
      <c r="L133" s="35">
        <v>4.0832718593028385</v>
      </c>
      <c r="M133" s="35">
        <v>4.4539582008274614</v>
      </c>
      <c r="N133" t="str">
        <f>'Base data'!$L$32</f>
        <v>degC</v>
      </c>
    </row>
    <row r="134" spans="1:24" s="6" customFormat="1" x14ac:dyDescent="0.25">
      <c r="A134" s="78" t="s">
        <v>213</v>
      </c>
      <c r="B134" s="78" t="s">
        <v>225</v>
      </c>
      <c r="C134" s="106">
        <f>RTL_G_0</f>
        <v>0.92582701391906475</v>
      </c>
      <c r="D134" s="106">
        <f t="array" ref="D134">SUM((AREA*D126:D133)/AREA_G)</f>
        <v>1.1687492591255535</v>
      </c>
      <c r="E134" s="106">
        <f t="array" ref="E134">SUM((AREA*E126:E133)/AREA_G)</f>
        <v>1.4128475730856893</v>
      </c>
      <c r="F134" s="106">
        <f t="array" ref="F134">SUM((AREA*F126:F133)/AREA_G)</f>
        <v>1.7014564181592551</v>
      </c>
      <c r="G134" s="106">
        <f t="array" ref="G134">SUM((AREA*G126:G133)/AREA_G)</f>
        <v>2.0648723185351896</v>
      </c>
      <c r="H134" s="106">
        <f t="array" ref="H134">SUM((AREA*H126:H133)/AREA_G)</f>
        <v>2.3945030100385858</v>
      </c>
      <c r="I134" s="106">
        <f t="array" ref="I134">SUM((AREA*I126:I133)/AREA_G)</f>
        <v>2.6913404342915892</v>
      </c>
      <c r="J134" s="106">
        <f t="array" ref="J134">SUM((AREA*J126:J133)/AREA_G)</f>
        <v>3.1895869366092588</v>
      </c>
      <c r="K134" s="106">
        <f t="array" ref="K134">SUM((AREA*K126:K133)/AREA_G)</f>
        <v>3.5934876812099303</v>
      </c>
      <c r="L134" s="106">
        <f t="array" ref="L134">SUM((AREA*L126:L133)/AREA_G)</f>
        <v>4.1707266649038983</v>
      </c>
      <c r="M134" s="106">
        <f t="array" ref="M134">SUM((AREA*M126:M133)/AREA_G)</f>
        <v>4.5416061877894212</v>
      </c>
      <c r="N134" t="str">
        <f>'Base data'!$L$32</f>
        <v>degC</v>
      </c>
      <c r="O134" s="6">
        <f t="shared" ref="O134:X134" si="7">D134</f>
        <v>1.1687492591255535</v>
      </c>
      <c r="P134" s="6">
        <f t="shared" si="7"/>
        <v>1.4128475730856893</v>
      </c>
      <c r="Q134" s="6">
        <f t="shared" si="7"/>
        <v>1.7014564181592551</v>
      </c>
      <c r="R134" s="6">
        <f t="shared" si="7"/>
        <v>2.0648723185351896</v>
      </c>
      <c r="S134" s="6">
        <f t="shared" si="7"/>
        <v>2.3945030100385858</v>
      </c>
      <c r="T134" s="6">
        <f t="shared" si="7"/>
        <v>2.6913404342915892</v>
      </c>
      <c r="U134" s="6">
        <f t="shared" si="7"/>
        <v>3.1895869366092588</v>
      </c>
      <c r="V134" s="6">
        <f t="shared" si="7"/>
        <v>3.5934876812099303</v>
      </c>
      <c r="W134" s="6">
        <f t="shared" si="7"/>
        <v>4.1707266649038983</v>
      </c>
      <c r="X134" s="6">
        <f t="shared" si="7"/>
        <v>4.5416061877894212</v>
      </c>
    </row>
    <row r="135" spans="1:24" s="6" customFormat="1" x14ac:dyDescent="0.25">
      <c r="A135" s="78" t="s">
        <v>214</v>
      </c>
      <c r="B135" s="78" t="s">
        <v>226</v>
      </c>
      <c r="C135" s="62">
        <f>RTL_G_0/RLO</f>
        <v>0.6613050099421891</v>
      </c>
      <c r="D135" s="35">
        <f t="array" ref="D135:M135">rtl_g/RLO</f>
        <v>0.83482089937539539</v>
      </c>
      <c r="E135" s="35">
        <v>1.0091768379183497</v>
      </c>
      <c r="F135" s="35">
        <v>1.2153260129708965</v>
      </c>
      <c r="G135" s="35">
        <v>1.4749087989537069</v>
      </c>
      <c r="H135" s="35">
        <v>1.7103592928847042</v>
      </c>
      <c r="I135" s="35">
        <v>1.9223860244939923</v>
      </c>
      <c r="J135" s="35">
        <v>2.2782763832923281</v>
      </c>
      <c r="K135" s="35">
        <v>2.5667769151499504</v>
      </c>
      <c r="L135" s="35">
        <v>2.9790904749313563</v>
      </c>
      <c r="M135" s="35">
        <v>3.2440044198495865</v>
      </c>
      <c r="N135" t="str">
        <f>'Base data'!$L$32</f>
        <v>degC</v>
      </c>
    </row>
    <row r="136" spans="1:24" s="6" customFormat="1" x14ac:dyDescent="0.25">
      <c r="A136" s="6" t="s">
        <v>105</v>
      </c>
      <c r="B136" s="78" t="s">
        <v>227</v>
      </c>
      <c r="C136" s="106">
        <f>OCEAN_PROP*RTO_G_0+(1-OCEAN_PROP)*RTL_G_0</f>
        <v>0.73530996792538239</v>
      </c>
      <c r="D136" s="106">
        <f t="array" ref="D136:M136">OCEAN_PROP*rto_g+(1-OCEAN_PROP)*rtl_g</f>
        <v>0.92824357824965431</v>
      </c>
      <c r="E136" s="106">
        <v>1.1221112454382445</v>
      </c>
      <c r="F136" s="106">
        <v>1.3513300491926326</v>
      </c>
      <c r="G136" s="106">
        <v>1.639962083073168</v>
      </c>
      <c r="H136" s="106">
        <v>1.9017612416120575</v>
      </c>
      <c r="I136" s="106">
        <v>2.1375153442954447</v>
      </c>
      <c r="J136" s="106">
        <v>2.5332324859753994</v>
      </c>
      <c r="K136" s="106">
        <v>2.8540183769596954</v>
      </c>
      <c r="L136" s="106">
        <v>3.31247289622089</v>
      </c>
      <c r="M136" s="106">
        <v>3.6070326854440795</v>
      </c>
      <c r="N136" t="str">
        <f>'Base data'!$L$32</f>
        <v>degC</v>
      </c>
      <c r="O136" s="6">
        <f t="shared" ref="O136:X136" si="8">D136</f>
        <v>0.92824357824965431</v>
      </c>
      <c r="P136" s="6">
        <f t="shared" si="8"/>
        <v>1.1221112454382445</v>
      </c>
      <c r="Q136" s="6">
        <f t="shared" si="8"/>
        <v>1.3513300491926326</v>
      </c>
      <c r="R136" s="6">
        <f t="shared" si="8"/>
        <v>1.639962083073168</v>
      </c>
      <c r="S136" s="6">
        <f t="shared" si="8"/>
        <v>1.9017612416120575</v>
      </c>
      <c r="T136" s="6">
        <f t="shared" si="8"/>
        <v>2.1375153442954447</v>
      </c>
      <c r="U136" s="6">
        <f t="shared" si="8"/>
        <v>2.5332324859753994</v>
      </c>
      <c r="V136" s="6">
        <f t="shared" si="8"/>
        <v>2.8540183769596954</v>
      </c>
      <c r="W136" s="6">
        <f t="shared" si="8"/>
        <v>3.31247289622089</v>
      </c>
      <c r="X136" s="6">
        <f t="shared" si="8"/>
        <v>3.6070326854440795</v>
      </c>
    </row>
    <row r="137" spans="1:24" s="6" customFormat="1" x14ac:dyDescent="0.25">
      <c r="A137" s="78" t="s">
        <v>233</v>
      </c>
      <c r="B137" s="78" t="s">
        <v>234</v>
      </c>
      <c r="C137" s="62">
        <f>SLA+SLTEMP*RT_G_0</f>
        <v>2.2745372774922261</v>
      </c>
      <c r="D137" s="35">
        <f t="array" ref="D137:M137">SLA+SLTEMP*rt_g</f>
        <v>2.6089555353233198</v>
      </c>
      <c r="E137" s="35">
        <v>2.9449928250522532</v>
      </c>
      <c r="F137" s="35">
        <v>3.3423054181501199</v>
      </c>
      <c r="G137" s="35">
        <v>3.8426009434468371</v>
      </c>
      <c r="H137" s="35">
        <v>4.2963861514936461</v>
      </c>
      <c r="I137" s="35">
        <v>4.7050265960662658</v>
      </c>
      <c r="J137" s="35">
        <v>5.3909363081796151</v>
      </c>
      <c r="K137" s="35">
        <v>5.9469651857787991</v>
      </c>
      <c r="L137" s="35">
        <v>6.7416196856787183</v>
      </c>
      <c r="M137" s="35">
        <v>7.2521899869007269</v>
      </c>
      <c r="N137" s="3" t="s">
        <v>228</v>
      </c>
    </row>
    <row r="138" spans="1:24" s="6" customFormat="1" x14ac:dyDescent="0.25">
      <c r="A138" s="78" t="s">
        <v>235</v>
      </c>
      <c r="B138" s="78" t="s">
        <v>236</v>
      </c>
      <c r="C138" s="83"/>
      <c r="D138" s="35">
        <f t="array" ref="D138:M138">EXP(-(YP/SLTAU))</f>
        <v>0.99004983374916811</v>
      </c>
      <c r="E138" s="35">
        <v>0.99004983374916811</v>
      </c>
      <c r="F138" s="35">
        <v>0.99004983374916811</v>
      </c>
      <c r="G138" s="35">
        <v>0.99004983374916811</v>
      </c>
      <c r="H138" s="35">
        <v>0.99004983374916811</v>
      </c>
      <c r="I138" s="35">
        <v>0.99004983374916811</v>
      </c>
      <c r="J138" s="35">
        <v>0.98019867330675525</v>
      </c>
      <c r="K138" s="35">
        <v>0.98019867330675525</v>
      </c>
      <c r="L138" s="35">
        <v>0.90483741803595952</v>
      </c>
      <c r="M138" s="35">
        <v>0.90483741803595952</v>
      </c>
      <c r="N138"/>
    </row>
    <row r="139" spans="1:24" s="6" customFormat="1" ht="13" thickBot="1" x14ac:dyDescent="0.3">
      <c r="A139" s="78" t="s">
        <v>237</v>
      </c>
      <c r="B139" s="78" t="s">
        <v>238</v>
      </c>
      <c r="C139" s="49">
        <f>S_0</f>
        <v>0.15</v>
      </c>
      <c r="D139" s="49">
        <f>S_0+(es-S_0)*(1-EXPFS_1)</f>
        <v>0.17446701637987036</v>
      </c>
      <c r="E139" s="49">
        <f t="array" ref="E139:M139">s+(es_not_1-s)*(1-EXPFS_NOT_1)</f>
        <v>0.20203420877838105</v>
      </c>
      <c r="F139" s="49">
        <v>0.23328042938433077</v>
      </c>
      <c r="G139" s="49">
        <v>0.26919376855179072</v>
      </c>
      <c r="H139" s="49">
        <v>0.30926500228614606</v>
      </c>
      <c r="I139" s="49">
        <v>0.35300356094328</v>
      </c>
      <c r="J139" s="49">
        <v>0.4527613131299027</v>
      </c>
      <c r="K139" s="49">
        <v>0.561553838931514</v>
      </c>
      <c r="L139" s="49">
        <v>1.1496648616157621</v>
      </c>
      <c r="M139" s="49">
        <v>1.7303969090383089</v>
      </c>
      <c r="N139" s="3" t="s">
        <v>228</v>
      </c>
      <c r="O139" s="6">
        <f t="shared" ref="O139:X139" si="9">D139</f>
        <v>0.17446701637987036</v>
      </c>
      <c r="P139" s="6">
        <f t="shared" si="9"/>
        <v>0.20203420877838105</v>
      </c>
      <c r="Q139" s="6">
        <f t="shared" si="9"/>
        <v>0.23328042938433077</v>
      </c>
      <c r="R139" s="6">
        <f t="shared" si="9"/>
        <v>0.26919376855179072</v>
      </c>
      <c r="S139" s="6">
        <f t="shared" si="9"/>
        <v>0.30926500228614606</v>
      </c>
      <c r="T139" s="6">
        <f t="shared" si="9"/>
        <v>0.35300356094328</v>
      </c>
      <c r="U139" s="6">
        <f t="shared" si="9"/>
        <v>0.4527613131299027</v>
      </c>
      <c r="V139" s="6">
        <f t="shared" si="9"/>
        <v>0.561553838931514</v>
      </c>
      <c r="W139" s="6">
        <f t="shared" si="9"/>
        <v>1.1496648616157621</v>
      </c>
      <c r="X139" s="6">
        <f t="shared" si="9"/>
        <v>1.7303969090383089</v>
      </c>
    </row>
    <row r="140" spans="1:24" ht="13" thickTop="1" x14ac:dyDescent="0.25"/>
  </sheetData>
  <phoneticPr fontId="0" type="noConversion"/>
  <pageMargins left="0.75" right="0.75" top="1" bottom="1" header="0.5" footer="0.5"/>
  <pageSetup paperSize="9" orientation="portrait" horizontalDpi="4294967293" verticalDpi="4294967293" r:id="rId1"/>
  <headerFooter alignWithMargins="0"/>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N16"/>
  <sheetViews>
    <sheetView workbookViewId="0"/>
  </sheetViews>
  <sheetFormatPr defaultRowHeight="12.5" x14ac:dyDescent="0.25"/>
  <sheetData>
    <row r="1" spans="1:40" x14ac:dyDescent="0.25">
      <c r="A1">
        <v>1</v>
      </c>
      <c r="B1">
        <v>0</v>
      </c>
    </row>
    <row r="2" spans="1:40" x14ac:dyDescent="0.25">
      <c r="A2">
        <v>0</v>
      </c>
    </row>
    <row r="3" spans="1:40" x14ac:dyDescent="0.25">
      <c r="A3" s="1">
        <f>'Impacts A-B'!$M$450</f>
        <v>6703.7065418660641</v>
      </c>
      <c r="B3" t="b">
        <v>1</v>
      </c>
      <c r="C3">
        <v>0</v>
      </c>
      <c r="D3">
        <v>1</v>
      </c>
      <c r="E3" t="s">
        <v>495</v>
      </c>
      <c r="F3">
        <v>1</v>
      </c>
      <c r="G3">
        <v>0</v>
      </c>
      <c r="H3">
        <v>0</v>
      </c>
      <c r="J3" t="s">
        <v>250</v>
      </c>
      <c r="K3" t="s">
        <v>251</v>
      </c>
      <c r="L3" t="s">
        <v>252</v>
      </c>
      <c r="AG3" s="1">
        <f>'Impacts A-B'!$M$450</f>
        <v>6703.7065418660641</v>
      </c>
      <c r="AH3">
        <v>223</v>
      </c>
      <c r="AI3">
        <v>1</v>
      </c>
      <c r="AJ3" t="b">
        <v>0</v>
      </c>
      <c r="AK3" t="b">
        <v>1</v>
      </c>
      <c r="AL3">
        <v>0</v>
      </c>
      <c r="AM3" t="b">
        <v>0</v>
      </c>
      <c r="AN3" t="e">
        <f>_</f>
        <v>#NAME?</v>
      </c>
    </row>
    <row r="4" spans="1:40" x14ac:dyDescent="0.25">
      <c r="A4" s="1">
        <v>0</v>
      </c>
      <c r="AG4" s="1"/>
    </row>
    <row r="5" spans="1:40" x14ac:dyDescent="0.25">
      <c r="A5" s="1" t="b">
        <v>0</v>
      </c>
      <c r="B5">
        <v>11200</v>
      </c>
      <c r="C5">
        <v>5650</v>
      </c>
      <c r="D5">
        <v>8000</v>
      </c>
      <c r="E5">
        <v>100</v>
      </c>
      <c r="AG5" s="1"/>
    </row>
    <row r="6" spans="1:40" x14ac:dyDescent="0.25">
      <c r="A6" s="1" t="b">
        <v>0</v>
      </c>
      <c r="B6">
        <v>11200</v>
      </c>
      <c r="C6">
        <v>5650</v>
      </c>
      <c r="D6">
        <v>8000</v>
      </c>
      <c r="E6">
        <v>500</v>
      </c>
      <c r="AG6" s="1"/>
    </row>
    <row r="7" spans="1:40" x14ac:dyDescent="0.25">
      <c r="A7" s="1" t="b">
        <v>0</v>
      </c>
      <c r="B7">
        <v>11200</v>
      </c>
      <c r="C7">
        <v>5650</v>
      </c>
      <c r="D7">
        <v>8000</v>
      </c>
      <c r="E7">
        <v>1000</v>
      </c>
      <c r="AG7" s="1"/>
    </row>
    <row r="8" spans="1:40" x14ac:dyDescent="0.25">
      <c r="A8" s="1" t="b">
        <v>0</v>
      </c>
      <c r="B8">
        <v>11200</v>
      </c>
      <c r="C8">
        <v>5650</v>
      </c>
      <c r="D8">
        <v>8000</v>
      </c>
      <c r="E8">
        <v>1500</v>
      </c>
      <c r="AG8" s="1"/>
    </row>
    <row r="9" spans="1:40" x14ac:dyDescent="0.25">
      <c r="A9" s="1" t="b">
        <v>0</v>
      </c>
      <c r="B9">
        <v>11200</v>
      </c>
      <c r="C9">
        <v>5650</v>
      </c>
      <c r="D9">
        <v>8000</v>
      </c>
      <c r="E9">
        <v>2000</v>
      </c>
      <c r="AG9" s="1"/>
    </row>
    <row r="10" spans="1:40" x14ac:dyDescent="0.25">
      <c r="A10" s="1">
        <v>0</v>
      </c>
      <c r="AG10" s="1"/>
    </row>
    <row r="11" spans="1:40" x14ac:dyDescent="0.25">
      <c r="A11" s="1"/>
      <c r="AG11" s="1"/>
    </row>
    <row r="12" spans="1:40" x14ac:dyDescent="0.25">
      <c r="A12" s="1"/>
      <c r="AG12" s="1"/>
    </row>
    <row r="13" spans="1:40" x14ac:dyDescent="0.25">
      <c r="A13" s="1"/>
      <c r="AG13" s="1"/>
    </row>
    <row r="14" spans="1:40" x14ac:dyDescent="0.25">
      <c r="A14" s="1"/>
      <c r="AG14" s="1"/>
    </row>
    <row r="15" spans="1:40" x14ac:dyDescent="0.25">
      <c r="A15" s="1"/>
      <c r="AG15" s="1"/>
    </row>
    <row r="16" spans="1:40" x14ac:dyDescent="0.25">
      <c r="A16" s="1"/>
      <c r="AG16" s="1"/>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Y140"/>
  <sheetViews>
    <sheetView workbookViewId="0"/>
  </sheetViews>
  <sheetFormatPr defaultRowHeight="12.5" x14ac:dyDescent="0.25"/>
  <cols>
    <col min="1" max="1" width="31.453125" bestFit="1" customWidth="1"/>
    <col min="2" max="2" width="7.54296875" bestFit="1" customWidth="1"/>
    <col min="4" max="4" width="9.7265625" bestFit="1" customWidth="1"/>
    <col min="5" max="5" width="10.26953125" bestFit="1" customWidth="1"/>
    <col min="6" max="6" width="9.81640625" bestFit="1" customWidth="1"/>
    <col min="7" max="13" width="10.54296875" bestFit="1" customWidth="1"/>
    <col min="14" max="14" width="11.54296875" bestFit="1" customWidth="1"/>
    <col min="15" max="24" width="2.26953125" customWidth="1"/>
  </cols>
  <sheetData>
    <row r="1" spans="1:14" ht="13" x14ac:dyDescent="0.3">
      <c r="A1" s="2" t="str">
        <f>MODEL_NAME</f>
        <v>PAGE09</v>
      </c>
      <c r="B1" t="s">
        <v>44</v>
      </c>
      <c r="C1" s="71">
        <f>VERSION</f>
        <v>1.7</v>
      </c>
    </row>
    <row r="2" spans="1:14" ht="13" x14ac:dyDescent="0.3">
      <c r="A2" s="2"/>
    </row>
    <row r="3" spans="1:14" s="3" customFormat="1" x14ac:dyDescent="0.25">
      <c r="A3" s="3" t="s">
        <v>205</v>
      </c>
      <c r="D3" s="60">
        <f>SUM(AREA)</f>
        <v>142682000</v>
      </c>
      <c r="E3" s="3" t="str">
        <f>'Base data'!$C$32</f>
        <v>Km2</v>
      </c>
    </row>
    <row r="4" spans="1:14" s="3" customFormat="1" x14ac:dyDescent="0.25">
      <c r="A4" s="3" t="s">
        <v>207</v>
      </c>
      <c r="D4" s="72">
        <f>1-(AREA_G/510000000)</f>
        <v>0.72023137254901959</v>
      </c>
    </row>
    <row r="5" spans="1:14" s="3" customFormat="1" x14ac:dyDescent="0.25">
      <c r="A5" s="3" t="s">
        <v>209</v>
      </c>
      <c r="D5" s="72">
        <f t="array" ref="D5">SUM(AREA*LAT/AREA_G)</f>
        <v>30.219894590768281</v>
      </c>
    </row>
    <row r="6" spans="1:14" s="3" customFormat="1" ht="13" thickBot="1" x14ac:dyDescent="0.3">
      <c r="A6" s="3" t="s">
        <v>206</v>
      </c>
      <c r="B6" s="3">
        <f>Y_0</f>
        <v>2000</v>
      </c>
      <c r="D6" s="36">
        <f t="array" ref="D6">SUM(AREA*RTL_0)/AREA_G</f>
        <v>0.92582701391906475</v>
      </c>
      <c r="E6" s="3" t="str">
        <f>'Base data'!$L$32</f>
        <v>degC</v>
      </c>
    </row>
    <row r="7" spans="1:14" ht="13.5" thickTop="1" x14ac:dyDescent="0.3">
      <c r="A7" s="2"/>
    </row>
    <row r="8" spans="1:14" ht="13" x14ac:dyDescent="0.3">
      <c r="A8" s="2"/>
      <c r="D8" t="str">
        <f>'Base data'!B$11</f>
        <v>CO2</v>
      </c>
      <c r="E8" t="str">
        <f>'Base data'!C$11</f>
        <v>CH4</v>
      </c>
      <c r="F8" t="str">
        <f>'Base data'!D$11</f>
        <v>N2O</v>
      </c>
      <c r="G8" t="str">
        <f>GLIN_NAME</f>
        <v>Lin</v>
      </c>
    </row>
    <row r="9" spans="1:14" x14ac:dyDescent="0.25">
      <c r="A9" t="s">
        <v>74</v>
      </c>
      <c r="B9" s="3">
        <f>Y_0</f>
        <v>2000</v>
      </c>
      <c r="C9" t="s">
        <v>66</v>
      </c>
      <c r="D9" s="19">
        <f t="array" ref="D9:G9">C_0-PIC</f>
        <v>91400</v>
      </c>
      <c r="E9" s="19">
        <v>9.9999999997635314E-4</v>
      </c>
      <c r="F9" s="19">
        <v>9.9999999997635314E-4</v>
      </c>
      <c r="G9" s="19">
        <v>1E-10</v>
      </c>
      <c r="H9" t="str">
        <f>'Base data'!$F$12</f>
        <v>ppb</v>
      </c>
    </row>
    <row r="10" spans="1:14" ht="13" thickBot="1" x14ac:dyDescent="0.3">
      <c r="A10" t="s">
        <v>75</v>
      </c>
      <c r="B10" s="3">
        <f>Y_0</f>
        <v>2000</v>
      </c>
      <c r="C10" t="s">
        <v>67</v>
      </c>
      <c r="D10" s="23">
        <f t="array" ref="D10:G10">EXC*DEN</f>
        <v>712920</v>
      </c>
      <c r="E10" s="23">
        <v>2.7799999999342617E-3</v>
      </c>
      <c r="F10" s="23">
        <v>7.7999999998155543E-3</v>
      </c>
      <c r="G10" s="23">
        <v>1.0000000000000001E-5</v>
      </c>
      <c r="H10" t="str">
        <f>'Base data'!$F$20</f>
        <v>Mtonnes</v>
      </c>
    </row>
    <row r="11" spans="1:14" ht="13" thickTop="1" x14ac:dyDescent="0.25"/>
    <row r="12" spans="1:14" x14ac:dyDescent="0.25">
      <c r="C12">
        <f>Y_0</f>
        <v>2000</v>
      </c>
      <c r="D12">
        <f t="array" ref="D12:M12">Y</f>
        <v>2010</v>
      </c>
      <c r="E12">
        <v>2020</v>
      </c>
      <c r="F12">
        <v>2030</v>
      </c>
      <c r="G12">
        <v>2040</v>
      </c>
      <c r="H12">
        <v>2050</v>
      </c>
      <c r="I12">
        <v>2060</v>
      </c>
      <c r="J12">
        <v>2080</v>
      </c>
      <c r="K12">
        <v>2100</v>
      </c>
      <c r="L12">
        <v>2200</v>
      </c>
      <c r="M12">
        <v>2300</v>
      </c>
    </row>
    <row r="13" spans="1:14" s="4" customFormat="1" x14ac:dyDescent="0.25">
      <c r="A13" s="4" t="s">
        <v>71</v>
      </c>
      <c r="D13" s="48">
        <f>Y_1-Y_0</f>
        <v>10</v>
      </c>
      <c r="E13" s="48">
        <f t="array" ref="E13:M13">Y_NOT_1-Y</f>
        <v>10</v>
      </c>
      <c r="F13" s="48">
        <v>10</v>
      </c>
      <c r="G13" s="48">
        <v>10</v>
      </c>
      <c r="H13" s="48">
        <v>10</v>
      </c>
      <c r="I13" s="48">
        <v>10</v>
      </c>
      <c r="J13" s="48">
        <v>20</v>
      </c>
      <c r="K13" s="48">
        <v>20</v>
      </c>
      <c r="L13" s="48">
        <v>100</v>
      </c>
      <c r="M13" s="48">
        <v>100</v>
      </c>
      <c r="N13" s="4" t="s">
        <v>47</v>
      </c>
    </row>
    <row r="14" spans="1:14" s="4" customFormat="1" ht="15.5" x14ac:dyDescent="0.4">
      <c r="A14" s="4" t="s">
        <v>77</v>
      </c>
      <c r="B14" s="4" t="s">
        <v>68</v>
      </c>
      <c r="C14" s="38">
        <f>(E_CO2_G_0)*AIR_CO2/100</f>
        <v>18068.320590407249</v>
      </c>
      <c r="D14" s="38">
        <f t="array" ref="D14:M14">(e_co2_g_b)*AIR_CO2/100</f>
        <v>20679.176471823132</v>
      </c>
      <c r="E14" s="38">
        <v>21706.78870546196</v>
      </c>
      <c r="F14" s="38">
        <v>20660.19251682812</v>
      </c>
      <c r="G14" s="38">
        <v>17762.067706042872</v>
      </c>
      <c r="H14" s="38">
        <v>12703.128856931911</v>
      </c>
      <c r="I14" s="38">
        <v>10237.056803053038</v>
      </c>
      <c r="J14" s="38">
        <v>6733.7162259771767</v>
      </c>
      <c r="K14" s="38">
        <v>6674.0615310844896</v>
      </c>
      <c r="L14" s="38">
        <v>8834.4938321730897</v>
      </c>
      <c r="M14" s="38">
        <v>4617.8667532885356</v>
      </c>
      <c r="N14" s="4" t="str">
        <f>'Base data'!$F$32</f>
        <v>Mtonne</v>
      </c>
    </row>
    <row r="15" spans="1:14" s="4" customFormat="1" ht="15.5" x14ac:dyDescent="0.4">
      <c r="A15" s="4" t="s">
        <v>79</v>
      </c>
      <c r="B15" s="4" t="s">
        <v>70</v>
      </c>
      <c r="C15" s="43"/>
      <c r="D15" s="38">
        <f>(TEA_CO2_0+tea_co2_b)*YP_1/2</f>
        <v>193737.48531115189</v>
      </c>
      <c r="E15" s="38">
        <f t="array" ref="E15:M15">(tea_co2_b+tea_co2_not_1_b)*YP_NOT_1/2</f>
        <v>211929.82588642545</v>
      </c>
      <c r="F15" s="38">
        <v>211834.9061114504</v>
      </c>
      <c r="G15" s="38">
        <v>192111.30111435492</v>
      </c>
      <c r="H15" s="38">
        <v>152325.98281487392</v>
      </c>
      <c r="I15" s="38">
        <v>114700.92829992474</v>
      </c>
      <c r="J15" s="38">
        <v>169707.73029030213</v>
      </c>
      <c r="K15" s="38">
        <v>134077.77757061669</v>
      </c>
      <c r="L15" s="38">
        <v>775427.76816287893</v>
      </c>
      <c r="M15" s="38">
        <v>672618.02927308122</v>
      </c>
      <c r="N15" s="4" t="str">
        <f>'Base data'!$F$32</f>
        <v>Mtonne</v>
      </c>
    </row>
    <row r="16" spans="1:14" s="4" customFormat="1" ht="15.5" x14ac:dyDescent="0.4">
      <c r="A16" s="4" t="s">
        <v>81</v>
      </c>
      <c r="B16" s="4" t="s">
        <v>73</v>
      </c>
      <c r="C16" s="38">
        <f>CE_CO2_0*AIR_CO2/100</f>
        <v>1116000</v>
      </c>
      <c r="D16" s="38">
        <f>CEA_CO2_0+teay_co2_b</f>
        <v>1309737.4853111519</v>
      </c>
      <c r="E16" s="38">
        <f t="array" ref="E16:M16">cea_co2_b+teay_co2_not_1_b</f>
        <v>1521667.3111975775</v>
      </c>
      <c r="F16" s="38">
        <v>1733502.2173090279</v>
      </c>
      <c r="G16" s="38">
        <v>1925613.5184233829</v>
      </c>
      <c r="H16" s="38">
        <v>2077939.5012382567</v>
      </c>
      <c r="I16" s="38">
        <v>2192640.4295381815</v>
      </c>
      <c r="J16" s="38">
        <v>2362348.1598284836</v>
      </c>
      <c r="K16" s="38">
        <v>2496425.9373991005</v>
      </c>
      <c r="L16" s="38">
        <v>3271853.7055619797</v>
      </c>
      <c r="M16" s="38">
        <v>3944471.7348350608</v>
      </c>
      <c r="N16" s="4" t="str">
        <f>'Base data'!$F$32</f>
        <v>Mtonne</v>
      </c>
    </row>
    <row r="17" spans="1:25" s="6" customFormat="1" x14ac:dyDescent="0.25">
      <c r="A17" s="6" t="s">
        <v>82</v>
      </c>
      <c r="C17" s="44"/>
      <c r="D17" s="35">
        <f t="array" ref="D17:M17">EXP(-(YP/RES_CO2))</f>
        <v>0.87252529286401559</v>
      </c>
      <c r="E17" s="35">
        <v>0.87252529286401559</v>
      </c>
      <c r="F17" s="35">
        <v>0.87252529286401559</v>
      </c>
      <c r="G17" s="35">
        <v>0.87252529286401559</v>
      </c>
      <c r="H17" s="35">
        <v>0.87252529286401559</v>
      </c>
      <c r="I17" s="35">
        <v>0.87252529286401559</v>
      </c>
      <c r="J17" s="35">
        <v>0.76130038668743616</v>
      </c>
      <c r="K17" s="35">
        <v>0.76130038668743616</v>
      </c>
      <c r="L17" s="35">
        <v>0.25572915989724965</v>
      </c>
      <c r="M17" s="35">
        <v>0.25572915989724965</v>
      </c>
    </row>
    <row r="18" spans="1:25" s="6" customFormat="1" x14ac:dyDescent="0.25">
      <c r="A18" s="6" t="s">
        <v>83</v>
      </c>
      <c r="C18" s="44"/>
      <c r="D18" s="35">
        <f t="array" ref="D18:M18">EXP(-(YP/(2*RES_CO2)))</f>
        <v>0.93409062347505423</v>
      </c>
      <c r="E18" s="35">
        <v>0.93409062347505423</v>
      </c>
      <c r="F18" s="35">
        <v>0.93409062347505423</v>
      </c>
      <c r="G18" s="35">
        <v>0.93409062347505423</v>
      </c>
      <c r="H18" s="35">
        <v>0.93409062347505423</v>
      </c>
      <c r="I18" s="35">
        <v>0.93409062347505423</v>
      </c>
      <c r="J18" s="35">
        <v>0.87252529286401559</v>
      </c>
      <c r="K18" s="35">
        <v>0.87252529286401559</v>
      </c>
      <c r="L18" s="35">
        <v>0.50569670742180006</v>
      </c>
      <c r="M18" s="35">
        <v>0.50569670742180006</v>
      </c>
    </row>
    <row r="19" spans="1:25" s="4" customFormat="1" x14ac:dyDescent="0.25">
      <c r="A19" s="4" t="s">
        <v>84</v>
      </c>
      <c r="C19" s="43"/>
      <c r="D19" s="38">
        <f>(STAY_CO2/100)*CEA_CO2_0*(1-EXPF1_CO2)</f>
        <v>42678.53194912758</v>
      </c>
      <c r="E19" s="38">
        <f t="array" ref="E19:M19">(STAY_CO2/100)*cea_co2_b*(1-EXPF1_CO2_NOT_1)</f>
        <v>50087.520709517928</v>
      </c>
      <c r="F19" s="38">
        <v>58192.228455993616</v>
      </c>
      <c r="G19" s="38">
        <v>66293.306241314378</v>
      </c>
      <c r="H19" s="38">
        <v>73640.105795433978</v>
      </c>
      <c r="I19" s="38">
        <v>79465.418809992087</v>
      </c>
      <c r="J19" s="38">
        <v>157014.72679927733</v>
      </c>
      <c r="K19" s="38">
        <v>169167.47767821176</v>
      </c>
      <c r="L19" s="38">
        <v>557405.10890469735</v>
      </c>
      <c r="M19" s="38">
        <v>730543.59183957335</v>
      </c>
      <c r="N19" s="4" t="str">
        <f>'Base data'!$F$32</f>
        <v>Mtonne</v>
      </c>
    </row>
    <row r="20" spans="1:25" s="4" customFormat="1" x14ac:dyDescent="0.25">
      <c r="A20" s="4" t="s">
        <v>85</v>
      </c>
      <c r="C20" s="43"/>
      <c r="D20" s="38">
        <f>RE_CO2_NO_CCF_0*EXPF1_CO2</f>
        <v>580760.31010432635</v>
      </c>
      <c r="E20" s="38">
        <f t="array" ref="E20:M20">re_co2_no_ccff_b*EXPF1_CO2_NOT_1</f>
        <v>701865.63692189998</v>
      </c>
      <c r="F20" s="38">
        <v>828824.70723762317</v>
      </c>
      <c r="G20" s="38">
        <v>946593.9084504717</v>
      </c>
      <c r="H20" s="38">
        <v>1040343.8234181667</v>
      </c>
      <c r="I20" s="38">
        <v>1096127.5254562134</v>
      </c>
      <c r="J20" s="38">
        <v>976545.89470502525</v>
      </c>
      <c r="K20" s="38">
        <v>975709.15149189031</v>
      </c>
      <c r="L20" s="38">
        <v>322695.13454330264</v>
      </c>
      <c r="M20" s="38">
        <v>325346.69592515036</v>
      </c>
      <c r="N20" s="4" t="str">
        <f>'Base data'!$F$32</f>
        <v>Mtonne</v>
      </c>
    </row>
    <row r="21" spans="1:25" s="4" customFormat="1" x14ac:dyDescent="0.25">
      <c r="A21" s="4" t="s">
        <v>86</v>
      </c>
      <c r="C21" s="43"/>
      <c r="D21" s="38">
        <f t="array" ref="D21:M21">teay_co2_b*EXPF2_CO2</f>
        <v>180968.36844478303</v>
      </c>
      <c r="E21" s="38">
        <v>197961.66319521083</v>
      </c>
      <c r="F21" s="38">
        <v>197872.99952342428</v>
      </c>
      <c r="G21" s="38">
        <v>179449.36503451166</v>
      </c>
      <c r="H21" s="38">
        <v>142286.27225899597</v>
      </c>
      <c r="I21" s="38">
        <v>107141.0616288442</v>
      </c>
      <c r="J21" s="38">
        <v>148074.28707283325</v>
      </c>
      <c r="K21" s="38">
        <v>116986.25214135867</v>
      </c>
      <c r="L21" s="38">
        <v>392131.2692034028</v>
      </c>
      <c r="M21" s="38">
        <v>340140.72275593708</v>
      </c>
      <c r="N21" s="4" t="str">
        <f>'Base data'!$F$32</f>
        <v>Mtonne</v>
      </c>
    </row>
    <row r="22" spans="1:25" s="4" customFormat="1" x14ac:dyDescent="0.25">
      <c r="A22" s="80" t="s">
        <v>203</v>
      </c>
      <c r="C22" s="38">
        <f>RE_CO2_NO_CCF_0</f>
        <v>665608.56728635682</v>
      </c>
      <c r="D22" s="38">
        <f t="shared" ref="D22:M22" si="0">SUM(D19:D21)</f>
        <v>804407.21049823693</v>
      </c>
      <c r="E22" s="38">
        <f t="shared" si="0"/>
        <v>949914.82082662871</v>
      </c>
      <c r="F22" s="38">
        <f t="shared" si="0"/>
        <v>1084889.9352170411</v>
      </c>
      <c r="G22" s="38">
        <f t="shared" si="0"/>
        <v>1192336.5797262979</v>
      </c>
      <c r="H22" s="38">
        <f t="shared" si="0"/>
        <v>1256270.2014725967</v>
      </c>
      <c r="I22" s="38">
        <f t="shared" si="0"/>
        <v>1282734.0058950495</v>
      </c>
      <c r="J22" s="38">
        <f t="shared" si="0"/>
        <v>1281634.9085771358</v>
      </c>
      <c r="K22" s="38">
        <f t="shared" si="0"/>
        <v>1261862.8813114606</v>
      </c>
      <c r="L22" s="38">
        <f t="shared" si="0"/>
        <v>1272231.5126514027</v>
      </c>
      <c r="M22" s="38">
        <f t="shared" si="0"/>
        <v>1396031.0105206608</v>
      </c>
      <c r="N22" s="4" t="str">
        <f>'Base data'!$F$32</f>
        <v>Mtonne</v>
      </c>
    </row>
    <row r="23" spans="1:25" s="4" customFormat="1" x14ac:dyDescent="0.25">
      <c r="A23" s="80" t="s">
        <v>202</v>
      </c>
      <c r="C23" s="58"/>
      <c r="D23" s="38">
        <f t="array" ref="D23:M23">PIC_CO2+EXC_CO2*(re_co2_no_ccff_b/RE_CO2_0)</f>
        <v>381129.12955105602</v>
      </c>
      <c r="E23" s="38">
        <v>399783.95138802932</v>
      </c>
      <c r="F23" s="38">
        <v>417088.45323295402</v>
      </c>
      <c r="G23" s="38">
        <v>430863.66406747408</v>
      </c>
      <c r="H23" s="38">
        <v>439060.28224007651</v>
      </c>
      <c r="I23" s="38">
        <v>442453.07767885248</v>
      </c>
      <c r="J23" s="38">
        <v>442312.16776629945</v>
      </c>
      <c r="K23" s="38">
        <v>439777.29247582832</v>
      </c>
      <c r="L23" s="38">
        <v>441106.60418607725</v>
      </c>
      <c r="M23" s="38">
        <v>456978.33468213596</v>
      </c>
      <c r="N23" s="4" t="str">
        <f>'Base data'!$F$12</f>
        <v>ppb</v>
      </c>
    </row>
    <row r="24" spans="1:25" s="4" customFormat="1" x14ac:dyDescent="0.25">
      <c r="A24" s="80" t="s">
        <v>490</v>
      </c>
      <c r="B24" s="80" t="s">
        <v>491</v>
      </c>
      <c r="C24" s="81"/>
      <c r="D24" s="35">
        <f>MIN(CCF*RT_G_0,CCFFMAX)</f>
        <v>7.1079963568571323</v>
      </c>
      <c r="E24" s="35">
        <f t="array" ref="E24:M24">IF(CCF*(rt_g_b)&lt;CCFFMAX,CCF*(rt_g_b),CCFFMAX)</f>
        <v>8.9730212567227383</v>
      </c>
      <c r="F24" s="35">
        <v>10.847857162885605</v>
      </c>
      <c r="G24" s="35">
        <v>13.064264336280358</v>
      </c>
      <c r="H24" s="35">
        <v>15.854796129557593</v>
      </c>
      <c r="I24" s="35">
        <v>18.385790410313142</v>
      </c>
      <c r="J24" s="35">
        <v>20.664874001486012</v>
      </c>
      <c r="K24" s="35">
        <v>24.490147399119653</v>
      </c>
      <c r="L24" s="35">
        <v>27.590757824054556</v>
      </c>
      <c r="M24" s="35">
        <v>32.021418206682831</v>
      </c>
      <c r="N24" s="80" t="s">
        <v>46</v>
      </c>
    </row>
    <row r="25" spans="1:25" s="4" customFormat="1" x14ac:dyDescent="0.25">
      <c r="A25" s="80" t="s">
        <v>200</v>
      </c>
      <c r="B25" s="80" t="s">
        <v>201</v>
      </c>
      <c r="C25" s="81"/>
      <c r="D25" s="38">
        <f t="array" ref="D25:M25">(c_co2_no_ccf_b-PIC_CO2)*gain_b/100</f>
        <v>7330.414771347534</v>
      </c>
      <c r="E25" s="38">
        <v>10927.699845324758</v>
      </c>
      <c r="F25" s="38">
        <v>15088.116736777798</v>
      </c>
      <c r="G25" s="38">
        <v>19970.513147898429</v>
      </c>
      <c r="H25" s="38">
        <v>25535.779394854188</v>
      </c>
      <c r="I25" s="38">
        <v>30235.99818534328</v>
      </c>
      <c r="J25" s="38">
        <v>33954.902438016099</v>
      </c>
      <c r="K25" s="38">
        <v>39619.497385635266</v>
      </c>
      <c r="L25" s="38">
        <v>45002.348156019805</v>
      </c>
      <c r="M25" s="38">
        <v>57311.401047923224</v>
      </c>
      <c r="N25" s="4" t="s">
        <v>59</v>
      </c>
    </row>
    <row r="26" spans="1:25" s="4" customFormat="1" ht="15.5" x14ac:dyDescent="0.4">
      <c r="A26" s="80" t="s">
        <v>87</v>
      </c>
      <c r="B26" s="4" t="s">
        <v>88</v>
      </c>
      <c r="C26" s="38">
        <f>C_CO2_0</f>
        <v>369400</v>
      </c>
      <c r="D26" s="38">
        <f t="array" ref="D26:M26">c_co2_no_ccf_b+ccff_b</f>
        <v>388459.54432240356</v>
      </c>
      <c r="E26" s="38">
        <v>410711.65123335406</v>
      </c>
      <c r="F26" s="38">
        <v>432176.56996973185</v>
      </c>
      <c r="G26" s="38">
        <v>450834.1772153725</v>
      </c>
      <c r="H26" s="38">
        <v>464596.06163493072</v>
      </c>
      <c r="I26" s="38">
        <v>472689.07586419577</v>
      </c>
      <c r="J26" s="38">
        <v>476267.07020431553</v>
      </c>
      <c r="K26" s="38">
        <v>479396.78986146359</v>
      </c>
      <c r="L26" s="38">
        <v>486108.95234209707</v>
      </c>
      <c r="M26" s="38">
        <v>514289.73573005921</v>
      </c>
      <c r="N26" s="4" t="str">
        <f>'Base data'!$F$12</f>
        <v>ppb</v>
      </c>
      <c r="O26" s="4">
        <f t="shared" ref="O26:X26" si="1">D26/1000</f>
        <v>388.45954432240353</v>
      </c>
      <c r="P26" s="4">
        <f t="shared" si="1"/>
        <v>410.71165123335408</v>
      </c>
      <c r="Q26" s="4">
        <f t="shared" si="1"/>
        <v>432.17656996973187</v>
      </c>
      <c r="R26" s="4">
        <f t="shared" si="1"/>
        <v>450.83417721537251</v>
      </c>
      <c r="S26" s="4">
        <f t="shared" si="1"/>
        <v>464.59606163493072</v>
      </c>
      <c r="T26" s="4">
        <f t="shared" si="1"/>
        <v>472.68907586419579</v>
      </c>
      <c r="U26" s="4">
        <f t="shared" si="1"/>
        <v>476.26707020431553</v>
      </c>
      <c r="V26" s="4">
        <f t="shared" si="1"/>
        <v>479.39678986146362</v>
      </c>
      <c r="W26" s="4">
        <f t="shared" si="1"/>
        <v>486.10895234209704</v>
      </c>
      <c r="X26" s="4">
        <f t="shared" si="1"/>
        <v>514.28973573005919</v>
      </c>
      <c r="Y26" s="97"/>
    </row>
    <row r="27" spans="1:25" s="6" customFormat="1" ht="16" thickBot="1" x14ac:dyDescent="0.45">
      <c r="A27" s="6" t="s">
        <v>89</v>
      </c>
      <c r="B27" s="6" t="s">
        <v>90</v>
      </c>
      <c r="C27" s="49">
        <f>F_CO2_0</f>
        <v>1.529668356278562</v>
      </c>
      <c r="D27" s="49">
        <f t="array" ref="D27:M27">F_CO2_0+FSLOPE_CO2*LN(c_co2_b/C_CO2_0)</f>
        <v>1.8063676560899862</v>
      </c>
      <c r="E27" s="49">
        <v>2.1127306272899489</v>
      </c>
      <c r="F27" s="49">
        <v>2.3929162569295199</v>
      </c>
      <c r="G27" s="49">
        <v>2.6253757498984642</v>
      </c>
      <c r="H27" s="49">
        <v>2.7907538723039993</v>
      </c>
      <c r="I27" s="49">
        <v>2.8857360345456131</v>
      </c>
      <c r="J27" s="49">
        <v>2.9272112116802331</v>
      </c>
      <c r="K27" s="49">
        <v>2.9632354255750615</v>
      </c>
      <c r="L27" s="49">
        <v>3.039708276591869</v>
      </c>
      <c r="M27" s="49">
        <v>3.3496553551541659</v>
      </c>
      <c r="N27" s="6" t="str">
        <f>'Base data'!$F$21</f>
        <v>W/m2</v>
      </c>
      <c r="O27" s="6">
        <f t="shared" ref="O27:X27" si="2">D27</f>
        <v>1.8063676560899862</v>
      </c>
      <c r="P27" s="6">
        <f t="shared" si="2"/>
        <v>2.1127306272899489</v>
      </c>
      <c r="Q27" s="6">
        <f t="shared" si="2"/>
        <v>2.3929162569295199</v>
      </c>
      <c r="R27" s="6">
        <f t="shared" si="2"/>
        <v>2.6253757498984642</v>
      </c>
      <c r="S27" s="6">
        <f t="shared" si="2"/>
        <v>2.7907538723039993</v>
      </c>
      <c r="T27" s="6">
        <f t="shared" si="2"/>
        <v>2.8857360345456131</v>
      </c>
      <c r="U27" s="6">
        <f t="shared" si="2"/>
        <v>2.9272112116802331</v>
      </c>
      <c r="V27" s="6">
        <f t="shared" si="2"/>
        <v>2.9632354255750615</v>
      </c>
      <c r="W27" s="6">
        <f t="shared" si="2"/>
        <v>3.039708276591869</v>
      </c>
      <c r="X27" s="6">
        <f t="shared" si="2"/>
        <v>3.3496553551541659</v>
      </c>
    </row>
    <row r="28" spans="1:25" s="6" customFormat="1" ht="13" thickTop="1" x14ac:dyDescent="0.25">
      <c r="C28" s="17"/>
      <c r="D28" s="17"/>
      <c r="E28" s="17"/>
      <c r="F28" s="17"/>
      <c r="G28" s="17"/>
      <c r="H28" s="17"/>
      <c r="I28" s="17"/>
      <c r="J28" s="17"/>
      <c r="K28" s="17"/>
      <c r="L28" s="17"/>
      <c r="M28" s="17"/>
    </row>
    <row r="29" spans="1:25" s="4" customFormat="1" ht="15.5" x14ac:dyDescent="0.4">
      <c r="A29" s="4" t="s">
        <v>76</v>
      </c>
      <c r="B29" s="80" t="s">
        <v>216</v>
      </c>
      <c r="C29" s="20">
        <f>STIM_CH4*RTL_G_0</f>
        <v>0</v>
      </c>
      <c r="D29" s="20">
        <f>STIM_CH4*RTL_G_0</f>
        <v>0</v>
      </c>
      <c r="E29" s="37">
        <f t="array" ref="E29:M29">STIM_CH4*rt_g_b</f>
        <v>0</v>
      </c>
      <c r="F29" s="37">
        <v>0</v>
      </c>
      <c r="G29" s="37">
        <v>0</v>
      </c>
      <c r="H29" s="37">
        <v>0</v>
      </c>
      <c r="I29" s="37">
        <v>0</v>
      </c>
      <c r="J29" s="37">
        <v>0</v>
      </c>
      <c r="K29" s="37">
        <v>0</v>
      </c>
      <c r="L29" s="37">
        <v>0</v>
      </c>
      <c r="M29" s="37">
        <v>0</v>
      </c>
      <c r="N29" s="4" t="str">
        <f>'Base data'!$G$32</f>
        <v>Mtonne</v>
      </c>
    </row>
    <row r="30" spans="1:25" s="4" customFormat="1" ht="15.5" x14ac:dyDescent="0.4">
      <c r="A30" s="4" t="s">
        <v>78</v>
      </c>
      <c r="B30" s="4" t="s">
        <v>69</v>
      </c>
      <c r="C30" s="38">
        <f>(E_CH4_G_0+NTE_CH4_0)*AIR_CH4/100</f>
        <v>8.0000000000000002E-3</v>
      </c>
      <c r="D30" s="38">
        <f t="array" ref="D30:M30">(e_ch4_g_b+nte_ch4_b)*AIR_CH4/100</f>
        <v>0</v>
      </c>
      <c r="E30" s="38">
        <v>0</v>
      </c>
      <c r="F30" s="38">
        <v>0</v>
      </c>
      <c r="G30" s="38">
        <v>0</v>
      </c>
      <c r="H30" s="38">
        <v>0</v>
      </c>
      <c r="I30" s="38">
        <v>0</v>
      </c>
      <c r="J30" s="38">
        <v>0</v>
      </c>
      <c r="K30" s="38">
        <v>0</v>
      </c>
      <c r="L30" s="38">
        <v>0</v>
      </c>
      <c r="M30" s="38">
        <v>0</v>
      </c>
      <c r="N30" s="4" t="str">
        <f>'Base data'!$G$32</f>
        <v>Mtonne</v>
      </c>
    </row>
    <row r="31" spans="1:25" s="4" customFormat="1" ht="15.5" x14ac:dyDescent="0.4">
      <c r="A31" s="4" t="s">
        <v>80</v>
      </c>
      <c r="B31" s="4" t="s">
        <v>72</v>
      </c>
      <c r="C31" s="43"/>
      <c r="D31" s="38">
        <f>(TEA_CH4_0+tea_ch4_b)*YP_1/2</f>
        <v>0.04</v>
      </c>
      <c r="E31" s="38">
        <f t="array" ref="E31:M31">(tea_ch4_b+tea_ch4_not_1_b)*YP_NOT_1/2</f>
        <v>0</v>
      </c>
      <c r="F31" s="38">
        <v>0</v>
      </c>
      <c r="G31" s="38">
        <v>0</v>
      </c>
      <c r="H31" s="38">
        <v>0</v>
      </c>
      <c r="I31" s="38">
        <v>0</v>
      </c>
      <c r="J31" s="38">
        <v>0</v>
      </c>
      <c r="K31" s="38">
        <v>0</v>
      </c>
      <c r="L31" s="38">
        <v>0</v>
      </c>
      <c r="M31" s="38">
        <v>0</v>
      </c>
      <c r="N31" s="4" t="str">
        <f>'Base data'!$G$32</f>
        <v>Mtonne</v>
      </c>
    </row>
    <row r="32" spans="1:25" s="6" customFormat="1" x14ac:dyDescent="0.25">
      <c r="A32" s="6" t="s">
        <v>91</v>
      </c>
      <c r="C32" s="44"/>
      <c r="D32" s="35">
        <f t="array" ref="D32:M32">EXP(-(YP/RES_CH4))</f>
        <v>0</v>
      </c>
      <c r="E32" s="35">
        <v>0</v>
      </c>
      <c r="F32" s="35">
        <v>0</v>
      </c>
      <c r="G32" s="35">
        <v>0</v>
      </c>
      <c r="H32" s="35">
        <v>0</v>
      </c>
      <c r="I32" s="35">
        <v>0</v>
      </c>
      <c r="J32" s="35">
        <v>0</v>
      </c>
      <c r="K32" s="35">
        <v>0</v>
      </c>
      <c r="L32" s="35">
        <v>0</v>
      </c>
      <c r="M32" s="35">
        <v>0</v>
      </c>
    </row>
    <row r="33" spans="1:14" s="4" customFormat="1" x14ac:dyDescent="0.25">
      <c r="A33" s="4" t="s">
        <v>92</v>
      </c>
      <c r="C33" s="43"/>
      <c r="D33" s="38">
        <f>RE_CH4_0*EXPF_CH4</f>
        <v>0</v>
      </c>
      <c r="E33" s="38">
        <f t="array" ref="E33:M33">re_ch4_b*EXPF_CH4_NOT_1</f>
        <v>0</v>
      </c>
      <c r="F33" s="38">
        <v>0</v>
      </c>
      <c r="G33" s="38">
        <v>0</v>
      </c>
      <c r="H33" s="38">
        <v>0</v>
      </c>
      <c r="I33" s="38">
        <v>0</v>
      </c>
      <c r="J33" s="38">
        <v>0</v>
      </c>
      <c r="K33" s="38">
        <v>0</v>
      </c>
      <c r="L33" s="38">
        <v>0</v>
      </c>
      <c r="M33" s="38">
        <v>0</v>
      </c>
      <c r="N33" s="4" t="str">
        <f>'Base data'!$G$32</f>
        <v>Mtonne</v>
      </c>
    </row>
    <row r="34" spans="1:14" s="4" customFormat="1" x14ac:dyDescent="0.25">
      <c r="A34" s="4" t="s">
        <v>93</v>
      </c>
      <c r="C34" s="43"/>
      <c r="D34" s="22">
        <f t="array" ref="D34:M34">teay_ch4_b*RES_CH4*(1-EXPF_CH4)/YP</f>
        <v>4.0000000000000009E-7</v>
      </c>
      <c r="E34" s="22">
        <v>0</v>
      </c>
      <c r="F34" s="22">
        <v>0</v>
      </c>
      <c r="G34" s="22">
        <v>0</v>
      </c>
      <c r="H34" s="22">
        <v>0</v>
      </c>
      <c r="I34" s="22">
        <v>0</v>
      </c>
      <c r="J34" s="22">
        <v>0</v>
      </c>
      <c r="K34" s="22">
        <v>0</v>
      </c>
      <c r="L34" s="22">
        <v>0</v>
      </c>
      <c r="M34" s="22">
        <v>0</v>
      </c>
      <c r="N34" s="4" t="str">
        <f>'Base data'!$G$32</f>
        <v>Mtonne</v>
      </c>
    </row>
    <row r="35" spans="1:14" s="4" customFormat="1" ht="15.5" x14ac:dyDescent="0.4">
      <c r="A35" s="4" t="s">
        <v>64</v>
      </c>
      <c r="B35" s="4" t="s">
        <v>65</v>
      </c>
      <c r="C35" s="22">
        <f>RE_CH4_0</f>
        <v>2.7799999999342617E-3</v>
      </c>
      <c r="D35" s="22">
        <f t="shared" ref="D35:M35" si="3">SUM(D33:D34)</f>
        <v>4.0000000000000009E-7</v>
      </c>
      <c r="E35" s="22">
        <f t="shared" si="3"/>
        <v>0</v>
      </c>
      <c r="F35" s="22">
        <f t="shared" si="3"/>
        <v>0</v>
      </c>
      <c r="G35" s="22">
        <f t="shared" si="3"/>
        <v>0</v>
      </c>
      <c r="H35" s="22">
        <f t="shared" si="3"/>
        <v>0</v>
      </c>
      <c r="I35" s="22">
        <f t="shared" si="3"/>
        <v>0</v>
      </c>
      <c r="J35" s="22">
        <f t="shared" si="3"/>
        <v>0</v>
      </c>
      <c r="K35" s="22">
        <f t="shared" si="3"/>
        <v>0</v>
      </c>
      <c r="L35" s="22">
        <f t="shared" si="3"/>
        <v>0</v>
      </c>
      <c r="M35" s="22">
        <f t="shared" si="3"/>
        <v>0</v>
      </c>
      <c r="N35" s="4" t="str">
        <f>'Base data'!$G$32</f>
        <v>Mtonne</v>
      </c>
    </row>
    <row r="36" spans="1:14" s="4" customFormat="1" ht="15.5" x14ac:dyDescent="0.4">
      <c r="A36" s="4" t="s">
        <v>94</v>
      </c>
      <c r="B36" s="4" t="s">
        <v>95</v>
      </c>
      <c r="C36" s="22">
        <f>C_CH4_0</f>
        <v>700.00099999999998</v>
      </c>
      <c r="D36" s="22">
        <f t="array" ref="D36:M36">PIC_CH4+EXC_CH4*(re_ch4_b/RE_CH4_0)</f>
        <v>700.0000001438849</v>
      </c>
      <c r="E36" s="22">
        <v>700</v>
      </c>
      <c r="F36" s="22">
        <v>700</v>
      </c>
      <c r="G36" s="22">
        <v>700</v>
      </c>
      <c r="H36" s="22">
        <v>700</v>
      </c>
      <c r="I36" s="22">
        <v>700</v>
      </c>
      <c r="J36" s="22">
        <v>700</v>
      </c>
      <c r="K36" s="22">
        <v>700</v>
      </c>
      <c r="L36" s="22">
        <v>700</v>
      </c>
      <c r="M36" s="22">
        <v>700</v>
      </c>
      <c r="N36" s="4" t="str">
        <f>'Base data'!$F$19</f>
        <v>ppb</v>
      </c>
    </row>
    <row r="37" spans="1:14" s="6" customFormat="1" ht="13" thickBot="1" x14ac:dyDescent="0.3">
      <c r="A37" s="6" t="s">
        <v>195</v>
      </c>
      <c r="C37" s="49">
        <f>F_CH4_0</f>
        <v>0</v>
      </c>
      <c r="D37" s="49">
        <f t="array" ref="D37:M37">F_CH4_0+FSLOPE_CH4*(SQRT(c_ch4_b)-SQRT(C_CH4_0))</f>
        <v>0</v>
      </c>
      <c r="E37" s="49">
        <v>0</v>
      </c>
      <c r="F37" s="49">
        <v>0</v>
      </c>
      <c r="G37" s="49">
        <v>0</v>
      </c>
      <c r="H37" s="49">
        <v>0</v>
      </c>
      <c r="I37" s="49">
        <v>0</v>
      </c>
      <c r="J37" s="49">
        <v>0</v>
      </c>
      <c r="K37" s="49">
        <v>0</v>
      </c>
      <c r="L37" s="49">
        <v>0</v>
      </c>
      <c r="M37" s="49">
        <v>0</v>
      </c>
      <c r="N37" s="6" t="str">
        <f>'Base data'!$F$21</f>
        <v>W/m2</v>
      </c>
    </row>
    <row r="38" spans="1:14" s="6" customFormat="1" ht="13" thickTop="1" x14ac:dyDescent="0.25">
      <c r="C38" s="17"/>
      <c r="D38" s="17"/>
      <c r="E38" s="17"/>
      <c r="F38" s="17"/>
      <c r="G38" s="17"/>
      <c r="H38" s="17"/>
      <c r="I38" s="17"/>
      <c r="J38" s="17"/>
      <c r="K38" s="17"/>
      <c r="L38" s="17"/>
      <c r="M38" s="17"/>
    </row>
    <row r="39" spans="1:14" s="4" customFormat="1" ht="15.5" x14ac:dyDescent="0.4">
      <c r="A39" s="4" t="s">
        <v>184</v>
      </c>
      <c r="B39" s="80" t="s">
        <v>217</v>
      </c>
      <c r="C39" s="20">
        <f>STIM_N2O*RTL_G_0</f>
        <v>0</v>
      </c>
      <c r="D39" s="20">
        <f>STIM_N2O*RTL_G_0</f>
        <v>0</v>
      </c>
      <c r="E39" s="37">
        <f t="array" ref="E39:M39">STIM_N2O*rt_g_b</f>
        <v>0</v>
      </c>
      <c r="F39" s="37">
        <v>0</v>
      </c>
      <c r="G39" s="37">
        <v>0</v>
      </c>
      <c r="H39" s="37">
        <v>0</v>
      </c>
      <c r="I39" s="37">
        <v>0</v>
      </c>
      <c r="J39" s="37">
        <v>0</v>
      </c>
      <c r="K39" s="37">
        <v>0</v>
      </c>
      <c r="L39" s="37">
        <v>0</v>
      </c>
      <c r="M39" s="37">
        <v>0</v>
      </c>
      <c r="N39" s="4" t="str">
        <f>'Base data'!$G$32</f>
        <v>Mtonne</v>
      </c>
    </row>
    <row r="40" spans="1:14" s="4" customFormat="1" ht="15.5" x14ac:dyDescent="0.4">
      <c r="A40" s="4" t="s">
        <v>185</v>
      </c>
      <c r="B40" s="80" t="s">
        <v>154</v>
      </c>
      <c r="C40" s="38">
        <f>(E_N2O_G_0+NTE_N2O_0)*AIR_N2O/100</f>
        <v>8.0000000000000002E-3</v>
      </c>
      <c r="D40" s="38">
        <f t="array" ref="D40:M40">(e_n2o_g_b+nte_n2o_b)*AIR_N2O/100</f>
        <v>0</v>
      </c>
      <c r="E40" s="38">
        <v>0</v>
      </c>
      <c r="F40" s="38">
        <v>0</v>
      </c>
      <c r="G40" s="38">
        <v>0</v>
      </c>
      <c r="H40" s="38">
        <v>0</v>
      </c>
      <c r="I40" s="38">
        <v>0</v>
      </c>
      <c r="J40" s="38">
        <v>0</v>
      </c>
      <c r="K40" s="38">
        <v>0</v>
      </c>
      <c r="L40" s="38">
        <v>0</v>
      </c>
      <c r="M40" s="38">
        <v>0</v>
      </c>
      <c r="N40" s="4" t="str">
        <f>'Base data'!$G$32</f>
        <v>Mtonne</v>
      </c>
    </row>
    <row r="41" spans="1:14" s="4" customFormat="1" ht="15.5" x14ac:dyDescent="0.4">
      <c r="A41" s="4" t="s">
        <v>186</v>
      </c>
      <c r="B41" s="80" t="s">
        <v>155</v>
      </c>
      <c r="C41" s="43"/>
      <c r="D41" s="38">
        <f>(TEA_N2O_0+tea_n2o_b)*YP_1/2</f>
        <v>0.04</v>
      </c>
      <c r="E41" s="38">
        <f t="array" ref="E41:M41">(tea_n2o_b+tea_n2o_not_1_b)*YP_NOT_1/2</f>
        <v>0</v>
      </c>
      <c r="F41" s="38">
        <v>0</v>
      </c>
      <c r="G41" s="38">
        <v>0</v>
      </c>
      <c r="H41" s="38">
        <v>0</v>
      </c>
      <c r="I41" s="38">
        <v>0</v>
      </c>
      <c r="J41" s="38">
        <v>0</v>
      </c>
      <c r="K41" s="38">
        <v>0</v>
      </c>
      <c r="L41" s="38">
        <v>0</v>
      </c>
      <c r="M41" s="38">
        <v>0</v>
      </c>
      <c r="N41" s="4" t="str">
        <f>'Base data'!$G$32</f>
        <v>Mtonne</v>
      </c>
    </row>
    <row r="42" spans="1:14" s="6" customFormat="1" x14ac:dyDescent="0.25">
      <c r="A42" s="6" t="s">
        <v>187</v>
      </c>
      <c r="C42" s="44"/>
      <c r="D42" s="35">
        <f t="array" ref="D42:M42">EXP(-(YP/RES_N2O))</f>
        <v>0</v>
      </c>
      <c r="E42" s="35">
        <v>0</v>
      </c>
      <c r="F42" s="35">
        <v>0</v>
      </c>
      <c r="G42" s="35">
        <v>0</v>
      </c>
      <c r="H42" s="35">
        <v>0</v>
      </c>
      <c r="I42" s="35">
        <v>0</v>
      </c>
      <c r="J42" s="35">
        <v>0</v>
      </c>
      <c r="K42" s="35">
        <v>0</v>
      </c>
      <c r="L42" s="35">
        <v>0</v>
      </c>
      <c r="M42" s="35">
        <v>0</v>
      </c>
    </row>
    <row r="43" spans="1:14" s="4" customFormat="1" x14ac:dyDescent="0.25">
      <c r="A43" s="4" t="s">
        <v>188</v>
      </c>
      <c r="C43" s="43"/>
      <c r="D43" s="38">
        <f>RE_N2O_0*EXPF_N2O</f>
        <v>0</v>
      </c>
      <c r="E43" s="38">
        <f t="array" ref="E43:M43">re_n2o_b*EXPF_N2O_NOT_1</f>
        <v>0</v>
      </c>
      <c r="F43" s="38">
        <v>0</v>
      </c>
      <c r="G43" s="38">
        <v>0</v>
      </c>
      <c r="H43" s="38">
        <v>0</v>
      </c>
      <c r="I43" s="38">
        <v>0</v>
      </c>
      <c r="J43" s="38">
        <v>0</v>
      </c>
      <c r="K43" s="38">
        <v>0</v>
      </c>
      <c r="L43" s="38">
        <v>0</v>
      </c>
      <c r="M43" s="38">
        <v>0</v>
      </c>
      <c r="N43" s="4" t="str">
        <f>'Base data'!$G$32</f>
        <v>Mtonne</v>
      </c>
    </row>
    <row r="44" spans="1:14" s="4" customFormat="1" x14ac:dyDescent="0.25">
      <c r="A44" s="4" t="s">
        <v>189</v>
      </c>
      <c r="C44" s="43"/>
      <c r="D44" s="22">
        <f t="array" ref="D44:M44">teay_n2o_b*RES_N2O*(1-EXPF_N2O)/YP</f>
        <v>4.0000000000000009E-7</v>
      </c>
      <c r="E44" s="22">
        <v>0</v>
      </c>
      <c r="F44" s="22">
        <v>0</v>
      </c>
      <c r="G44" s="22">
        <v>0</v>
      </c>
      <c r="H44" s="22">
        <v>0</v>
      </c>
      <c r="I44" s="22">
        <v>0</v>
      </c>
      <c r="J44" s="22">
        <v>0</v>
      </c>
      <c r="K44" s="22">
        <v>0</v>
      </c>
      <c r="L44" s="22">
        <v>0</v>
      </c>
      <c r="M44" s="22">
        <v>0</v>
      </c>
      <c r="N44" s="4" t="str">
        <f>'Base data'!$G$32</f>
        <v>Mtonne</v>
      </c>
    </row>
    <row r="45" spans="1:14" s="4" customFormat="1" ht="15.5" x14ac:dyDescent="0.4">
      <c r="A45" s="4" t="s">
        <v>190</v>
      </c>
      <c r="B45" s="80" t="s">
        <v>156</v>
      </c>
      <c r="C45" s="22">
        <f>RE_N2O_0</f>
        <v>7.7999999998155543E-3</v>
      </c>
      <c r="D45" s="22">
        <f t="shared" ref="D45:M45" si="4">SUM(D43:D44)</f>
        <v>4.0000000000000009E-7</v>
      </c>
      <c r="E45" s="22">
        <f t="shared" si="4"/>
        <v>0</v>
      </c>
      <c r="F45" s="22">
        <f t="shared" si="4"/>
        <v>0</v>
      </c>
      <c r="G45" s="22">
        <f t="shared" si="4"/>
        <v>0</v>
      </c>
      <c r="H45" s="22">
        <f t="shared" si="4"/>
        <v>0</v>
      </c>
      <c r="I45" s="22">
        <f t="shared" si="4"/>
        <v>0</v>
      </c>
      <c r="J45" s="22">
        <f t="shared" si="4"/>
        <v>0</v>
      </c>
      <c r="K45" s="22">
        <f t="shared" si="4"/>
        <v>0</v>
      </c>
      <c r="L45" s="22">
        <f t="shared" si="4"/>
        <v>0</v>
      </c>
      <c r="M45" s="22">
        <f t="shared" si="4"/>
        <v>0</v>
      </c>
      <c r="N45" s="4" t="str">
        <f>'Base data'!$G$32</f>
        <v>Mtonne</v>
      </c>
    </row>
    <row r="46" spans="1:14" s="4" customFormat="1" ht="15.5" x14ac:dyDescent="0.4">
      <c r="A46" s="4" t="s">
        <v>191</v>
      </c>
      <c r="B46" s="80" t="s">
        <v>157</v>
      </c>
      <c r="C46" s="22">
        <f>C_N2O_0</f>
        <v>270.00099999999998</v>
      </c>
      <c r="D46" s="22">
        <f t="array" ref="D46:M46">PIC_N2O+EXC_N2O*(re_n2o_b/RE_N2O_0)</f>
        <v>270.00000005128203</v>
      </c>
      <c r="E46" s="22">
        <v>270</v>
      </c>
      <c r="F46" s="22">
        <v>270</v>
      </c>
      <c r="G46" s="22">
        <v>270</v>
      </c>
      <c r="H46" s="22">
        <v>270</v>
      </c>
      <c r="I46" s="22">
        <v>270</v>
      </c>
      <c r="J46" s="22">
        <v>270</v>
      </c>
      <c r="K46" s="22">
        <v>270</v>
      </c>
      <c r="L46" s="22">
        <v>270</v>
      </c>
      <c r="M46" s="22">
        <v>270</v>
      </c>
      <c r="N46" s="4" t="str">
        <f>'Base data'!$F$19</f>
        <v>ppb</v>
      </c>
    </row>
    <row r="47" spans="1:14" s="6" customFormat="1" x14ac:dyDescent="0.25">
      <c r="A47" s="6" t="s">
        <v>196</v>
      </c>
      <c r="C47" s="35">
        <f>F_N2O_0</f>
        <v>0</v>
      </c>
      <c r="D47" s="35">
        <f t="array" ref="D47:M47">F_N2O_0+FSLOPE_N2O*(SQRT(c_n2o_b)-SQRT(C_N2O_0))</f>
        <v>0</v>
      </c>
      <c r="E47" s="35">
        <v>0</v>
      </c>
      <c r="F47" s="35">
        <v>0</v>
      </c>
      <c r="G47" s="35">
        <v>0</v>
      </c>
      <c r="H47" s="35">
        <v>0</v>
      </c>
      <c r="I47" s="35">
        <v>0</v>
      </c>
      <c r="J47" s="35">
        <v>0</v>
      </c>
      <c r="K47" s="35">
        <v>0</v>
      </c>
      <c r="L47" s="35">
        <v>0</v>
      </c>
      <c r="M47" s="35">
        <v>0</v>
      </c>
      <c r="N47" s="6" t="str">
        <f>'Base data'!$F$21</f>
        <v>W/m2</v>
      </c>
    </row>
    <row r="48" spans="1:14" s="6" customFormat="1" x14ac:dyDescent="0.25">
      <c r="A48" s="6" t="s">
        <v>193</v>
      </c>
      <c r="C48" s="35">
        <v>0</v>
      </c>
      <c r="D48" s="35">
        <f t="array" ref="D48:M48">-(0.47*LN(1+0.00002*(c_ch4_b*C_N2O_0)^0.75+0.0000000000000053*c_ch4_b*(c_ch4_b*C_N2O_0)^1.52)-0.47*LN(1+0.00002*(C_CH4_0*C_N2O_0)^0.75+0.0000000000000053*C_CH4_0*(C_CH4_0*C_N2O_0)^1.52))</f>
        <v>7.7802473935628669E-8</v>
      </c>
      <c r="E48" s="35">
        <v>7.7813670271154045E-8</v>
      </c>
      <c r="F48" s="35">
        <v>7.7813670271154045E-8</v>
      </c>
      <c r="G48" s="35">
        <v>7.7813670271154045E-8</v>
      </c>
      <c r="H48" s="35">
        <v>7.7813670271154045E-8</v>
      </c>
      <c r="I48" s="35">
        <v>7.7813670271154045E-8</v>
      </c>
      <c r="J48" s="35">
        <v>7.7813670271154045E-8</v>
      </c>
      <c r="K48" s="35">
        <v>7.7813670271154045E-8</v>
      </c>
      <c r="L48" s="35">
        <v>7.7813670271154045E-8</v>
      </c>
      <c r="M48" s="35">
        <v>7.7813670271154045E-8</v>
      </c>
      <c r="N48" s="6" t="str">
        <f>'Base data'!$F$21</f>
        <v>W/m2</v>
      </c>
    </row>
    <row r="49" spans="1:24" s="6" customFormat="1" x14ac:dyDescent="0.25">
      <c r="A49" s="6" t="s">
        <v>194</v>
      </c>
      <c r="C49" s="35">
        <v>0</v>
      </c>
      <c r="D49" s="35">
        <f t="array" ref="D49:M49">-(0.47*LN(1+0.00002*(C_CH4_0*c_n2o_b)^0.75+0.0000000000000053*C_CH4_0*(C_CH4_0*c_n2o_b)^1.52)-0.47*LN(1+0.00002*(C_CH4_0*C_N2O_0)^0.75+0.0000000000000053*C_CH4_0*(C_CH4_0*C_N2O_0)^1.52))</f>
        <v>2.0115587909264043E-7</v>
      </c>
      <c r="E49" s="35">
        <v>2.0116619527110746E-7</v>
      </c>
      <c r="F49" s="35">
        <v>2.0116619527110746E-7</v>
      </c>
      <c r="G49" s="35">
        <v>2.0116619527110746E-7</v>
      </c>
      <c r="H49" s="35">
        <v>2.0116619527110746E-7</v>
      </c>
      <c r="I49" s="35">
        <v>2.0116619527110746E-7</v>
      </c>
      <c r="J49" s="35">
        <v>2.0116619527110746E-7</v>
      </c>
      <c r="K49" s="35">
        <v>2.0116619527110746E-7</v>
      </c>
      <c r="L49" s="35">
        <v>2.0116619527110746E-7</v>
      </c>
      <c r="M49" s="35">
        <v>2.0116619527110746E-7</v>
      </c>
      <c r="N49" s="6" t="str">
        <f>'Base data'!$F$21</f>
        <v>W/m2</v>
      </c>
    </row>
    <row r="50" spans="1:24" s="6" customFormat="1" ht="15.5" x14ac:dyDescent="0.4">
      <c r="A50" s="6" t="s">
        <v>96</v>
      </c>
      <c r="B50" s="6" t="s">
        <v>97</v>
      </c>
      <c r="C50" s="35">
        <f>F_CH4_0</f>
        <v>0</v>
      </c>
      <c r="D50" s="35">
        <f t="array" ref="D50:M50">f_ch4_no_over_b+over_ch4_b</f>
        <v>7.7802473935628669E-8</v>
      </c>
      <c r="E50" s="35">
        <v>7.7813670271154045E-8</v>
      </c>
      <c r="F50" s="35">
        <v>7.7813670271154045E-8</v>
      </c>
      <c r="G50" s="35">
        <v>7.7813670271154045E-8</v>
      </c>
      <c r="H50" s="35">
        <v>7.7813670271154045E-8</v>
      </c>
      <c r="I50" s="35">
        <v>7.7813670271154045E-8</v>
      </c>
      <c r="J50" s="35">
        <v>7.7813670271154045E-8</v>
      </c>
      <c r="K50" s="35">
        <v>7.7813670271154045E-8</v>
      </c>
      <c r="L50" s="35">
        <v>7.7813670271154045E-8</v>
      </c>
      <c r="M50" s="35">
        <v>7.7813670271154045E-8</v>
      </c>
      <c r="N50" s="6" t="str">
        <f>'Base data'!$F$21</f>
        <v>W/m2</v>
      </c>
    </row>
    <row r="51" spans="1:24" s="6" customFormat="1" ht="16" thickBot="1" x14ac:dyDescent="0.45">
      <c r="A51" s="6" t="s">
        <v>192</v>
      </c>
      <c r="B51" s="78" t="s">
        <v>158</v>
      </c>
      <c r="C51" s="49">
        <f>F_N2O_0</f>
        <v>0</v>
      </c>
      <c r="D51" s="49">
        <f t="array" ref="D51:M51">f_n2o_no_over_b+over_n2o_b</f>
        <v>2.0115587909264043E-7</v>
      </c>
      <c r="E51" s="49">
        <v>2.0116619527110746E-7</v>
      </c>
      <c r="F51" s="49">
        <v>2.0116619527110746E-7</v>
      </c>
      <c r="G51" s="49">
        <v>2.0116619527110746E-7</v>
      </c>
      <c r="H51" s="49">
        <v>2.0116619527110746E-7</v>
      </c>
      <c r="I51" s="49">
        <v>2.0116619527110746E-7</v>
      </c>
      <c r="J51" s="49">
        <v>2.0116619527110746E-7</v>
      </c>
      <c r="K51" s="49">
        <v>2.0116619527110746E-7</v>
      </c>
      <c r="L51" s="49">
        <v>2.0116619527110746E-7</v>
      </c>
      <c r="M51" s="49">
        <v>2.0116619527110746E-7</v>
      </c>
    </row>
    <row r="52" spans="1:24" s="6" customFormat="1" ht="13" thickTop="1" x14ac:dyDescent="0.25">
      <c r="C52" s="17"/>
      <c r="D52" s="17"/>
      <c r="E52" s="17"/>
      <c r="F52" s="17"/>
      <c r="G52" s="17"/>
      <c r="H52" s="17"/>
      <c r="I52" s="17"/>
      <c r="J52" s="17"/>
      <c r="K52" s="17"/>
      <c r="L52" s="17"/>
      <c r="M52" s="17"/>
    </row>
    <row r="53" spans="1:24" s="4" customFormat="1" ht="15.5" x14ac:dyDescent="0.4">
      <c r="A53" s="4" t="str">
        <f>"Natural emissions of "&amp;GLIN_NAME</f>
        <v>Natural emissions of Lin</v>
      </c>
      <c r="B53" s="80" t="s">
        <v>218</v>
      </c>
      <c r="C53" s="20">
        <f>STIM_GLIN*RTL_G_0</f>
        <v>0</v>
      </c>
      <c r="D53" s="20">
        <f>STIM_GLIN*RTL_G_0</f>
        <v>0</v>
      </c>
      <c r="E53" s="37">
        <f t="array" ref="E53:M53">STIM_GLIN*rt_g_b</f>
        <v>0</v>
      </c>
      <c r="F53" s="37">
        <v>0</v>
      </c>
      <c r="G53" s="37">
        <v>0</v>
      </c>
      <c r="H53" s="37">
        <v>0</v>
      </c>
      <c r="I53" s="37">
        <v>0</v>
      </c>
      <c r="J53" s="37">
        <v>0</v>
      </c>
      <c r="K53" s="37">
        <v>0</v>
      </c>
      <c r="L53" s="37">
        <v>0</v>
      </c>
      <c r="M53" s="37">
        <v>0</v>
      </c>
      <c r="N53" s="4" t="str">
        <f>'Base data'!$G$32</f>
        <v>Mtonne</v>
      </c>
    </row>
    <row r="54" spans="1:24" s="4" customFormat="1" ht="15.5" x14ac:dyDescent="0.4">
      <c r="A54" s="4" t="str">
        <f>"Total emissions to air of "&amp;GLIN_NAME</f>
        <v>Total emissions to air of Lin</v>
      </c>
      <c r="B54" s="80" t="s">
        <v>219</v>
      </c>
      <c r="C54" s="38">
        <f>(E_GLIN_G_0+NTE_GLIN_0)*AIR_GLIN/100</f>
        <v>8.0000000000000002E-3</v>
      </c>
      <c r="D54" s="38">
        <f t="array" ref="D54:M54">(e_glin_g_b+nte_glin_b)*AIR_GLIN/100</f>
        <v>0</v>
      </c>
      <c r="E54" s="38">
        <v>0</v>
      </c>
      <c r="F54" s="38">
        <v>0</v>
      </c>
      <c r="G54" s="38">
        <v>0</v>
      </c>
      <c r="H54" s="38">
        <v>0</v>
      </c>
      <c r="I54" s="38">
        <v>0</v>
      </c>
      <c r="J54" s="38">
        <v>0</v>
      </c>
      <c r="K54" s="38">
        <v>0</v>
      </c>
      <c r="L54" s="38">
        <v>0</v>
      </c>
      <c r="M54" s="38">
        <v>0</v>
      </c>
      <c r="N54" s="4" t="str">
        <f>'Base data'!$G$32</f>
        <v>Mtonne</v>
      </c>
    </row>
    <row r="55" spans="1:24" s="4" customFormat="1" ht="15.5" x14ac:dyDescent="0.4">
      <c r="A55" s="4" t="str">
        <f>"Total this period of "&amp;GLIN_NAME</f>
        <v>Total this period of Lin</v>
      </c>
      <c r="B55" s="80" t="s">
        <v>220</v>
      </c>
      <c r="C55" s="43"/>
      <c r="D55" s="38">
        <f>(TEA_GLIN_0+tea_glin_b)*YP_1/2</f>
        <v>0.04</v>
      </c>
      <c r="E55" s="38">
        <f t="array" ref="E55:M55">(tea_glin_b+tea_glin_not_1_b)*YP_NOT_1/2</f>
        <v>0</v>
      </c>
      <c r="F55" s="38">
        <v>0</v>
      </c>
      <c r="G55" s="38">
        <v>0</v>
      </c>
      <c r="H55" s="38">
        <v>0</v>
      </c>
      <c r="I55" s="38">
        <v>0</v>
      </c>
      <c r="J55" s="38">
        <v>0</v>
      </c>
      <c r="K55" s="38">
        <v>0</v>
      </c>
      <c r="L55" s="38">
        <v>0</v>
      </c>
      <c r="M55" s="38">
        <v>0</v>
      </c>
      <c r="N55" s="4" t="str">
        <f>'Base data'!$G$32</f>
        <v>Mtonne</v>
      </c>
    </row>
    <row r="56" spans="1:24" s="6" customFormat="1" x14ac:dyDescent="0.25">
      <c r="A56" s="6" t="str">
        <f>"Exponential factor for "&amp;GLIN_NAME</f>
        <v>Exponential factor for Lin</v>
      </c>
      <c r="C56" s="44"/>
      <c r="D56" s="35">
        <f t="array" ref="D56:M56">EXP(-(YP/RES_GLIN))</f>
        <v>0</v>
      </c>
      <c r="E56" s="35">
        <v>0</v>
      </c>
      <c r="F56" s="35">
        <v>0</v>
      </c>
      <c r="G56" s="35">
        <v>0</v>
      </c>
      <c r="H56" s="35">
        <v>0</v>
      </c>
      <c r="I56" s="35">
        <v>0</v>
      </c>
      <c r="J56" s="35">
        <v>0</v>
      </c>
      <c r="K56" s="35">
        <v>0</v>
      </c>
      <c r="L56" s="35">
        <v>0</v>
      </c>
      <c r="M56" s="35">
        <v>0</v>
      </c>
    </row>
    <row r="57" spans="1:24" s="4" customFormat="1" x14ac:dyDescent="0.25">
      <c r="A57" s="4" t="str">
        <f>"Remaining emissions factor for "&amp;GLIN_NAME</f>
        <v>Remaining emissions factor for Lin</v>
      </c>
      <c r="C57" s="43"/>
      <c r="D57" s="38">
        <f>RE_GLIN_0*EXPF_GLIN</f>
        <v>0</v>
      </c>
      <c r="E57" s="38">
        <f t="array" ref="E57:M57">re_glin_b*EXPF_GLIN_NOT_1</f>
        <v>0</v>
      </c>
      <c r="F57" s="38">
        <v>0</v>
      </c>
      <c r="G57" s="38">
        <v>0</v>
      </c>
      <c r="H57" s="38">
        <v>0</v>
      </c>
      <c r="I57" s="38">
        <v>0</v>
      </c>
      <c r="J57" s="38">
        <v>0</v>
      </c>
      <c r="K57" s="38">
        <v>0</v>
      </c>
      <c r="L57" s="38">
        <v>0</v>
      </c>
      <c r="M57" s="38">
        <v>0</v>
      </c>
      <c r="N57" s="4" t="str">
        <f>'Base data'!$G$32</f>
        <v>Mtonne</v>
      </c>
    </row>
    <row r="58" spans="1:24" s="4" customFormat="1" x14ac:dyDescent="0.25">
      <c r="A58" s="4" t="str">
        <f>"Total this period factor for "&amp;GLIN_NAME</f>
        <v>Total this period factor for Lin</v>
      </c>
      <c r="C58" s="43"/>
      <c r="D58" s="38">
        <f t="array" ref="D58:M58">teay_glin_b*RES_GLIN*(1-EXPF_GLIN)/YP</f>
        <v>4.0000000000000009E-7</v>
      </c>
      <c r="E58" s="38">
        <v>0</v>
      </c>
      <c r="F58" s="38">
        <v>0</v>
      </c>
      <c r="G58" s="38">
        <v>0</v>
      </c>
      <c r="H58" s="38">
        <v>0</v>
      </c>
      <c r="I58" s="38">
        <v>0</v>
      </c>
      <c r="J58" s="38">
        <v>0</v>
      </c>
      <c r="K58" s="38">
        <v>0</v>
      </c>
      <c r="L58" s="38">
        <v>0</v>
      </c>
      <c r="M58" s="38">
        <v>0</v>
      </c>
      <c r="N58" s="4" t="str">
        <f>'Base data'!$G$32</f>
        <v>Mtonne</v>
      </c>
    </row>
    <row r="59" spans="1:24" s="4" customFormat="1" ht="15.5" x14ac:dyDescent="0.4">
      <c r="A59" s="4" t="str">
        <f>"Remaining emissions of "&amp;GLIN_NAME</f>
        <v>Remaining emissions of Lin</v>
      </c>
      <c r="B59" s="80" t="s">
        <v>221</v>
      </c>
      <c r="C59" s="38">
        <f>RE_GLIN_0</f>
        <v>1.0000000000000001E-5</v>
      </c>
      <c r="D59" s="38">
        <f t="shared" ref="D59:M59" si="5">SUM(D57:D58)</f>
        <v>4.0000000000000009E-7</v>
      </c>
      <c r="E59" s="38">
        <f t="shared" si="5"/>
        <v>0</v>
      </c>
      <c r="F59" s="38">
        <f t="shared" si="5"/>
        <v>0</v>
      </c>
      <c r="G59" s="38">
        <f t="shared" si="5"/>
        <v>0</v>
      </c>
      <c r="H59" s="38">
        <f t="shared" si="5"/>
        <v>0</v>
      </c>
      <c r="I59" s="38">
        <f t="shared" si="5"/>
        <v>0</v>
      </c>
      <c r="J59" s="38">
        <f t="shared" si="5"/>
        <v>0</v>
      </c>
      <c r="K59" s="38">
        <f t="shared" si="5"/>
        <v>0</v>
      </c>
      <c r="L59" s="38">
        <f t="shared" si="5"/>
        <v>0</v>
      </c>
      <c r="M59" s="38">
        <f t="shared" si="5"/>
        <v>0</v>
      </c>
      <c r="N59" s="4" t="str">
        <f>'Base data'!$G$32</f>
        <v>Mtonne</v>
      </c>
    </row>
    <row r="60" spans="1:24" s="4" customFormat="1" ht="15.5" x14ac:dyDescent="0.4">
      <c r="A60" s="4" t="str">
        <f>"Concentration of "&amp;GLIN_NAME</f>
        <v>Concentration of Lin</v>
      </c>
      <c r="B60" s="80" t="s">
        <v>222</v>
      </c>
      <c r="C60" s="38">
        <f>C_GLIN_0</f>
        <v>1E-10</v>
      </c>
      <c r="D60" s="38">
        <f t="array" ref="D60:M60">PIC_GLIN+EXC_GLIN*(re_glin_b/RE_GLIN_0)</f>
        <v>4.0000000000000007E-12</v>
      </c>
      <c r="E60" s="38">
        <v>0</v>
      </c>
      <c r="F60" s="38">
        <v>0</v>
      </c>
      <c r="G60" s="38">
        <v>0</v>
      </c>
      <c r="H60" s="38">
        <v>0</v>
      </c>
      <c r="I60" s="38">
        <v>0</v>
      </c>
      <c r="J60" s="38">
        <v>0</v>
      </c>
      <c r="K60" s="38">
        <v>0</v>
      </c>
      <c r="L60" s="38">
        <v>0</v>
      </c>
      <c r="M60" s="38">
        <v>0</v>
      </c>
      <c r="N60" s="4" t="str">
        <f>'Base data'!$F$19</f>
        <v>ppb</v>
      </c>
    </row>
    <row r="61" spans="1:24" s="6" customFormat="1" ht="15.5" x14ac:dyDescent="0.4">
      <c r="A61" s="6" t="str">
        <f>"Forcing from "&amp;GLIN_NAME</f>
        <v>Forcing from Lin</v>
      </c>
      <c r="B61" s="78" t="s">
        <v>223</v>
      </c>
      <c r="C61" s="38">
        <f>F_GLIN_0</f>
        <v>0</v>
      </c>
      <c r="D61" s="38">
        <f t="array" ref="D61:M61">F_GLIN_0+FSLOPE_GLIN*(c_glin_b-C_GLIN_0)</f>
        <v>0</v>
      </c>
      <c r="E61" s="38">
        <v>0</v>
      </c>
      <c r="F61" s="38">
        <v>0</v>
      </c>
      <c r="G61" s="38">
        <v>0</v>
      </c>
      <c r="H61" s="38">
        <v>0</v>
      </c>
      <c r="I61" s="38">
        <v>0</v>
      </c>
      <c r="J61" s="38">
        <v>0</v>
      </c>
      <c r="K61" s="38">
        <v>0</v>
      </c>
      <c r="L61" s="38">
        <v>0</v>
      </c>
      <c r="M61" s="38">
        <v>0</v>
      </c>
      <c r="N61" s="6" t="str">
        <f>'Base data'!$F$21</f>
        <v>W/m2</v>
      </c>
    </row>
    <row r="62" spans="1:24" ht="13" thickBot="1" x14ac:dyDescent="0.3">
      <c r="A62" s="4" t="s">
        <v>159</v>
      </c>
      <c r="B62" s="4" t="s">
        <v>98</v>
      </c>
      <c r="C62" s="49">
        <f>F_CO2_0+F_CH4_0+F_N2O_0+F_GLIN_0+EXF_0</f>
        <v>2.8357852798494578</v>
      </c>
      <c r="D62" s="49">
        <f t="array" ref="D62:M62">f_co2_b+f_ch4_b+f_n2o_b+f_glin_b+exf_b</f>
        <v>3.3485842571270883</v>
      </c>
      <c r="E62" s="49">
        <v>3.691800569703668</v>
      </c>
      <c r="F62" s="49">
        <v>4.0150054478570079</v>
      </c>
      <c r="G62" s="49">
        <v>4.2758309250596387</v>
      </c>
      <c r="H62" s="49">
        <v>4.4126557289949666</v>
      </c>
      <c r="I62" s="49">
        <v>4.4752543647370828</v>
      </c>
      <c r="J62" s="49">
        <v>4.4492752746631901</v>
      </c>
      <c r="K62" s="49">
        <v>4.401673938336665</v>
      </c>
      <c r="L62" s="49">
        <v>4.4780721757417528</v>
      </c>
      <c r="M62" s="49">
        <v>4.7879992262434445</v>
      </c>
      <c r="N62" s="6" t="str">
        <f>'Base data'!$F$21</f>
        <v>W/m2</v>
      </c>
      <c r="O62" s="6">
        <f t="shared" ref="O62:X62" si="6">D62</f>
        <v>3.3485842571270883</v>
      </c>
      <c r="P62" s="6">
        <f t="shared" si="6"/>
        <v>3.691800569703668</v>
      </c>
      <c r="Q62" s="6">
        <f t="shared" si="6"/>
        <v>4.0150054478570079</v>
      </c>
      <c r="R62" s="6">
        <f t="shared" si="6"/>
        <v>4.2758309250596387</v>
      </c>
      <c r="S62" s="6">
        <f t="shared" si="6"/>
        <v>4.4126557289949666</v>
      </c>
      <c r="T62" s="6">
        <f t="shared" si="6"/>
        <v>4.4752543647370828</v>
      </c>
      <c r="U62" s="6">
        <f t="shared" si="6"/>
        <v>4.4492752746631901</v>
      </c>
      <c r="V62" s="6">
        <f t="shared" si="6"/>
        <v>4.401673938336665</v>
      </c>
      <c r="W62" s="6">
        <f t="shared" si="6"/>
        <v>4.4780721757417528</v>
      </c>
      <c r="X62" s="6">
        <f t="shared" si="6"/>
        <v>4.7879992262434445</v>
      </c>
    </row>
    <row r="63" spans="1:24" ht="13" thickTop="1" x14ac:dyDescent="0.25">
      <c r="A63" s="4"/>
      <c r="B63" s="4"/>
      <c r="C63" s="6"/>
      <c r="D63" s="6"/>
      <c r="E63" s="6"/>
      <c r="F63" s="6"/>
      <c r="G63" s="6"/>
      <c r="H63" s="6"/>
      <c r="I63" s="6"/>
      <c r="J63" s="6"/>
      <c r="K63" s="6"/>
      <c r="L63" s="6"/>
      <c r="M63" s="6"/>
      <c r="N63" s="6"/>
    </row>
    <row r="64" spans="1:24" s="1" customFormat="1" x14ac:dyDescent="0.25">
      <c r="A64" s="84" t="s">
        <v>239</v>
      </c>
      <c r="B64" s="1" t="str">
        <f t="array" ref="B64:B71">R_CODE</f>
        <v>EU</v>
      </c>
      <c r="C64" s="37">
        <f t="array" ref="C64:C71">SE_0/AREA</f>
        <v>1.3555555555555554E-6</v>
      </c>
      <c r="D64" s="37">
        <f t="array" ref="D64:M71">SE_0*(pse_b/100)/AREA</f>
        <v>7.8649704764702146E-7</v>
      </c>
      <c r="E64" s="37">
        <v>5.4700142058369409E-7</v>
      </c>
      <c r="F64" s="37">
        <v>5.4384151888168414E-7</v>
      </c>
      <c r="G64" s="37">
        <v>5.0282073358645428E-7</v>
      </c>
      <c r="H64" s="37">
        <v>5.4780259313707858E-7</v>
      </c>
      <c r="I64" s="37">
        <v>5.1156167742695437E-7</v>
      </c>
      <c r="J64" s="37">
        <v>4.3907984600670613E-7</v>
      </c>
      <c r="K64" s="37">
        <v>3.6659801458645767E-7</v>
      </c>
      <c r="L64" s="37">
        <v>3.6659801458645767E-7</v>
      </c>
      <c r="M64" s="37">
        <v>3.6659801458645767E-7</v>
      </c>
      <c r="N64" s="1" t="str">
        <f>'Base data'!$K$32</f>
        <v>Tg/Km2</v>
      </c>
    </row>
    <row r="65" spans="1:14" s="1" customFormat="1" x14ac:dyDescent="0.25">
      <c r="B65" s="1" t="str">
        <v>US</v>
      </c>
      <c r="C65" s="38">
        <v>8.8646801238919153E-7</v>
      </c>
      <c r="D65" s="38">
        <v>5.1433116977037719E-7</v>
      </c>
      <c r="E65" s="38">
        <v>3.577125703860674E-7</v>
      </c>
      <c r="F65" s="38">
        <v>3.5564614694097455E-7</v>
      </c>
      <c r="G65" s="38">
        <v>3.2882053005033892E-7</v>
      </c>
      <c r="H65" s="38">
        <v>3.582364986294131E-7</v>
      </c>
      <c r="I65" s="38">
        <v>3.3453668611708015E-7</v>
      </c>
      <c r="J65" s="38">
        <v>2.8713706109241425E-7</v>
      </c>
      <c r="K65" s="38">
        <v>2.3973743606774831E-7</v>
      </c>
      <c r="L65" s="38">
        <v>2.3973743606774831E-7</v>
      </c>
      <c r="M65" s="38">
        <v>2.3973743606774831E-7</v>
      </c>
      <c r="N65" s="1" t="str">
        <f>'Base data'!$K$32</f>
        <v>Tg/Km2</v>
      </c>
    </row>
    <row r="66" spans="1:14" s="1" customFormat="1" x14ac:dyDescent="0.25">
      <c r="B66" s="1" t="str">
        <v>OT</v>
      </c>
      <c r="C66" s="38">
        <v>1.8300837615260083E-7</v>
      </c>
      <c r="D66" s="38">
        <v>1.0618196129903813E-7</v>
      </c>
      <c r="E66" s="38">
        <v>7.3848571771122074E-8</v>
      </c>
      <c r="F66" s="38">
        <v>7.3421965515910602E-8</v>
      </c>
      <c r="G66" s="38">
        <v>6.7883906028331866E-8</v>
      </c>
      <c r="H66" s="38">
        <v>7.3956735016377524E-8</v>
      </c>
      <c r="I66" s="38">
        <v>6.906398745821868E-8</v>
      </c>
      <c r="J66" s="38">
        <v>5.9278492341900979E-8</v>
      </c>
      <c r="K66" s="38">
        <v>4.9492997225583271E-8</v>
      </c>
      <c r="L66" s="38">
        <v>4.9492997225583271E-8</v>
      </c>
      <c r="M66" s="38">
        <v>4.9492997225583271E-8</v>
      </c>
      <c r="N66" s="1" t="str">
        <f>'Base data'!$K$32</f>
        <v>Tg/Km2</v>
      </c>
    </row>
    <row r="67" spans="1:14" s="1" customFormat="1" x14ac:dyDescent="0.25">
      <c r="B67" s="1" t="str">
        <v>EE</v>
      </c>
      <c r="C67" s="38">
        <v>4.8034934497816597E-7</v>
      </c>
      <c r="D67" s="38">
        <v>5.3009369661786026E-7</v>
      </c>
      <c r="E67" s="38">
        <v>4.6882520137886344E-7</v>
      </c>
      <c r="F67" s="38">
        <v>3.4133660519240415E-7</v>
      </c>
      <c r="G67" s="38">
        <v>1.8535880563806057E-7</v>
      </c>
      <c r="H67" s="38">
        <v>1.5099600806358238E-7</v>
      </c>
      <c r="I67" s="38">
        <v>1.3434152513819652E-7</v>
      </c>
      <c r="J67" s="38">
        <v>1.0103255928742482E-7</v>
      </c>
      <c r="K67" s="38">
        <v>6.7723593436653118E-8</v>
      </c>
      <c r="L67" s="38">
        <v>6.7723593436653118E-8</v>
      </c>
      <c r="M67" s="38">
        <v>6.7723593436653118E-8</v>
      </c>
      <c r="N67" s="1" t="str">
        <f>'Base data'!$K$32</f>
        <v>Tg/Km2</v>
      </c>
    </row>
    <row r="68" spans="1:14" s="1" customFormat="1" x14ac:dyDescent="0.25">
      <c r="B68" s="1" t="str">
        <v>CA</v>
      </c>
      <c r="C68" s="38">
        <v>1.7904339670901185E-6</v>
      </c>
      <c r="D68" s="38">
        <v>2.9775687812478925E-6</v>
      </c>
      <c r="E68" s="38">
        <v>3.8369061589721272E-6</v>
      </c>
      <c r="F68" s="38">
        <v>2.7117203080184045E-6</v>
      </c>
      <c r="G68" s="38">
        <v>1.4017833545700111E-6</v>
      </c>
      <c r="H68" s="38">
        <v>1.0708758758105345E-6</v>
      </c>
      <c r="I68" s="38">
        <v>9.471571730009837E-7</v>
      </c>
      <c r="J68" s="38">
        <v>6.9971976738188266E-7</v>
      </c>
      <c r="K68" s="38">
        <v>4.5228236176278124E-7</v>
      </c>
      <c r="L68" s="38">
        <v>4.5228236176278124E-7</v>
      </c>
      <c r="M68" s="38">
        <v>4.5228236176278124E-7</v>
      </c>
      <c r="N68" s="1" t="str">
        <f>'Base data'!$K$32</f>
        <v>Tg/Km2</v>
      </c>
    </row>
    <row r="69" spans="1:14" s="1" customFormat="1" x14ac:dyDescent="0.25">
      <c r="B69" s="1" t="str">
        <v>IA</v>
      </c>
      <c r="C69" s="38">
        <v>4.8320035959096527E-7</v>
      </c>
      <c r="D69" s="38">
        <v>8.0358300403792324E-7</v>
      </c>
      <c r="E69" s="38">
        <v>1.0355000350810497E-6</v>
      </c>
      <c r="F69" s="38">
        <v>7.3183610902678089E-7</v>
      </c>
      <c r="G69" s="38">
        <v>3.7831175762248374E-7</v>
      </c>
      <c r="H69" s="38">
        <v>2.8900680939935235E-7</v>
      </c>
      <c r="I69" s="38">
        <v>2.5561774128260917E-7</v>
      </c>
      <c r="J69" s="38">
        <v>1.8883960504912279E-7</v>
      </c>
      <c r="K69" s="38">
        <v>1.2206146881563651E-7</v>
      </c>
      <c r="L69" s="38">
        <v>1.2206146881563651E-7</v>
      </c>
      <c r="M69" s="38">
        <v>1.2206146881563651E-7</v>
      </c>
      <c r="N69" s="1" t="str">
        <f>'Base data'!$K$32</f>
        <v>Tg/Km2</v>
      </c>
    </row>
    <row r="70" spans="1:14" s="1" customFormat="1" x14ac:dyDescent="0.25">
      <c r="B70" s="1" t="str">
        <v>AF</v>
      </c>
      <c r="C70" s="38">
        <v>2.1190522057407051E-7</v>
      </c>
      <c r="D70" s="38">
        <v>3.309929477690548E-7</v>
      </c>
      <c r="E70" s="38">
        <v>4.1940645284935775E-7</v>
      </c>
      <c r="F70" s="38">
        <v>6.1757245252488212E-7</v>
      </c>
      <c r="G70" s="38">
        <v>5.8810823156695995E-7</v>
      </c>
      <c r="H70" s="38">
        <v>5.8994137485628997E-7</v>
      </c>
      <c r="I70" s="38">
        <v>5.1183957318550508E-7</v>
      </c>
      <c r="J70" s="38">
        <v>3.5563596984393489E-7</v>
      </c>
      <c r="K70" s="38">
        <v>1.9943236650236488E-7</v>
      </c>
      <c r="L70" s="38">
        <v>1.9943236650236488E-7</v>
      </c>
      <c r="M70" s="38">
        <v>1.9943236650236488E-7</v>
      </c>
      <c r="N70" s="1" t="str">
        <f>'Base data'!$K$32</f>
        <v>Tg/Km2</v>
      </c>
    </row>
    <row r="71" spans="1:14" s="1" customFormat="1" x14ac:dyDescent="0.25">
      <c r="B71" s="1" t="str">
        <v>LA</v>
      </c>
      <c r="C71" s="38">
        <v>1.4677526117362649E-7</v>
      </c>
      <c r="D71" s="38">
        <v>2.2926087532822281E-7</v>
      </c>
      <c r="E71" s="38">
        <v>2.9050011834583971E-7</v>
      </c>
      <c r="F71" s="38">
        <v>3.6126793489681548E-7</v>
      </c>
      <c r="G71" s="38">
        <v>4.0735069694249217E-7</v>
      </c>
      <c r="H71" s="38">
        <v>4.0862041594389851E-7</v>
      </c>
      <c r="I71" s="38">
        <v>3.5452353099078214E-7</v>
      </c>
      <c r="J71" s="38">
        <v>2.4632976108454923E-7</v>
      </c>
      <c r="K71" s="38">
        <v>1.3813599117831643E-7</v>
      </c>
      <c r="L71" s="38">
        <v>1.3813599117831643E-7</v>
      </c>
      <c r="M71" s="38">
        <v>1.3813599117831643E-7</v>
      </c>
      <c r="N71" s="1" t="str">
        <f>'Base data'!$K$32</f>
        <v>Tg/Km2</v>
      </c>
    </row>
    <row r="72" spans="1:14" s="1" customFormat="1" x14ac:dyDescent="0.25">
      <c r="B72" s="6" t="s">
        <v>172</v>
      </c>
      <c r="C72" s="105">
        <f t="array" ref="C72">SUM(AREA*C64:C71)/AREA_G</f>
        <v>4.6326796652696204E-7</v>
      </c>
      <c r="D72" s="105">
        <f t="array" ref="D72">SUM(AREA*D64:D71)/AREA_G</f>
        <v>5.8921938296351312E-7</v>
      </c>
      <c r="E72" s="105">
        <f t="array" ref="E72">SUM(AREA*E64:E71)/AREA_G</f>
        <v>6.8087074753647985E-7</v>
      </c>
      <c r="F72" s="105">
        <f t="array" ref="F72">SUM(AREA*F64:F71)/AREA_G</f>
        <v>6.1639870481209961E-7</v>
      </c>
      <c r="G72" s="105">
        <f t="array" ref="G72">SUM(AREA*G64:G71)/AREA_G</f>
        <v>4.6174710194698705E-7</v>
      </c>
      <c r="H72" s="105">
        <f t="array" ref="H72">SUM(AREA*H64:H71)/AREA_G</f>
        <v>4.2818996089205369E-7</v>
      </c>
      <c r="I72" s="105">
        <f t="array" ref="I72">SUM(AREA*I64:I71)/AREA_G</f>
        <v>3.7701461992402696E-7</v>
      </c>
      <c r="J72" s="105">
        <f t="array" ref="J72">SUM(AREA*J64:J71)/AREA_G</f>
        <v>2.7466393798797329E-7</v>
      </c>
      <c r="K72" s="105">
        <f t="array" ref="K72">SUM(AREA*K64:K71)/AREA_G</f>
        <v>1.723132560519197E-7</v>
      </c>
      <c r="L72" s="105">
        <f t="array" ref="L72">SUM(AREA*L64:L71)/AREA_G</f>
        <v>1.723132560519197E-7</v>
      </c>
      <c r="M72" s="105">
        <f t="array" ref="M72">SUM(AREA*M64:M71)/AREA_G</f>
        <v>1.723132560519197E-7</v>
      </c>
      <c r="N72" s="1" t="str">
        <f>'Base data'!$K$32</f>
        <v>Tg/Km2</v>
      </c>
    </row>
    <row r="73" spans="1:14" s="6" customFormat="1" x14ac:dyDescent="0.25">
      <c r="A73" s="78" t="s">
        <v>240</v>
      </c>
      <c r="B73" s="1" t="str">
        <f t="array" ref="B73:B80">R_CODE</f>
        <v>EU</v>
      </c>
      <c r="C73" s="35">
        <f t="array" ref="C73:C80">D*SFX_0/SFX_G_0</f>
        <v>-1.3655003979235008</v>
      </c>
      <c r="D73" s="35">
        <f t="array" ref="D73:M80">FSD_0*sfx_b/SFX_0</f>
        <v>-0.79226707243844252</v>
      </c>
      <c r="E73" s="35">
        <v>-0.5510144194463763</v>
      </c>
      <c r="F73" s="35">
        <v>-0.54783133557068431</v>
      </c>
      <c r="G73" s="35">
        <v>-0.50650960706298442</v>
      </c>
      <c r="H73" s="35">
        <v>-0.55182146968933266</v>
      </c>
      <c r="I73" s="35">
        <v>-0.51531467760658023</v>
      </c>
      <c r="J73" s="35">
        <v>-0.44230109344107543</v>
      </c>
      <c r="K73" s="35">
        <v>-0.36928750927557052</v>
      </c>
      <c r="L73" s="35">
        <v>-0.36928750927557052</v>
      </c>
      <c r="M73" s="35">
        <v>-0.36928750927557052</v>
      </c>
      <c r="N73" s="6" t="str">
        <f>'Base data'!$F$21</f>
        <v>W/m2</v>
      </c>
    </row>
    <row r="74" spans="1:14" s="6" customFormat="1" x14ac:dyDescent="0.25">
      <c r="B74" s="1" t="str">
        <v>US</v>
      </c>
      <c r="C74" s="35">
        <v>-0.89297146007992334</v>
      </c>
      <c r="D74" s="35">
        <v>-0.5181044879404253</v>
      </c>
      <c r="E74" s="35">
        <v>-0.36033687826555089</v>
      </c>
      <c r="F74" s="35">
        <v>-0.3582552947959628</v>
      </c>
      <c r="G74" s="35">
        <v>-0.33123287554609748</v>
      </c>
      <c r="H74" s="35">
        <v>-0.36086465023464487</v>
      </c>
      <c r="I74" s="35">
        <v>-0.33699096738655249</v>
      </c>
      <c r="J74" s="35">
        <v>-0.28924360169036772</v>
      </c>
      <c r="K74" s="35">
        <v>-0.24149623599418296</v>
      </c>
      <c r="L74" s="35">
        <v>-0.24149623599418296</v>
      </c>
      <c r="M74" s="35">
        <v>-0.24149623599418296</v>
      </c>
      <c r="N74" s="6" t="str">
        <f>'Base data'!$F$21</f>
        <v>W/m2</v>
      </c>
    </row>
    <row r="75" spans="1:14" s="6" customFormat="1" x14ac:dyDescent="0.25">
      <c r="B75" s="1" t="str">
        <v>OT</v>
      </c>
      <c r="C75" s="35">
        <v>-0.18435099132273702</v>
      </c>
      <c r="D75" s="35">
        <v>-0.10696095029960731</v>
      </c>
      <c r="E75" s="35">
        <v>-7.4390351414421699E-2</v>
      </c>
      <c r="F75" s="35">
        <v>-7.3960615422517501E-2</v>
      </c>
      <c r="G75" s="35">
        <v>-6.8381926741688387E-2</v>
      </c>
      <c r="H75" s="35">
        <v>-7.4499308184088356E-2</v>
      </c>
      <c r="I75" s="35">
        <v>-6.9570665672740298E-2</v>
      </c>
      <c r="J75" s="35">
        <v>-5.9713380650044182E-2</v>
      </c>
      <c r="K75" s="35">
        <v>-4.9856095627348052E-2</v>
      </c>
      <c r="L75" s="35">
        <v>-4.9856095627348052E-2</v>
      </c>
      <c r="M75" s="35">
        <v>-4.9856095627348052E-2</v>
      </c>
      <c r="N75" s="6" t="str">
        <f>'Base data'!$F$21</f>
        <v>W/m2</v>
      </c>
    </row>
    <row r="76" spans="1:14" s="6" customFormat="1" x14ac:dyDescent="0.25">
      <c r="B76" s="1" t="str">
        <v>EE</v>
      </c>
      <c r="C76" s="35">
        <v>-0.4838733602778531</v>
      </c>
      <c r="D76" s="35">
        <v>-0.53398265434556147</v>
      </c>
      <c r="E76" s="35">
        <v>-0.47226467142251077</v>
      </c>
      <c r="F76" s="35">
        <v>-0.34384077311022648</v>
      </c>
      <c r="G76" s="35">
        <v>-0.18671866440299745</v>
      </c>
      <c r="H76" s="35">
        <v>-0.15210376900501124</v>
      </c>
      <c r="I76" s="35">
        <v>-0.135327102811862</v>
      </c>
      <c r="J76" s="35">
        <v>-0.1017737704255635</v>
      </c>
      <c r="K76" s="35">
        <v>-6.8220438039265002E-2</v>
      </c>
      <c r="L76" s="35">
        <v>-6.8220438039265002E-2</v>
      </c>
      <c r="M76" s="35">
        <v>-6.8220438039265002E-2</v>
      </c>
      <c r="N76" s="6" t="str">
        <f>'Base data'!$F$21</f>
        <v>W/m2</v>
      </c>
    </row>
    <row r="77" spans="1:14" s="6" customFormat="1" x14ac:dyDescent="0.25">
      <c r="B77" s="1" t="str">
        <v>CA</v>
      </c>
      <c r="C77" s="35">
        <v>-1.8035692336603102</v>
      </c>
      <c r="D77" s="35">
        <v>-2.9994132951432233</v>
      </c>
      <c r="E77" s="35">
        <v>-3.8650550804790282</v>
      </c>
      <c r="F77" s="35">
        <v>-2.7316144620415845</v>
      </c>
      <c r="G77" s="35">
        <v>-1.4120673406730337</v>
      </c>
      <c r="H77" s="35">
        <v>-1.0787322058125954</v>
      </c>
      <c r="I77" s="35">
        <v>-0.95410585816889137</v>
      </c>
      <c r="J77" s="35">
        <v>-0.70485316288148381</v>
      </c>
      <c r="K77" s="35">
        <v>-0.45560046759407602</v>
      </c>
      <c r="L77" s="35">
        <v>-0.45560046759407602</v>
      </c>
      <c r="M77" s="35">
        <v>-0.45560046759407602</v>
      </c>
      <c r="N77" s="6" t="str">
        <f>'Base data'!$F$21</f>
        <v>W/m2</v>
      </c>
    </row>
    <row r="78" spans="1:14" s="6" customFormat="1" x14ac:dyDescent="0.25">
      <c r="B78" s="1" t="str">
        <v>IA</v>
      </c>
      <c r="C78" s="35">
        <v>-0.4867452909577194</v>
      </c>
      <c r="D78" s="35">
        <v>-0.80947837754140317</v>
      </c>
      <c r="E78" s="35">
        <v>-1.0430968352112095</v>
      </c>
      <c r="F78" s="35">
        <v>-0.73720512154243478</v>
      </c>
      <c r="G78" s="35">
        <v>-0.38108718853719387</v>
      </c>
      <c r="H78" s="35">
        <v>-0.29112706714235681</v>
      </c>
      <c r="I78" s="35">
        <v>-0.25749304483109708</v>
      </c>
      <c r="J78" s="35">
        <v>-0.19022500020857749</v>
      </c>
      <c r="K78" s="35">
        <v>-0.12295695558605803</v>
      </c>
      <c r="L78" s="35">
        <v>-0.12295695558605803</v>
      </c>
      <c r="M78" s="35">
        <v>-0.12295695558605803</v>
      </c>
      <c r="N78" s="6" t="str">
        <f>'Base data'!$F$21</f>
        <v>W/m2</v>
      </c>
    </row>
    <row r="79" spans="1:14" s="6" customFormat="1" x14ac:dyDescent="0.25">
      <c r="B79" s="1" t="str">
        <v>AF</v>
      </c>
      <c r="C79" s="35">
        <v>-0.21345983337242991</v>
      </c>
      <c r="D79" s="35">
        <v>-0.33342123090136494</v>
      </c>
      <c r="E79" s="35">
        <v>-0.42248336920633922</v>
      </c>
      <c r="F79" s="35">
        <v>-0.62210318582162871</v>
      </c>
      <c r="G79" s="35">
        <v>-0.59242280475745357</v>
      </c>
      <c r="H79" s="35">
        <v>-0.59426939664427958</v>
      </c>
      <c r="I79" s="35">
        <v>-0.51559461210821467</v>
      </c>
      <c r="J79" s="35">
        <v>-0.3582450430360844</v>
      </c>
      <c r="K79" s="35">
        <v>-0.20089547396395432</v>
      </c>
      <c r="L79" s="35">
        <v>-0.20089547396395432</v>
      </c>
      <c r="M79" s="35">
        <v>-0.20089547396395432</v>
      </c>
      <c r="N79" s="6" t="str">
        <f>'Base data'!$F$21</f>
        <v>W/m2</v>
      </c>
    </row>
    <row r="80" spans="1:14" s="6" customFormat="1" x14ac:dyDescent="0.25">
      <c r="B80" s="1" t="str">
        <v>LA</v>
      </c>
      <c r="C80" s="35">
        <v>-0.14785205720009956</v>
      </c>
      <c r="D80" s="35">
        <v>-0.23094281544268896</v>
      </c>
      <c r="E80" s="35">
        <v>-0.2926313315395585</v>
      </c>
      <c r="F80" s="35">
        <v>-0.36391832620716613</v>
      </c>
      <c r="G80" s="35">
        <v>-0.41033916794463077</v>
      </c>
      <c r="H80" s="35">
        <v>-0.41161820206061789</v>
      </c>
      <c r="I80" s="35">
        <v>-0.35712444293200152</v>
      </c>
      <c r="J80" s="35">
        <v>-0.24813692467476853</v>
      </c>
      <c r="K80" s="35">
        <v>-0.13914940641753562</v>
      </c>
      <c r="L80" s="35">
        <v>-0.13914940641753562</v>
      </c>
      <c r="M80" s="35">
        <v>-0.13914940641753562</v>
      </c>
      <c r="N80" s="6" t="str">
        <f>'Base data'!$F$21</f>
        <v>W/m2</v>
      </c>
    </row>
    <row r="81" spans="1:14" s="6" customFormat="1" x14ac:dyDescent="0.25">
      <c r="B81" s="6" t="s">
        <v>172</v>
      </c>
      <c r="C81" s="106">
        <f>D</f>
        <v>-0.46666666670000001</v>
      </c>
      <c r="D81" s="106">
        <f t="array" ref="D81">SUM(AREA*D73:D80)/AREA_G</f>
        <v>-0.59354210795969298</v>
      </c>
      <c r="E81" s="106">
        <f t="array" ref="E81">SUM(AREA*E73:E80)/AREA_G</f>
        <v>-0.6858658598573617</v>
      </c>
      <c r="F81" s="106">
        <f t="array" ref="F81">SUM(AREA*F73:F80)/AREA_G</f>
        <v>-0.62092082707410434</v>
      </c>
      <c r="G81" s="106">
        <f t="array" ref="G81">SUM(AREA*G73:G80)/AREA_G</f>
        <v>-0.46513464451128761</v>
      </c>
      <c r="H81" s="106">
        <f t="array" ref="H81">SUM(AREA*H73:H80)/AREA_G</f>
        <v>-0.43133131621840404</v>
      </c>
      <c r="I81" s="106">
        <f t="array" ref="I81">SUM(AREA*I73:I80)/AREA_G</f>
        <v>-0.37978053457074806</v>
      </c>
      <c r="J81" s="106">
        <f t="array" ref="J81">SUM(AREA*J73:J80)/AREA_G</f>
        <v>-0.27667897127543606</v>
      </c>
      <c r="K81" s="106">
        <f t="array" ref="K81">SUM(AREA*K73:K80)/AREA_G</f>
        <v>-0.17357740798012411</v>
      </c>
      <c r="L81" s="106">
        <f t="array" ref="L81">SUM(AREA*L73:L80)/AREA_G</f>
        <v>-0.17357740798012411</v>
      </c>
      <c r="M81" s="106">
        <f t="array" ref="M81">SUM(AREA*M73:M80)/AREA_G</f>
        <v>-0.17357740798012411</v>
      </c>
      <c r="N81" s="6" t="s">
        <v>51</v>
      </c>
    </row>
    <row r="82" spans="1:14" s="6" customFormat="1" x14ac:dyDescent="0.25">
      <c r="A82" s="78" t="s">
        <v>241</v>
      </c>
      <c r="B82" s="1" t="str">
        <f t="array" ref="B82:B89">R_CODE</f>
        <v>EU</v>
      </c>
      <c r="D82" s="35">
        <f t="array" ref="D82:M89">(IND/LN(2))*LN((NF_0+sfx_b)/NF_0)</f>
        <v>-1.4452085784659612</v>
      </c>
      <c r="E82" s="35">
        <v>-1.2559387935473827</v>
      </c>
      <c r="F82" s="35">
        <v>-1.2529757610534948</v>
      </c>
      <c r="G82" s="35">
        <v>-1.2130627542321322</v>
      </c>
      <c r="H82" s="35">
        <v>-1.2566876397247615</v>
      </c>
      <c r="I82" s="35">
        <v>-1.2218021509699351</v>
      </c>
      <c r="J82" s="35">
        <v>-1.1449860498477733</v>
      </c>
      <c r="K82" s="35">
        <v>-1.0563514970281267</v>
      </c>
      <c r="L82" s="35">
        <v>-1.0563514970281267</v>
      </c>
      <c r="M82" s="35">
        <v>-1.0563514970281267</v>
      </c>
      <c r="N82" s="6" t="str">
        <f>'Base data'!$F$21</f>
        <v>W/m2</v>
      </c>
    </row>
    <row r="83" spans="1:14" s="6" customFormat="1" x14ac:dyDescent="0.25">
      <c r="B83" s="1" t="str">
        <v>US</v>
      </c>
      <c r="D83" s="35">
        <v>-1.2245437685341196</v>
      </c>
      <c r="E83" s="35">
        <v>-1.0444859124731956</v>
      </c>
      <c r="F83" s="35">
        <v>-1.0416910974692446</v>
      </c>
      <c r="G83" s="35">
        <v>-1.0041251399866911</v>
      </c>
      <c r="H83" s="35">
        <v>-1.0451923739206983</v>
      </c>
      <c r="I83" s="35">
        <v>-1.0123374858965757</v>
      </c>
      <c r="J83" s="35">
        <v>-0.94042041077753746</v>
      </c>
      <c r="K83" s="35">
        <v>-0.85824757443935684</v>
      </c>
      <c r="L83" s="35">
        <v>-0.85824757443935684</v>
      </c>
      <c r="M83" s="35">
        <v>-0.85824757443935684</v>
      </c>
      <c r="N83" s="6" t="str">
        <f>'Base data'!$F$21</f>
        <v>W/m2</v>
      </c>
    </row>
    <row r="84" spans="1:14" s="6" customFormat="1" x14ac:dyDescent="0.25">
      <c r="B84" s="1" t="str">
        <v>OT</v>
      </c>
      <c r="D84" s="35">
        <v>-0.5326557567088992</v>
      </c>
      <c r="E84" s="35">
        <v>-0.4156496279584776</v>
      </c>
      <c r="F84" s="35">
        <v>-0.41393566679267135</v>
      </c>
      <c r="G84" s="35">
        <v>-0.39121089857862817</v>
      </c>
      <c r="H84" s="35">
        <v>-0.41608338392114563</v>
      </c>
      <c r="I84" s="35">
        <v>-0.39612881410163564</v>
      </c>
      <c r="J84" s="35">
        <v>-0.35402218051325657</v>
      </c>
      <c r="K84" s="35">
        <v>-0.30859969829229711</v>
      </c>
      <c r="L84" s="35">
        <v>-0.30859969829229711</v>
      </c>
      <c r="M84" s="35">
        <v>-0.30859969829229711</v>
      </c>
      <c r="N84" s="6" t="str">
        <f>'Base data'!$F$21</f>
        <v>W/m2</v>
      </c>
    </row>
    <row r="85" spans="1:14" s="6" customFormat="1" x14ac:dyDescent="0.25">
      <c r="B85" s="1" t="str">
        <v>EE</v>
      </c>
      <c r="D85" s="35">
        <v>-1.2399043794819988</v>
      </c>
      <c r="E85" s="35">
        <v>-1.1777562005834294</v>
      </c>
      <c r="F85" s="35">
        <v>-1.0219570548131718</v>
      </c>
      <c r="G85" s="35">
        <v>-0.74683959270319755</v>
      </c>
      <c r="H85" s="35">
        <v>-0.66343739308919647</v>
      </c>
      <c r="I85" s="35">
        <v>-0.61822223323405678</v>
      </c>
      <c r="J85" s="35">
        <v>-0.51553766736609685</v>
      </c>
      <c r="K85" s="35">
        <v>-0.39053956065773709</v>
      </c>
      <c r="L85" s="35">
        <v>-0.39053956065773709</v>
      </c>
      <c r="M85" s="35">
        <v>-0.39053956065773709</v>
      </c>
      <c r="N85" s="6" t="str">
        <f>'Base data'!$F$21</f>
        <v>W/m2</v>
      </c>
    </row>
    <row r="86" spans="1:14" s="6" customFormat="1" x14ac:dyDescent="0.25">
      <c r="B86" s="1" t="str">
        <v>CA</v>
      </c>
      <c r="D86" s="35">
        <v>-2.1776640197722728</v>
      </c>
      <c r="E86" s="35">
        <v>-2.3210111484701494</v>
      </c>
      <c r="F86" s="35">
        <v>-2.1249914548347544</v>
      </c>
      <c r="G86" s="35">
        <v>-1.7576266364355375</v>
      </c>
      <c r="H86" s="35">
        <v>-1.6106572426354389</v>
      </c>
      <c r="I86" s="35">
        <v>-1.5444175568138061</v>
      </c>
      <c r="J86" s="35">
        <v>-1.383562588340796</v>
      </c>
      <c r="K86" s="35">
        <v>-1.1597612621786404</v>
      </c>
      <c r="L86" s="35">
        <v>-1.1597612621786404</v>
      </c>
      <c r="M86" s="35">
        <v>-1.1597612621786404</v>
      </c>
      <c r="N86" s="6" t="str">
        <f>'Base data'!$F$21</f>
        <v>W/m2</v>
      </c>
    </row>
    <row r="87" spans="1:14" s="6" customFormat="1" x14ac:dyDescent="0.25">
      <c r="B87" s="1" t="str">
        <v>IA</v>
      </c>
      <c r="D87" s="35">
        <v>-1.4566071844240547</v>
      </c>
      <c r="E87" s="35">
        <v>-1.5924801354610341</v>
      </c>
      <c r="F87" s="35">
        <v>-1.4071522242245933</v>
      </c>
      <c r="G87" s="35">
        <v>-1.0716302037891621</v>
      </c>
      <c r="H87" s="35">
        <v>-0.94343375248216443</v>
      </c>
      <c r="I87" s="35">
        <v>-0.88710099192583736</v>
      </c>
      <c r="J87" s="35">
        <v>-0.75465262152990953</v>
      </c>
      <c r="K87" s="35">
        <v>-0.58245651551660438</v>
      </c>
      <c r="L87" s="35">
        <v>-0.58245651551660438</v>
      </c>
      <c r="M87" s="35">
        <v>-0.58245651551660438</v>
      </c>
      <c r="N87" s="6" t="str">
        <f>'Base data'!$F$21</f>
        <v>W/m2</v>
      </c>
    </row>
    <row r="88" spans="1:14" s="6" customFormat="1" x14ac:dyDescent="0.25">
      <c r="B88" s="1" t="str">
        <v>AF</v>
      </c>
      <c r="D88" s="35">
        <v>-1.0072600148682431</v>
      </c>
      <c r="E88" s="35">
        <v>-1.1222425185524367</v>
      </c>
      <c r="F88" s="35">
        <v>-1.3184339669873966</v>
      </c>
      <c r="G88" s="35">
        <v>-1.2931592159711314</v>
      </c>
      <c r="H88" s="35">
        <v>-1.2947644171259791</v>
      </c>
      <c r="I88" s="35">
        <v>-1.2220778383754001</v>
      </c>
      <c r="J88" s="35">
        <v>-1.0416772995076609</v>
      </c>
      <c r="K88" s="35">
        <v>-0.77779853712480496</v>
      </c>
      <c r="L88" s="35">
        <v>-0.77779853712480496</v>
      </c>
      <c r="M88" s="35">
        <v>-0.77779853712480496</v>
      </c>
      <c r="N88" s="6" t="str">
        <f>'Base data'!$F$21</f>
        <v>W/m2</v>
      </c>
    </row>
    <row r="89" spans="1:14" s="6" customFormat="1" x14ac:dyDescent="0.25">
      <c r="B89" s="1" t="str">
        <v>LA</v>
      </c>
      <c r="D89" s="35">
        <v>-0.83839073975814893</v>
      </c>
      <c r="E89" s="35">
        <v>-0.94582916236292292</v>
      </c>
      <c r="F89" s="35">
        <v>-1.049263050960779</v>
      </c>
      <c r="G89" s="35">
        <v>-1.1078490954067532</v>
      </c>
      <c r="H89" s="35">
        <v>-1.1093820441405682</v>
      </c>
      <c r="I89" s="35">
        <v>-1.0401670784904233</v>
      </c>
      <c r="J89" s="35">
        <v>-0.87040098695206192</v>
      </c>
      <c r="K89" s="35">
        <v>-0.62883985295995648</v>
      </c>
      <c r="L89" s="35">
        <v>-0.62883985295995648</v>
      </c>
      <c r="M89" s="35">
        <v>-0.62883985295995648</v>
      </c>
      <c r="N89" s="6" t="str">
        <f>'Base data'!$F$21</f>
        <v>W/m2</v>
      </c>
    </row>
    <row r="90" spans="1:14" s="6" customFormat="1" x14ac:dyDescent="0.25">
      <c r="B90" s="6" t="s">
        <v>172</v>
      </c>
      <c r="D90" s="106">
        <f t="array" ref="D90">SUM(AREA*D82:D89)/AREA_G</f>
        <v>-1.1085254716805573</v>
      </c>
      <c r="E90" s="106">
        <f t="array" ref="E90">SUM(AREA*E82:E89)/AREA_G</f>
        <v>-1.1448204413615934</v>
      </c>
      <c r="F90" s="106">
        <f t="array" ref="F90">SUM(AREA*F82:F89)/AREA_G</f>
        <v>-1.1668486280748593</v>
      </c>
      <c r="G90" s="106">
        <f t="array" ref="G90">SUM(AREA*G82:G89)/AREA_G</f>
        <v>-1.0734119576391092</v>
      </c>
      <c r="H90" s="106">
        <f t="array" ref="H90">SUM(AREA*H82:H89)/AREA_G</f>
        <v>-1.0472786461358834</v>
      </c>
      <c r="I90" s="106">
        <f t="array" ref="I90">SUM(AREA*I82:I89)/AREA_G</f>
        <v>-0.99045310482882898</v>
      </c>
      <c r="J90" s="106">
        <f t="array" ref="J90">SUM(AREA*J82:J89)/AREA_G</f>
        <v>-0.85386881060776787</v>
      </c>
      <c r="K90" s="106">
        <f t="array" ref="K90">SUM(AREA*K82:K89)/AREA_G</f>
        <v>-0.66593031930294155</v>
      </c>
      <c r="L90" s="106">
        <f t="array" ref="L90">SUM(AREA*L82:L89)/AREA_G</f>
        <v>-0.66593031930294155</v>
      </c>
      <c r="M90" s="106">
        <f t="array" ref="M90">SUM(AREA*M82:M89)/AREA_G</f>
        <v>-0.66593031930294155</v>
      </c>
      <c r="N90" s="6" t="s">
        <v>51</v>
      </c>
    </row>
    <row r="91" spans="1:14" x14ac:dyDescent="0.25">
      <c r="A91" t="s">
        <v>99</v>
      </c>
      <c r="B91" t="s">
        <v>100</v>
      </c>
      <c r="C91" s="1" t="str">
        <f t="array" ref="C91:C98">R_CODE</f>
        <v>EU</v>
      </c>
      <c r="D91" s="35">
        <f t="array" ref="D91:M98">fsd_b+fsi_b</f>
        <v>-2.2374756509044036</v>
      </c>
      <c r="E91" s="35">
        <v>-1.8069532129937591</v>
      </c>
      <c r="F91" s="35">
        <v>-1.8008070966241791</v>
      </c>
      <c r="G91" s="35">
        <v>-1.7195723612951166</v>
      </c>
      <c r="H91" s="35">
        <v>-1.8085091094140942</v>
      </c>
      <c r="I91" s="35">
        <v>-1.7371168285765153</v>
      </c>
      <c r="J91" s="35">
        <v>-1.5872871432888487</v>
      </c>
      <c r="K91" s="35">
        <v>-1.4256390063036972</v>
      </c>
      <c r="L91" s="35">
        <v>-1.4256390063036972</v>
      </c>
      <c r="M91" s="35">
        <v>-1.4256390063036972</v>
      </c>
      <c r="N91" s="6" t="str">
        <f>'Base data'!$F$21</f>
        <v>W/m2</v>
      </c>
    </row>
    <row r="92" spans="1:14" x14ac:dyDescent="0.25">
      <c r="C92" s="1" t="str">
        <v>US</v>
      </c>
      <c r="D92" s="35">
        <v>-1.7426482564745449</v>
      </c>
      <c r="E92" s="35">
        <v>-1.4048227907387465</v>
      </c>
      <c r="F92" s="35">
        <v>-1.3999463922652073</v>
      </c>
      <c r="G92" s="35">
        <v>-1.3353580155327887</v>
      </c>
      <c r="H92" s="35">
        <v>-1.4060570241553432</v>
      </c>
      <c r="I92" s="35">
        <v>-1.3493284532831282</v>
      </c>
      <c r="J92" s="35">
        <v>-1.2296640124679052</v>
      </c>
      <c r="K92" s="35">
        <v>-1.0997438104335397</v>
      </c>
      <c r="L92" s="35">
        <v>-1.0997438104335397</v>
      </c>
      <c r="M92" s="35">
        <v>-1.0997438104335397</v>
      </c>
      <c r="N92" s="6" t="str">
        <f>'Base data'!$F$21</f>
        <v>W/m2</v>
      </c>
    </row>
    <row r="93" spans="1:14" x14ac:dyDescent="0.25">
      <c r="C93" s="1" t="str">
        <v>OT</v>
      </c>
      <c r="D93" s="35">
        <v>-0.63961670700850648</v>
      </c>
      <c r="E93" s="35">
        <v>-0.49003997937289928</v>
      </c>
      <c r="F93" s="35">
        <v>-0.48789628221518888</v>
      </c>
      <c r="G93" s="35">
        <v>-0.45959282532031653</v>
      </c>
      <c r="H93" s="35">
        <v>-0.49058269210523398</v>
      </c>
      <c r="I93" s="35">
        <v>-0.46569947977437592</v>
      </c>
      <c r="J93" s="35">
        <v>-0.41373556116330074</v>
      </c>
      <c r="K93" s="35">
        <v>-0.35845579391964516</v>
      </c>
      <c r="L93" s="35">
        <v>-0.35845579391964516</v>
      </c>
      <c r="M93" s="35">
        <v>-0.35845579391964516</v>
      </c>
      <c r="N93" s="6" t="str">
        <f>'Base data'!$F$21</f>
        <v>W/m2</v>
      </c>
    </row>
    <row r="94" spans="1:14" x14ac:dyDescent="0.25">
      <c r="C94" s="1" t="str">
        <v>EE</v>
      </c>
      <c r="D94" s="35">
        <v>-1.7738870338275603</v>
      </c>
      <c r="E94" s="35">
        <v>-1.6500208720059402</v>
      </c>
      <c r="F94" s="35">
        <v>-1.3657978279233982</v>
      </c>
      <c r="G94" s="35">
        <v>-0.933558257106195</v>
      </c>
      <c r="H94" s="35">
        <v>-0.81554116209420768</v>
      </c>
      <c r="I94" s="35">
        <v>-0.75354933604591878</v>
      </c>
      <c r="J94" s="35">
        <v>-0.61731143779166031</v>
      </c>
      <c r="K94" s="35">
        <v>-0.45875999869700212</v>
      </c>
      <c r="L94" s="35">
        <v>-0.45875999869700212</v>
      </c>
      <c r="M94" s="35">
        <v>-0.45875999869700212</v>
      </c>
      <c r="N94" s="6" t="str">
        <f>'Base data'!$F$21</f>
        <v>W/m2</v>
      </c>
    </row>
    <row r="95" spans="1:14" x14ac:dyDescent="0.25">
      <c r="C95" s="1" t="str">
        <v>CA</v>
      </c>
      <c r="D95" s="35">
        <v>-5.1770773149154961</v>
      </c>
      <c r="E95" s="35">
        <v>-6.1860662289491781</v>
      </c>
      <c r="F95" s="35">
        <v>-4.8566059168763385</v>
      </c>
      <c r="G95" s="35">
        <v>-3.1696939771085715</v>
      </c>
      <c r="H95" s="35">
        <v>-2.6893894484480345</v>
      </c>
      <c r="I95" s="35">
        <v>-2.4985234149826976</v>
      </c>
      <c r="J95" s="35">
        <v>-2.0884157512222798</v>
      </c>
      <c r="K95" s="35">
        <v>-1.6153617297727165</v>
      </c>
      <c r="L95" s="35">
        <v>-1.6153617297727165</v>
      </c>
      <c r="M95" s="35">
        <v>-1.6153617297727165</v>
      </c>
      <c r="N95" s="6" t="str">
        <f>'Base data'!$F$21</f>
        <v>W/m2</v>
      </c>
    </row>
    <row r="96" spans="1:14" x14ac:dyDescent="0.25">
      <c r="C96" s="1" t="str">
        <v>IA</v>
      </c>
      <c r="D96" s="35">
        <v>-2.2660855619654576</v>
      </c>
      <c r="E96" s="35">
        <v>-2.6355769706722434</v>
      </c>
      <c r="F96" s="35">
        <v>-2.1443573457670282</v>
      </c>
      <c r="G96" s="35">
        <v>-1.4527173923263559</v>
      </c>
      <c r="H96" s="35">
        <v>-1.2345608196245212</v>
      </c>
      <c r="I96" s="35">
        <v>-1.1445940367569345</v>
      </c>
      <c r="J96" s="35">
        <v>-0.94487762173848699</v>
      </c>
      <c r="K96" s="35">
        <v>-0.70541347110266239</v>
      </c>
      <c r="L96" s="35">
        <v>-0.70541347110266239</v>
      </c>
      <c r="M96" s="35">
        <v>-0.70541347110266239</v>
      </c>
      <c r="N96" s="6" t="str">
        <f>'Base data'!$F$21</f>
        <v>W/m2</v>
      </c>
    </row>
    <row r="97" spans="1:14" x14ac:dyDescent="0.25">
      <c r="C97" s="1" t="str">
        <v>AF</v>
      </c>
      <c r="D97" s="35">
        <v>-1.340681245769608</v>
      </c>
      <c r="E97" s="35">
        <v>-1.544725887758776</v>
      </c>
      <c r="F97" s="35">
        <v>-1.9405371528090254</v>
      </c>
      <c r="G97" s="35">
        <v>-1.8855820207285849</v>
      </c>
      <c r="H97" s="35">
        <v>-1.8890338137702587</v>
      </c>
      <c r="I97" s="35">
        <v>-1.7376724504836147</v>
      </c>
      <c r="J97" s="35">
        <v>-1.3999223425437453</v>
      </c>
      <c r="K97" s="35">
        <v>-0.97869401108875931</v>
      </c>
      <c r="L97" s="35">
        <v>-0.97869401108875931</v>
      </c>
      <c r="M97" s="35">
        <v>-0.97869401108875931</v>
      </c>
      <c r="N97" s="6" t="str">
        <f>'Base data'!$F$21</f>
        <v>W/m2</v>
      </c>
    </row>
    <row r="98" spans="1:14" x14ac:dyDescent="0.25">
      <c r="C98" s="1" t="str">
        <v>LA</v>
      </c>
      <c r="D98" s="35">
        <v>-1.0693335552008378</v>
      </c>
      <c r="E98" s="35">
        <v>-1.2384604939024815</v>
      </c>
      <c r="F98" s="35">
        <v>-1.4131813771679451</v>
      </c>
      <c r="G98" s="35">
        <v>-1.5181882633513841</v>
      </c>
      <c r="H98" s="35">
        <v>-1.521000246201186</v>
      </c>
      <c r="I98" s="35">
        <v>-1.3972915214224249</v>
      </c>
      <c r="J98" s="35">
        <v>-1.1185379116268304</v>
      </c>
      <c r="K98" s="35">
        <v>-0.76798925937749207</v>
      </c>
      <c r="L98" s="35">
        <v>-0.76798925937749207</v>
      </c>
      <c r="M98" s="35">
        <v>-0.76798925937749207</v>
      </c>
      <c r="N98" s="6" t="str">
        <f>'Base data'!$F$21</f>
        <v>W/m2</v>
      </c>
    </row>
    <row r="99" spans="1:14" ht="13" thickBot="1" x14ac:dyDescent="0.3">
      <c r="C99" t="s">
        <v>172</v>
      </c>
      <c r="D99" s="49">
        <f t="array" ref="D99">SUM(AREA*D91:D98)/AREA_G</f>
        <v>-1.7020675796402498</v>
      </c>
      <c r="E99" s="49">
        <f t="array" ref="E99">SUM(AREA*E91:E98)/AREA_G</f>
        <v>-1.8306863012189554</v>
      </c>
      <c r="F99" s="49">
        <f t="array" ref="F99">SUM(AREA*F91:F98)/AREA_G</f>
        <v>-1.7877694551489638</v>
      </c>
      <c r="G99" s="49">
        <f t="array" ref="G99">SUM(AREA*G91:G98)/AREA_G</f>
        <v>-1.5385466021503968</v>
      </c>
      <c r="H99" s="49">
        <f t="array" ref="H99">SUM(AREA*H91:H98)/AREA_G</f>
        <v>-1.4786099623542874</v>
      </c>
      <c r="I99" s="49">
        <f t="array" ref="I99">SUM(AREA*I91:I98)/AREA_G</f>
        <v>-1.3702336393995773</v>
      </c>
      <c r="J99" s="49">
        <f t="array" ref="J99">SUM(AREA*J91:J98)/AREA_G</f>
        <v>-1.1305477818832039</v>
      </c>
      <c r="K99" s="49">
        <f t="array" ref="K99">SUM(AREA*K91:K98)/AREA_G</f>
        <v>-0.83950772728306566</v>
      </c>
      <c r="L99" s="49">
        <f t="array" ref="L99">SUM(AREA*L91:L98)/AREA_G</f>
        <v>-0.83950772728306566</v>
      </c>
      <c r="M99" s="49">
        <f t="array" ref="M99">SUM(AREA*M91:M98)/AREA_G</f>
        <v>-0.83950772728306566</v>
      </c>
      <c r="N99" s="6" t="s">
        <v>51</v>
      </c>
    </row>
    <row r="100" spans="1:14" ht="13" thickTop="1" x14ac:dyDescent="0.25">
      <c r="D100" s="17"/>
      <c r="E100" s="17"/>
      <c r="F100" s="17"/>
      <c r="G100" s="17"/>
      <c r="H100" s="17"/>
      <c r="I100" s="17"/>
      <c r="J100" s="17"/>
      <c r="K100" s="17"/>
      <c r="L100" s="17"/>
      <c r="M100" s="17"/>
      <c r="N100" s="6"/>
    </row>
    <row r="101" spans="1:14" x14ac:dyDescent="0.25">
      <c r="A101" t="s">
        <v>101</v>
      </c>
      <c r="B101" t="s">
        <v>102</v>
      </c>
      <c r="C101" s="1" t="str">
        <f t="array" ref="C101:C108">R_CODE</f>
        <v>EU</v>
      </c>
      <c r="D101" s="39">
        <f t="array" ref="D101:M108">SENS*(1/LN(2))*(ft_b+fs_b)/FSLOPE_CO2</f>
        <v>1.020085102964146</v>
      </c>
      <c r="E101" s="39">
        <v>1.7304381400460358</v>
      </c>
      <c r="F101" s="39">
        <v>2.0328082605524407</v>
      </c>
      <c r="G101" s="39">
        <v>2.3468464429282849</v>
      </c>
      <c r="H101" s="39">
        <v>2.3908114451563254</v>
      </c>
      <c r="I101" s="39">
        <v>2.5138256466214024</v>
      </c>
      <c r="J101" s="39">
        <v>2.627530235410712</v>
      </c>
      <c r="K101" s="39">
        <v>2.7322341696085455</v>
      </c>
      <c r="L101" s="39">
        <v>2.8023737612138948</v>
      </c>
      <c r="M101" s="39">
        <v>3.0869111731750709</v>
      </c>
      <c r="N101" t="str">
        <f>'Base data'!$L$32</f>
        <v>degC</v>
      </c>
    </row>
    <row r="102" spans="1:14" x14ac:dyDescent="0.25">
      <c r="C102" s="1" t="str">
        <v>US</v>
      </c>
      <c r="D102" s="35">
        <v>1.4743755753532142</v>
      </c>
      <c r="E102" s="35">
        <v>2.0996255002137847</v>
      </c>
      <c r="F102" s="35">
        <v>2.4008299198125878</v>
      </c>
      <c r="G102" s="35">
        <v>2.6995854355544631</v>
      </c>
      <c r="H102" s="35">
        <v>2.760294117264285</v>
      </c>
      <c r="I102" s="35">
        <v>2.8698458794987753</v>
      </c>
      <c r="J102" s="35">
        <v>2.9558564009923405</v>
      </c>
      <c r="K102" s="35">
        <v>3.0314315951103539</v>
      </c>
      <c r="L102" s="35">
        <v>3.1015711867157036</v>
      </c>
      <c r="M102" s="35">
        <v>3.3861085986768797</v>
      </c>
      <c r="N102" t="str">
        <f>'Base data'!$L$32</f>
        <v>degC</v>
      </c>
    </row>
    <row r="103" spans="1:14" x14ac:dyDescent="0.25">
      <c r="C103" s="1" t="str">
        <v>OT</v>
      </c>
      <c r="D103" s="35">
        <v>2.4870453048542198</v>
      </c>
      <c r="E103" s="35">
        <v>2.9394680800443127</v>
      </c>
      <c r="F103" s="35">
        <v>3.2381636648743846</v>
      </c>
      <c r="G103" s="35">
        <v>3.503606769947099</v>
      </c>
      <c r="H103" s="35">
        <v>3.6007715674796303</v>
      </c>
      <c r="I103" s="35">
        <v>3.6810867855413374</v>
      </c>
      <c r="J103" s="35">
        <v>3.7049429021670277</v>
      </c>
      <c r="K103" s="35">
        <v>3.7119923057526347</v>
      </c>
      <c r="L103" s="35">
        <v>3.7821318973579836</v>
      </c>
      <c r="M103" s="35">
        <v>4.0666693093191606</v>
      </c>
      <c r="N103" t="str">
        <f>'Base data'!$L$32</f>
        <v>degC</v>
      </c>
    </row>
    <row r="104" spans="1:14" x14ac:dyDescent="0.25">
      <c r="C104" s="1" t="str">
        <v>EE</v>
      </c>
      <c r="D104" s="35">
        <v>1.4456959204264497</v>
      </c>
      <c r="E104" s="35">
        <v>1.8745143737449048</v>
      </c>
      <c r="F104" s="35">
        <v>2.4321809880858463</v>
      </c>
      <c r="G104" s="35">
        <v>3.0684692203169188</v>
      </c>
      <c r="H104" s="35">
        <v>3.3024341300218394</v>
      </c>
      <c r="I104" s="35">
        <v>3.4168179745281648</v>
      </c>
      <c r="J104" s="35">
        <v>3.5180442336584368</v>
      </c>
      <c r="K104" s="35">
        <v>3.619905155599159</v>
      </c>
      <c r="L104" s="35">
        <v>3.6900447472045084</v>
      </c>
      <c r="M104" s="35">
        <v>3.9745821591656849</v>
      </c>
      <c r="N104" t="str">
        <f>'Base data'!$L$32</f>
        <v>degC</v>
      </c>
    </row>
    <row r="105" spans="1:14" x14ac:dyDescent="0.25">
      <c r="C105" s="1" t="str">
        <v>CA</v>
      </c>
      <c r="D105" s="35">
        <v>-1.6787004606726024</v>
      </c>
      <c r="E105" s="35">
        <v>-2.2899320800701788</v>
      </c>
      <c r="F105" s="35">
        <v>-0.77265543285891802</v>
      </c>
      <c r="G105" s="35">
        <v>1.0155207295883097</v>
      </c>
      <c r="H105" s="35">
        <v>1.5820940017757814</v>
      </c>
      <c r="I105" s="35">
        <v>1.8147945062433342</v>
      </c>
      <c r="J105" s="35">
        <v>2.1674547533568886</v>
      </c>
      <c r="K105" s="35">
        <v>2.5580537854222802</v>
      </c>
      <c r="L105" s="35">
        <v>2.62819337702763</v>
      </c>
      <c r="M105" s="35">
        <v>2.9127307889888061</v>
      </c>
      <c r="N105" t="str">
        <f>'Base data'!$L$32</f>
        <v>degC</v>
      </c>
    </row>
    <row r="106" spans="1:14" x14ac:dyDescent="0.25">
      <c r="C106" s="1" t="str">
        <v>IA</v>
      </c>
      <c r="D106" s="35">
        <v>0.99381895408629151</v>
      </c>
      <c r="E106" s="35">
        <v>0.96969634897706392</v>
      </c>
      <c r="F106" s="35">
        <v>1.717402107357723</v>
      </c>
      <c r="G106" s="35">
        <v>2.5918402958896185</v>
      </c>
      <c r="H106" s="35">
        <v>2.9177411233238555</v>
      </c>
      <c r="I106" s="35">
        <v>3.0578081787670892</v>
      </c>
      <c r="J106" s="35">
        <v>3.2173127096583403</v>
      </c>
      <c r="K106" s="35">
        <v>3.3934578655806296</v>
      </c>
      <c r="L106" s="35">
        <v>3.4635974571859793</v>
      </c>
      <c r="M106" s="35">
        <v>3.748134869147155</v>
      </c>
      <c r="N106" t="str">
        <f>'Base data'!$L$32</f>
        <v>degC</v>
      </c>
    </row>
    <row r="107" spans="1:14" x14ac:dyDescent="0.25">
      <c r="C107" s="1" t="str">
        <v>AF</v>
      </c>
      <c r="D107" s="35">
        <v>1.8434129108636517</v>
      </c>
      <c r="E107" s="35">
        <v>1.9711834520382736</v>
      </c>
      <c r="F107" s="35">
        <v>1.9045250774754316</v>
      </c>
      <c r="G107" s="35">
        <v>2.1944365168528024</v>
      </c>
      <c r="H107" s="35">
        <v>2.3168834322921597</v>
      </c>
      <c r="I107" s="35">
        <v>2.5133155420041415</v>
      </c>
      <c r="J107" s="35">
        <v>2.7995458610566</v>
      </c>
      <c r="K107" s="35">
        <v>3.1425648329746481</v>
      </c>
      <c r="L107" s="35">
        <v>3.2127044245799969</v>
      </c>
      <c r="M107" s="35">
        <v>3.4972418365411739</v>
      </c>
      <c r="N107" t="str">
        <f>'Base data'!$L$32</f>
        <v>degC</v>
      </c>
    </row>
    <row r="108" spans="1:14" x14ac:dyDescent="0.25">
      <c r="C108" s="1" t="str">
        <v>LA</v>
      </c>
      <c r="D108" s="35">
        <v>2.0925314356619849</v>
      </c>
      <c r="E108" s="35">
        <v>2.2523591751643344</v>
      </c>
      <c r="F108" s="35">
        <v>2.3886791625764112</v>
      </c>
      <c r="G108" s="35">
        <v>2.5317328861938524</v>
      </c>
      <c r="H108" s="35">
        <v>2.6547671977183431</v>
      </c>
      <c r="I108" s="35">
        <v>2.8258120100576232</v>
      </c>
      <c r="J108" s="35">
        <v>3.0578789030084521</v>
      </c>
      <c r="K108" s="35">
        <v>3.3360083695836567</v>
      </c>
      <c r="L108" s="35">
        <v>3.4061479611890064</v>
      </c>
      <c r="M108" s="35">
        <v>3.6906853731501825</v>
      </c>
      <c r="N108" t="str">
        <f>'Base data'!$L$32</f>
        <v>degC</v>
      </c>
    </row>
    <row r="109" spans="1:14" s="6" customFormat="1" x14ac:dyDescent="0.25">
      <c r="A109" s="6" t="s">
        <v>104</v>
      </c>
      <c r="B109" s="78" t="s">
        <v>224</v>
      </c>
      <c r="D109" s="35">
        <f t="array" ref="D109:M109">EXP(-(YP/FRT))</f>
        <v>0.75147729307528599</v>
      </c>
      <c r="E109" s="35">
        <v>0.75147729307528599</v>
      </c>
      <c r="F109" s="35">
        <v>0.75147729307528599</v>
      </c>
      <c r="G109" s="35">
        <v>0.75147729307528599</v>
      </c>
      <c r="H109" s="35">
        <v>0.75147729307528599</v>
      </c>
      <c r="I109" s="35">
        <v>0.75147729307528599</v>
      </c>
      <c r="J109" s="35">
        <v>0.56471812200775928</v>
      </c>
      <c r="K109" s="35">
        <v>0.56471812200775928</v>
      </c>
      <c r="L109" s="35">
        <v>5.7432619267617349E-2</v>
      </c>
      <c r="M109" s="35">
        <v>5.7432619267617349E-2</v>
      </c>
    </row>
    <row r="110" spans="1:14" s="6" customFormat="1" x14ac:dyDescent="0.25">
      <c r="A110" s="78" t="s">
        <v>204</v>
      </c>
      <c r="B110" s="78" t="s">
        <v>215</v>
      </c>
      <c r="C110" s="1" t="str">
        <f t="array" ref="C110:C117">R_CODE</f>
        <v>EU</v>
      </c>
      <c r="D110" s="35">
        <f t="array" ref="D110:M117">(LAT-LAT_G)*POLE/90</f>
        <v>0.24633509015386196</v>
      </c>
      <c r="E110" s="35">
        <v>0.24633509015386196</v>
      </c>
      <c r="F110" s="35">
        <v>0.24633509015386196</v>
      </c>
      <c r="G110" s="35">
        <v>0.24633509015386196</v>
      </c>
      <c r="H110" s="35">
        <v>0.24633509015386196</v>
      </c>
      <c r="I110" s="35">
        <v>0.24633509015386196</v>
      </c>
      <c r="J110" s="35">
        <v>0.24633509015386196</v>
      </c>
      <c r="K110" s="35">
        <v>0.24633509015386196</v>
      </c>
      <c r="L110" s="35">
        <v>0.24633509015386196</v>
      </c>
      <c r="M110" s="35">
        <v>0.24633509015386196</v>
      </c>
      <c r="N110" t="str">
        <f>'Base data'!$L$32</f>
        <v>degC</v>
      </c>
    </row>
    <row r="111" spans="1:14" s="6" customFormat="1" x14ac:dyDescent="0.25">
      <c r="C111" s="1" t="str">
        <v>US</v>
      </c>
      <c r="D111" s="35">
        <v>0.16300175682052867</v>
      </c>
      <c r="E111" s="35">
        <v>0.16300175682052867</v>
      </c>
      <c r="F111" s="35">
        <v>0.16300175682052867</v>
      </c>
      <c r="G111" s="35">
        <v>0.16300175682052867</v>
      </c>
      <c r="H111" s="35">
        <v>0.16300175682052867</v>
      </c>
      <c r="I111" s="35">
        <v>0.16300175682052867</v>
      </c>
      <c r="J111" s="35">
        <v>0.16300175682052867</v>
      </c>
      <c r="K111" s="35">
        <v>0.16300175682052867</v>
      </c>
      <c r="L111" s="35">
        <v>0.16300175682052867</v>
      </c>
      <c r="M111" s="35">
        <v>0.16300175682052867</v>
      </c>
      <c r="N111" t="str">
        <f>'Base data'!$L$32</f>
        <v>degC</v>
      </c>
    </row>
    <row r="112" spans="1:14" s="6" customFormat="1" x14ac:dyDescent="0.25">
      <c r="C112" s="1" t="str">
        <v>OT</v>
      </c>
      <c r="D112" s="35">
        <v>0.16300175682052867</v>
      </c>
      <c r="E112" s="35">
        <v>0.16300175682052867</v>
      </c>
      <c r="F112" s="35">
        <v>0.16300175682052867</v>
      </c>
      <c r="G112" s="35">
        <v>0.16300175682052867</v>
      </c>
      <c r="H112" s="35">
        <v>0.16300175682052867</v>
      </c>
      <c r="I112" s="35">
        <v>0.16300175682052867</v>
      </c>
      <c r="J112" s="35">
        <v>0.16300175682052867</v>
      </c>
      <c r="K112" s="35">
        <v>0.16300175682052867</v>
      </c>
      <c r="L112" s="35">
        <v>0.16300175682052867</v>
      </c>
      <c r="M112" s="35">
        <v>0.16300175682052867</v>
      </c>
      <c r="N112" t="str">
        <f>'Base data'!$L$32</f>
        <v>degC</v>
      </c>
    </row>
    <row r="113" spans="1:14" s="6" customFormat="1" x14ac:dyDescent="0.25">
      <c r="C113" s="1" t="str">
        <v>EE</v>
      </c>
      <c r="D113" s="35">
        <v>0.41300175682052864</v>
      </c>
      <c r="E113" s="35">
        <v>0.41300175682052864</v>
      </c>
      <c r="F113" s="35">
        <v>0.41300175682052864</v>
      </c>
      <c r="G113" s="35">
        <v>0.41300175682052864</v>
      </c>
      <c r="H113" s="35">
        <v>0.41300175682052864</v>
      </c>
      <c r="I113" s="35">
        <v>0.41300175682052864</v>
      </c>
      <c r="J113" s="35">
        <v>0.41300175682052864</v>
      </c>
      <c r="K113" s="35">
        <v>0.41300175682052864</v>
      </c>
      <c r="L113" s="35">
        <v>0.41300175682052864</v>
      </c>
      <c r="M113" s="35">
        <v>0.41300175682052864</v>
      </c>
      <c r="N113" t="str">
        <f>'Base data'!$L$32</f>
        <v>degC</v>
      </c>
    </row>
    <row r="114" spans="1:14" s="6" customFormat="1" x14ac:dyDescent="0.25">
      <c r="C114" s="1" t="str">
        <v>CA</v>
      </c>
      <c r="D114" s="35">
        <v>-3.6649098461380091E-3</v>
      </c>
      <c r="E114" s="35">
        <v>-3.6649098461380091E-3</v>
      </c>
      <c r="F114" s="35">
        <v>-3.6649098461380091E-3</v>
      </c>
      <c r="G114" s="35">
        <v>-3.6649098461380091E-3</v>
      </c>
      <c r="H114" s="35">
        <v>-3.6649098461380091E-3</v>
      </c>
      <c r="I114" s="35">
        <v>-3.6649098461380091E-3</v>
      </c>
      <c r="J114" s="35">
        <v>-3.6649098461380091E-3</v>
      </c>
      <c r="K114" s="35">
        <v>-3.6649098461380091E-3</v>
      </c>
      <c r="L114" s="35">
        <v>-3.6649098461380091E-3</v>
      </c>
      <c r="M114" s="35">
        <v>-3.6649098461380091E-3</v>
      </c>
      <c r="N114" t="str">
        <f>'Base data'!$L$32</f>
        <v>degC</v>
      </c>
    </row>
    <row r="115" spans="1:14" s="6" customFormat="1" x14ac:dyDescent="0.25">
      <c r="C115" s="1" t="str">
        <v>IA</v>
      </c>
      <c r="D115" s="35">
        <v>-0.25366490984613804</v>
      </c>
      <c r="E115" s="35">
        <v>-0.25366490984613804</v>
      </c>
      <c r="F115" s="35">
        <v>-0.25366490984613804</v>
      </c>
      <c r="G115" s="35">
        <v>-0.25366490984613804</v>
      </c>
      <c r="H115" s="35">
        <v>-0.25366490984613804</v>
      </c>
      <c r="I115" s="35">
        <v>-0.25366490984613804</v>
      </c>
      <c r="J115" s="35">
        <v>-0.25366490984613804</v>
      </c>
      <c r="K115" s="35">
        <v>-0.25366490984613804</v>
      </c>
      <c r="L115" s="35">
        <v>-0.25366490984613804</v>
      </c>
      <c r="M115" s="35">
        <v>-0.25366490984613804</v>
      </c>
      <c r="N115" t="str">
        <f>'Base data'!$L$32</f>
        <v>degC</v>
      </c>
    </row>
    <row r="116" spans="1:14" s="6" customFormat="1" x14ac:dyDescent="0.25">
      <c r="C116" s="1" t="str">
        <v>AF</v>
      </c>
      <c r="D116" s="35">
        <v>-0.17033157651280467</v>
      </c>
      <c r="E116" s="35">
        <v>-0.17033157651280467</v>
      </c>
      <c r="F116" s="35">
        <v>-0.17033157651280467</v>
      </c>
      <c r="G116" s="35">
        <v>-0.17033157651280467</v>
      </c>
      <c r="H116" s="35">
        <v>-0.17033157651280467</v>
      </c>
      <c r="I116" s="35">
        <v>-0.17033157651280467</v>
      </c>
      <c r="J116" s="35">
        <v>-0.17033157651280467</v>
      </c>
      <c r="K116" s="35">
        <v>-0.17033157651280467</v>
      </c>
      <c r="L116" s="35">
        <v>-0.17033157651280467</v>
      </c>
      <c r="M116" s="35">
        <v>-0.17033157651280467</v>
      </c>
      <c r="N116" t="str">
        <f>'Base data'!$L$32</f>
        <v>degC</v>
      </c>
    </row>
    <row r="117" spans="1:14" s="6" customFormat="1" x14ac:dyDescent="0.25">
      <c r="C117" s="1" t="str">
        <v>LA</v>
      </c>
      <c r="D117" s="35">
        <v>-0.17033157651280467</v>
      </c>
      <c r="E117" s="35">
        <v>-0.17033157651280467</v>
      </c>
      <c r="F117" s="35">
        <v>-0.17033157651280467</v>
      </c>
      <c r="G117" s="35">
        <v>-0.17033157651280467</v>
      </c>
      <c r="H117" s="35">
        <v>-0.17033157651280467</v>
      </c>
      <c r="I117" s="35">
        <v>-0.17033157651280467</v>
      </c>
      <c r="J117" s="35">
        <v>-0.17033157651280467</v>
      </c>
      <c r="K117" s="35">
        <v>-0.17033157651280467</v>
      </c>
      <c r="L117" s="35">
        <v>-0.17033157651280467</v>
      </c>
      <c r="M117" s="35">
        <v>-0.17033157651280467</v>
      </c>
      <c r="N117" t="str">
        <f>'Base data'!$L$32</f>
        <v>degC</v>
      </c>
    </row>
    <row r="118" spans="1:14" s="6" customFormat="1" x14ac:dyDescent="0.25">
      <c r="A118" s="78" t="s">
        <v>211</v>
      </c>
      <c r="B118" s="78" t="s">
        <v>103</v>
      </c>
      <c r="C118" s="1" t="str">
        <f t="array" ref="C118:C125">R_CODE</f>
        <v>EU</v>
      </c>
      <c r="D118" s="35">
        <f t="array" ref="D118:D125">((RTL_0-RT_ADJ_1)*(1+(OCEAN_PROP/RLO)-OCEAN_PROP))+(et_1_b-((RTL_0-RT_ADJ_1)*(1+(OCEAN_PROP/RLO)-OCEAN_PROP)))*(1-EXPFT)</f>
        <v>0.70333016930563041</v>
      </c>
      <c r="E118" s="35">
        <f t="array" ref="E118:M125">rt_b+(et_not_1_b-rt_b)*(1-EXPFT_NOT_1)</f>
        <v>0.95858982249798586</v>
      </c>
      <c r="F118" s="35">
        <v>1.2255574965517173</v>
      </c>
      <c r="G118" s="35">
        <v>1.5042232607499824</v>
      </c>
      <c r="H118" s="35">
        <v>1.7245605562661142</v>
      </c>
      <c r="I118" s="35">
        <v>1.9207108530023893</v>
      </c>
      <c r="J118" s="35">
        <v>2.2283765211783999</v>
      </c>
      <c r="K118" s="35">
        <v>2.4476966246278278</v>
      </c>
      <c r="L118" s="35">
        <v>2.7820037242654188</v>
      </c>
      <c r="M118" s="35">
        <v>3.0693995397499823</v>
      </c>
      <c r="N118" t="str">
        <f>'Base data'!$L$32</f>
        <v>degC</v>
      </c>
    </row>
    <row r="119" spans="1:14" s="6" customFormat="1" x14ac:dyDescent="0.25">
      <c r="C119" s="1" t="str">
        <v>US</v>
      </c>
      <c r="D119" s="35">
        <v>0.86596816731797499</v>
      </c>
      <c r="E119" s="35">
        <v>1.1725600271067647</v>
      </c>
      <c r="F119" s="35">
        <v>1.4778129856761439</v>
      </c>
      <c r="G119" s="35">
        <v>1.7814511821659433</v>
      </c>
      <c r="H119" s="35">
        <v>2.0247158780507153</v>
      </c>
      <c r="I119" s="35">
        <v>2.2347498737138745</v>
      </c>
      <c r="J119" s="35">
        <v>2.5486344771401082</v>
      </c>
      <c r="K119" s="35">
        <v>2.7587873133394383</v>
      </c>
      <c r="L119" s="35">
        <v>3.0818842110250055</v>
      </c>
      <c r="M119" s="35">
        <v>3.3686361952489454</v>
      </c>
      <c r="N119" t="str">
        <f>'Base data'!$L$32</f>
        <v>degC</v>
      </c>
    </row>
    <row r="120" spans="1:14" s="6" customFormat="1" x14ac:dyDescent="0.25">
      <c r="C120" s="1" t="str">
        <v>OT</v>
      </c>
      <c r="D120" s="35">
        <v>1.2370071899161381</v>
      </c>
      <c r="E120" s="35">
        <v>1.6601073787642502</v>
      </c>
      <c r="F120" s="35">
        <v>2.0522901986679019</v>
      </c>
      <c r="G120" s="35">
        <v>2.4129753215669028</v>
      </c>
      <c r="H120" s="35">
        <v>2.7081696598761473</v>
      </c>
      <c r="I120" s="35">
        <v>2.9499616575598724</v>
      </c>
      <c r="J120" s="35">
        <v>3.2785913115613941</v>
      </c>
      <c r="K120" s="35">
        <v>3.4672429102366613</v>
      </c>
      <c r="L120" s="35">
        <v>3.7640469980490789</v>
      </c>
      <c r="M120" s="35">
        <v>4.0492889173341</v>
      </c>
      <c r="N120" t="str">
        <f>'Base data'!$L$32</f>
        <v>degC</v>
      </c>
    </row>
    <row r="121" spans="1:14" s="6" customFormat="1" x14ac:dyDescent="0.25">
      <c r="C121" s="1" t="str">
        <v>EE</v>
      </c>
      <c r="D121" s="35">
        <v>0.94836632199330007</v>
      </c>
      <c r="E121" s="35">
        <v>1.1785351428276589</v>
      </c>
      <c r="F121" s="35">
        <v>1.4900946018161447</v>
      </c>
      <c r="G121" s="35">
        <v>1.88235653454722</v>
      </c>
      <c r="H121" s="35">
        <v>2.2352780626177116</v>
      </c>
      <c r="I121" s="35">
        <v>2.5289175598652855</v>
      </c>
      <c r="J121" s="35">
        <v>2.9594664760061868</v>
      </c>
      <c r="K121" s="35">
        <v>3.2469434647581314</v>
      </c>
      <c r="L121" s="35">
        <v>3.6645962799527725</v>
      </c>
      <c r="M121" s="35">
        <v>3.956778858186512</v>
      </c>
      <c r="N121" t="str">
        <f>'Base data'!$L$32</f>
        <v>degC</v>
      </c>
    </row>
    <row r="122" spans="1:14" s="6" customFormat="1" x14ac:dyDescent="0.25">
      <c r="C122" s="1" t="str">
        <v>CA</v>
      </c>
      <c r="D122" s="35">
        <v>-5.6905024530105874E-2</v>
      </c>
      <c r="E122" s="35">
        <v>-0.61186295300904847</v>
      </c>
      <c r="F122" s="35">
        <v>-0.65182353535447557</v>
      </c>
      <c r="G122" s="35">
        <v>-0.23745062525549698</v>
      </c>
      <c r="H122" s="35">
        <v>0.21474753082463549</v>
      </c>
      <c r="I122" s="35">
        <v>0.61239553636239186</v>
      </c>
      <c r="J122" s="35">
        <v>1.2892846327248999</v>
      </c>
      <c r="K122" s="35">
        <v>1.8415568522496395</v>
      </c>
      <c r="L122" s="35">
        <v>2.5830147809980541</v>
      </c>
      <c r="M122" s="35">
        <v>2.8937943350354347</v>
      </c>
      <c r="N122" t="str">
        <f>'Base data'!$L$32</f>
        <v>degC</v>
      </c>
    </row>
    <row r="123" spans="1:14" s="6" customFormat="1" x14ac:dyDescent="0.25">
      <c r="C123" s="1" t="str">
        <v>IA</v>
      </c>
      <c r="D123" s="35">
        <v>0.87585383518880133</v>
      </c>
      <c r="E123" s="35">
        <v>0.89917583074008012</v>
      </c>
      <c r="F123" s="35">
        <v>1.1025236398820266</v>
      </c>
      <c r="G123" s="35">
        <v>1.4726526467010965</v>
      </c>
      <c r="H123" s="35">
        <v>1.8317899466570959</v>
      </c>
      <c r="I123" s="35">
        <v>2.136483316440124</v>
      </c>
      <c r="J123" s="35">
        <v>2.6069487645093634</v>
      </c>
      <c r="K123" s="35">
        <v>2.9493019230816531</v>
      </c>
      <c r="L123" s="35">
        <v>3.4340601175847296</v>
      </c>
      <c r="M123" s="35">
        <v>3.7300967335190989</v>
      </c>
      <c r="N123" t="str">
        <f>'Base data'!$L$32</f>
        <v>degC</v>
      </c>
    </row>
    <row r="124" spans="1:14" s="6" customFormat="1" x14ac:dyDescent="0.25">
      <c r="C124" s="1" t="str">
        <v>AF</v>
      </c>
      <c r="D124" s="35">
        <v>0.9775769249289552</v>
      </c>
      <c r="E124" s="35">
        <v>1.2245107086642273</v>
      </c>
      <c r="F124" s="35">
        <v>1.3935097203488886</v>
      </c>
      <c r="G124" s="35">
        <v>1.5925582158645808</v>
      </c>
      <c r="H124" s="35">
        <v>1.772569479344992</v>
      </c>
      <c r="I124" s="35">
        <v>1.9566616959808676</v>
      </c>
      <c r="J124" s="35">
        <v>2.3235538982849544</v>
      </c>
      <c r="K124" s="35">
        <v>2.6800545160328646</v>
      </c>
      <c r="L124" s="35">
        <v>3.1821129451794783</v>
      </c>
      <c r="M124" s="35">
        <v>3.4791431589033714</v>
      </c>
      <c r="N124" t="str">
        <f>'Base data'!$L$32</f>
        <v>degC</v>
      </c>
    </row>
    <row r="125" spans="1:14" s="6" customFormat="1" x14ac:dyDescent="0.25">
      <c r="C125" s="1" t="str">
        <v>LA</v>
      </c>
      <c r="D125" s="35">
        <v>1.1290142352083201</v>
      </c>
      <c r="E125" s="35">
        <v>1.4081909604963692</v>
      </c>
      <c r="F125" s="35">
        <v>1.6518645425850473</v>
      </c>
      <c r="G125" s="35">
        <v>1.870531805076072</v>
      </c>
      <c r="H125" s="35">
        <v>2.0654321077216951</v>
      </c>
      <c r="I125" s="35">
        <v>2.2544037793413696</v>
      </c>
      <c r="J125" s="35">
        <v>2.6041419400912251</v>
      </c>
      <c r="K125" s="35">
        <v>2.9227101339601664</v>
      </c>
      <c r="L125" s="35">
        <v>3.3783828605182085</v>
      </c>
      <c r="M125" s="35">
        <v>3.67274902184587</v>
      </c>
      <c r="N125" t="str">
        <f>'Base data'!$L$32</f>
        <v>degC</v>
      </c>
    </row>
    <row r="126" spans="1:14" s="6" customFormat="1" x14ac:dyDescent="0.25">
      <c r="A126" s="78" t="s">
        <v>181</v>
      </c>
      <c r="B126" s="78" t="s">
        <v>212</v>
      </c>
      <c r="C126" s="1" t="str">
        <f t="array" ref="C126:C133">R_CODE</f>
        <v>EU</v>
      </c>
      <c r="D126" s="35">
        <f t="array" ref="D126:M133">(rt_b/(1+(OCEAN_PROP/RLO)-OCEAN_PROP))+RT_ADJ</f>
        <v>1.1318964164672032</v>
      </c>
      <c r="E126" s="35">
        <v>1.4532932325009502</v>
      </c>
      <c r="F126" s="35">
        <v>1.789431589470927</v>
      </c>
      <c r="G126" s="35">
        <v>2.1402989836354176</v>
      </c>
      <c r="H126" s="35">
        <v>2.4177251430253901</v>
      </c>
      <c r="I126" s="35">
        <v>2.664697510364646</v>
      </c>
      <c r="J126" s="35">
        <v>3.052078613950767</v>
      </c>
      <c r="K126" s="35">
        <v>3.3282240292535135</v>
      </c>
      <c r="L126" s="35">
        <v>3.7491492951827556</v>
      </c>
      <c r="M126" s="35">
        <v>4.1110086759465281</v>
      </c>
      <c r="N126" t="str">
        <f>'Base data'!$L$32</f>
        <v>degC</v>
      </c>
    </row>
    <row r="127" spans="1:14" s="6" customFormat="1" x14ac:dyDescent="0.25">
      <c r="C127" s="1" t="str">
        <v>US</v>
      </c>
      <c r="D127" s="35">
        <v>1.2533401956682995</v>
      </c>
      <c r="E127" s="35">
        <v>1.6393692696940609</v>
      </c>
      <c r="F127" s="35">
        <v>2.0237125364113799</v>
      </c>
      <c r="G127" s="35">
        <v>2.4060226600740151</v>
      </c>
      <c r="H127" s="35">
        <v>2.7123166541815213</v>
      </c>
      <c r="I127" s="35">
        <v>2.9767699534818859</v>
      </c>
      <c r="J127" s="35">
        <v>3.3719813034996098</v>
      </c>
      <c r="K127" s="35">
        <v>3.6365842346335344</v>
      </c>
      <c r="L127" s="35">
        <v>4.0433947622192248</v>
      </c>
      <c r="M127" s="35">
        <v>4.40444349658965</v>
      </c>
      <c r="N127" t="str">
        <f>'Base data'!$L$32</f>
        <v>degC</v>
      </c>
    </row>
    <row r="128" spans="1:14" s="6" customFormat="1" x14ac:dyDescent="0.25">
      <c r="C128" s="1" t="str">
        <v>OT</v>
      </c>
      <c r="D128" s="35">
        <v>1.7205145375430788</v>
      </c>
      <c r="E128" s="35">
        <v>2.2532389687581755</v>
      </c>
      <c r="F128" s="35">
        <v>2.7470354150190563</v>
      </c>
      <c r="G128" s="35">
        <v>3.2011731866594642</v>
      </c>
      <c r="H128" s="35">
        <v>3.5728516687746361</v>
      </c>
      <c r="I128" s="35">
        <v>3.8772913921155894</v>
      </c>
      <c r="J128" s="35">
        <v>4.2910681998853963</v>
      </c>
      <c r="K128" s="35">
        <v>4.5285989745128177</v>
      </c>
      <c r="L128" s="35">
        <v>4.9023042883597636</v>
      </c>
      <c r="M128" s="35">
        <v>5.2614517035937602</v>
      </c>
      <c r="N128" t="str">
        <f>'Base data'!$L$32</f>
        <v>degC</v>
      </c>
    </row>
    <row r="129" spans="1:24" s="6" customFormat="1" x14ac:dyDescent="0.25">
      <c r="C129" s="1" t="str">
        <v>EE</v>
      </c>
      <c r="D129" s="35">
        <v>1.6070875142457062</v>
      </c>
      <c r="E129" s="35">
        <v>1.8968925235421004</v>
      </c>
      <c r="F129" s="35">
        <v>2.2891762897847747</v>
      </c>
      <c r="G129" s="35">
        <v>2.7830723468165841</v>
      </c>
      <c r="H129" s="35">
        <v>3.2274349948616514</v>
      </c>
      <c r="I129" s="35">
        <v>3.5971557803318204</v>
      </c>
      <c r="J129" s="35">
        <v>4.1392588861845496</v>
      </c>
      <c r="K129" s="35">
        <v>4.501220472014249</v>
      </c>
      <c r="L129" s="35">
        <v>5.0270861281504171</v>
      </c>
      <c r="M129" s="35">
        <v>5.3949725103907396</v>
      </c>
      <c r="N129" t="str">
        <f>'Base data'!$L$32</f>
        <v>degC</v>
      </c>
    </row>
    <row r="130" spans="1:24" s="6" customFormat="1" x14ac:dyDescent="0.25">
      <c r="C130" s="1" t="str">
        <v>CA</v>
      </c>
      <c r="D130" s="35">
        <v>-7.5313889508882542E-2</v>
      </c>
      <c r="E130" s="35">
        <v>-0.77406008388456937</v>
      </c>
      <c r="F130" s="35">
        <v>-0.82437435710422469</v>
      </c>
      <c r="G130" s="35">
        <v>-0.30263842159352711</v>
      </c>
      <c r="H130" s="35">
        <v>0.26672319025104485</v>
      </c>
      <c r="I130" s="35">
        <v>0.76740083861287434</v>
      </c>
      <c r="J130" s="35">
        <v>1.6196702735122923</v>
      </c>
      <c r="K130" s="35">
        <v>2.3150348981965729</v>
      </c>
      <c r="L130" s="35">
        <v>3.2486027948164917</v>
      </c>
      <c r="M130" s="35">
        <v>3.6399045846090718</v>
      </c>
      <c r="N130" t="str">
        <f>'Base data'!$L$32</f>
        <v>degC</v>
      </c>
    </row>
    <row r="131" spans="1:24" s="6" customFormat="1" x14ac:dyDescent="0.25">
      <c r="C131" s="1" t="str">
        <v>IA</v>
      </c>
      <c r="D131" s="35">
        <v>0.84912054966594597</v>
      </c>
      <c r="E131" s="35">
        <v>0.87848521822986414</v>
      </c>
      <c r="F131" s="35">
        <v>1.1345199561459656</v>
      </c>
      <c r="G131" s="35">
        <v>1.6005484993397423</v>
      </c>
      <c r="H131" s="35">
        <v>2.0527374108315004</v>
      </c>
      <c r="I131" s="35">
        <v>2.4363761006524229</v>
      </c>
      <c r="J131" s="35">
        <v>3.0287380159504886</v>
      </c>
      <c r="K131" s="35">
        <v>3.4597940553525106</v>
      </c>
      <c r="L131" s="35">
        <v>4.0701519333448894</v>
      </c>
      <c r="M131" s="35">
        <v>4.4428909251941544</v>
      </c>
      <c r="N131" t="str">
        <f>'Base data'!$L$32</f>
        <v>degC</v>
      </c>
    </row>
    <row r="132" spans="1:24" s="6" customFormat="1" x14ac:dyDescent="0.25">
      <c r="C132" s="1" t="str">
        <v>AF</v>
      </c>
      <c r="D132" s="35">
        <v>1.0605331808856704</v>
      </c>
      <c r="E132" s="35">
        <v>1.3714469146901913</v>
      </c>
      <c r="F132" s="35">
        <v>1.5842331642561169</v>
      </c>
      <c r="G132" s="35">
        <v>1.8348546467151667</v>
      </c>
      <c r="H132" s="35">
        <v>2.0615063960584847</v>
      </c>
      <c r="I132" s="35">
        <v>2.2932964637147277</v>
      </c>
      <c r="J132" s="35">
        <v>2.7552495541206121</v>
      </c>
      <c r="K132" s="35">
        <v>3.2041186253792016</v>
      </c>
      <c r="L132" s="35">
        <v>3.8362591872447718</v>
      </c>
      <c r="M132" s="35">
        <v>4.2102492156835538</v>
      </c>
      <c r="N132" t="str">
        <f>'Base data'!$L$32</f>
        <v>degC</v>
      </c>
    </row>
    <row r="133" spans="1:24" s="6" customFormat="1" x14ac:dyDescent="0.25">
      <c r="C133" s="1" t="str">
        <v>LA</v>
      </c>
      <c r="D133" s="35">
        <v>1.2512075344068878</v>
      </c>
      <c r="E133" s="35">
        <v>1.6027182784518623</v>
      </c>
      <c r="F133" s="35">
        <v>1.9095271001962946</v>
      </c>
      <c r="G133" s="35">
        <v>2.1848505250168673</v>
      </c>
      <c r="H133" s="35">
        <v>2.4302490277998872</v>
      </c>
      <c r="I133" s="35">
        <v>2.6681828055025871</v>
      </c>
      <c r="J133" s="35">
        <v>3.1085372834027738</v>
      </c>
      <c r="K133" s="35">
        <v>3.5096457308938613</v>
      </c>
      <c r="L133" s="35">
        <v>4.0833821660789766</v>
      </c>
      <c r="M133" s="35">
        <v>4.4540178925464611</v>
      </c>
      <c r="N133" t="str">
        <f>'Base data'!$L$32</f>
        <v>degC</v>
      </c>
    </row>
    <row r="134" spans="1:24" s="6" customFormat="1" x14ac:dyDescent="0.25">
      <c r="A134" s="78" t="s">
        <v>213</v>
      </c>
      <c r="B134" s="78" t="s">
        <v>225</v>
      </c>
      <c r="C134" s="106">
        <f>RTL_G_0</f>
        <v>0.92582701391906475</v>
      </c>
      <c r="D134" s="106">
        <f t="array" ref="D134">SUM((AREA*D126:D133)/AREA_G)</f>
        <v>1.1687492591255535</v>
      </c>
      <c r="E134" s="106">
        <f t="array" ref="E134">SUM((AREA*E126:E133)/AREA_G)</f>
        <v>1.4129494023792142</v>
      </c>
      <c r="F134" s="106">
        <f t="array" ref="F134">SUM((AREA*F126:F133)/AREA_G)</f>
        <v>1.7016397072065756</v>
      </c>
      <c r="G134" s="106">
        <f t="array" ref="G134">SUM((AREA*G126:G133)/AREA_G)</f>
        <v>2.0651105909421452</v>
      </c>
      <c r="H134" s="106">
        <f t="array" ref="H134">SUM((AREA*H126:H133)/AREA_G)</f>
        <v>2.3947763307026309</v>
      </c>
      <c r="I134" s="106">
        <f t="array" ref="I134">SUM((AREA*I126:I133)/AREA_G)</f>
        <v>2.6916303314298471</v>
      </c>
      <c r="J134" s="106">
        <f t="array" ref="J134">SUM((AREA*J126:J133)/AREA_G)</f>
        <v>3.189877835979936</v>
      </c>
      <c r="K134" s="106">
        <f t="array" ref="K134">SUM((AREA*K126:K133)/AREA_G)</f>
        <v>3.5937369190356678</v>
      </c>
      <c r="L134" s="106">
        <f t="array" ref="L134">SUM((AREA*L126:L133)/AREA_G)</f>
        <v>4.1708369716800373</v>
      </c>
      <c r="M134" s="106">
        <f t="array" ref="M134">SUM((AREA*M126:M133)/AREA_G)</f>
        <v>4.5416658795084217</v>
      </c>
      <c r="N134" t="str">
        <f>'Base data'!$L$32</f>
        <v>degC</v>
      </c>
      <c r="O134" s="6">
        <f t="shared" ref="O134:X134" si="7">D134</f>
        <v>1.1687492591255535</v>
      </c>
      <c r="P134" s="6">
        <f t="shared" si="7"/>
        <v>1.4129494023792142</v>
      </c>
      <c r="Q134" s="6">
        <f t="shared" si="7"/>
        <v>1.7016397072065756</v>
      </c>
      <c r="R134" s="6">
        <f t="shared" si="7"/>
        <v>2.0651105909421452</v>
      </c>
      <c r="S134" s="6">
        <f t="shared" si="7"/>
        <v>2.3947763307026309</v>
      </c>
      <c r="T134" s="6">
        <f t="shared" si="7"/>
        <v>2.6916303314298471</v>
      </c>
      <c r="U134" s="6">
        <f t="shared" si="7"/>
        <v>3.189877835979936</v>
      </c>
      <c r="V134" s="6">
        <f t="shared" si="7"/>
        <v>3.5937369190356678</v>
      </c>
      <c r="W134" s="6">
        <f t="shared" si="7"/>
        <v>4.1708369716800373</v>
      </c>
      <c r="X134" s="6">
        <f t="shared" si="7"/>
        <v>4.5416658795084217</v>
      </c>
    </row>
    <row r="135" spans="1:24" s="6" customFormat="1" x14ac:dyDescent="0.25">
      <c r="A135" s="78" t="s">
        <v>214</v>
      </c>
      <c r="B135" s="78" t="s">
        <v>226</v>
      </c>
      <c r="C135" s="62">
        <f>RTL_G_0/RLO</f>
        <v>0.6613050099421891</v>
      </c>
      <c r="D135" s="35">
        <f t="array" ref="D135:M135">rtl_g_b/RLO</f>
        <v>0.83482089937539539</v>
      </c>
      <c r="E135" s="35">
        <v>1.0092495731280102</v>
      </c>
      <c r="F135" s="35">
        <v>1.2154569337189827</v>
      </c>
      <c r="G135" s="35">
        <v>1.4750789935301039</v>
      </c>
      <c r="H135" s="35">
        <v>1.7105545219304508</v>
      </c>
      <c r="I135" s="35">
        <v>1.9225930938784623</v>
      </c>
      <c r="J135" s="35">
        <v>2.2784841685570973</v>
      </c>
      <c r="K135" s="35">
        <v>2.5669549421683344</v>
      </c>
      <c r="L135" s="35">
        <v>2.9791692654857411</v>
      </c>
      <c r="M135" s="35">
        <v>3.2440470567917301</v>
      </c>
      <c r="N135" t="str">
        <f>'Base data'!$L$32</f>
        <v>degC</v>
      </c>
    </row>
    <row r="136" spans="1:24" s="6" customFormat="1" x14ac:dyDescent="0.25">
      <c r="A136" s="6" t="s">
        <v>105</v>
      </c>
      <c r="B136" s="78" t="s">
        <v>227</v>
      </c>
      <c r="C136" s="106">
        <f>OCEAN_PROP*RTO_G_0+(1-OCEAN_PROP)*RTL_G_0</f>
        <v>0.73530996792538239</v>
      </c>
      <c r="D136" s="106">
        <f t="array" ref="D136:M136">OCEAN_PROP*rto_g_b+(1-OCEAN_PROP)*rtl_g_b</f>
        <v>0.92824357824965431</v>
      </c>
      <c r="E136" s="106">
        <v>1.1221921202598146</v>
      </c>
      <c r="F136" s="106">
        <v>1.3514756209479173</v>
      </c>
      <c r="G136" s="106">
        <v>1.6401513236907803</v>
      </c>
      <c r="H136" s="106">
        <v>1.9019783182426708</v>
      </c>
      <c r="I136" s="106">
        <v>2.1377455862869068</v>
      </c>
      <c r="J136" s="106">
        <v>2.5334635239595</v>
      </c>
      <c r="K136" s="106">
        <v>2.8542163265279124</v>
      </c>
      <c r="L136" s="106">
        <v>3.3125605040253774</v>
      </c>
      <c r="M136" s="106">
        <v>3.6070800937777361</v>
      </c>
      <c r="N136" t="str">
        <f>'Base data'!$L$32</f>
        <v>degC</v>
      </c>
      <c r="O136" s="6">
        <f t="shared" ref="O136:X136" si="8">D136</f>
        <v>0.92824357824965431</v>
      </c>
      <c r="P136" s="6">
        <f t="shared" si="8"/>
        <v>1.1221921202598146</v>
      </c>
      <c r="Q136" s="6">
        <f t="shared" si="8"/>
        <v>1.3514756209479173</v>
      </c>
      <c r="R136" s="6">
        <f t="shared" si="8"/>
        <v>1.6401513236907803</v>
      </c>
      <c r="S136" s="6">
        <f t="shared" si="8"/>
        <v>1.9019783182426708</v>
      </c>
      <c r="T136" s="6">
        <f t="shared" si="8"/>
        <v>2.1377455862869068</v>
      </c>
      <c r="U136" s="6">
        <f t="shared" si="8"/>
        <v>2.5334635239595</v>
      </c>
      <c r="V136" s="6">
        <f t="shared" si="8"/>
        <v>2.8542163265279124</v>
      </c>
      <c r="W136" s="6">
        <f t="shared" si="8"/>
        <v>3.3125605040253774</v>
      </c>
      <c r="X136" s="6">
        <f t="shared" si="8"/>
        <v>3.6070800937777361</v>
      </c>
    </row>
    <row r="137" spans="1:24" s="6" customFormat="1" x14ac:dyDescent="0.25">
      <c r="A137" s="78" t="s">
        <v>233</v>
      </c>
      <c r="B137" s="78" t="s">
        <v>234</v>
      </c>
      <c r="C137" s="62">
        <f>SLA+SLTEMP*RT_G_0</f>
        <v>2.2745372774922261</v>
      </c>
      <c r="D137" s="35">
        <f t="array" ref="D137:M137">SLA+SLTEMP*rt_g_b</f>
        <v>2.6089555353233198</v>
      </c>
      <c r="E137" s="35">
        <v>2.9451330080762812</v>
      </c>
      <c r="F137" s="35">
        <v>3.3425577425258983</v>
      </c>
      <c r="G137" s="35">
        <v>3.8429289605173023</v>
      </c>
      <c r="H137" s="35">
        <v>4.2967624176533032</v>
      </c>
      <c r="I137" s="35">
        <v>4.7054256821847229</v>
      </c>
      <c r="J137" s="35">
        <v>5.3913367740186455</v>
      </c>
      <c r="K137" s="35">
        <v>5.9473082983636427</v>
      </c>
      <c r="L137" s="35">
        <v>6.741771539206467</v>
      </c>
      <c r="M137" s="35">
        <v>7.252272161345716</v>
      </c>
      <c r="N137" s="3" t="s">
        <v>228</v>
      </c>
    </row>
    <row r="138" spans="1:24" s="6" customFormat="1" x14ac:dyDescent="0.25">
      <c r="A138" s="78" t="s">
        <v>235</v>
      </c>
      <c r="B138" s="78" t="s">
        <v>236</v>
      </c>
      <c r="C138" s="83"/>
      <c r="D138" s="35">
        <f t="array" ref="D138:M138">EXP(-(YP/SLTAU))</f>
        <v>0.99004983374916811</v>
      </c>
      <c r="E138" s="35">
        <v>0.99004983374916811</v>
      </c>
      <c r="F138" s="35">
        <v>0.99004983374916811</v>
      </c>
      <c r="G138" s="35">
        <v>0.99004983374916811</v>
      </c>
      <c r="H138" s="35">
        <v>0.99004983374916811</v>
      </c>
      <c r="I138" s="35">
        <v>0.99004983374916811</v>
      </c>
      <c r="J138" s="35">
        <v>0.98019867330675525</v>
      </c>
      <c r="K138" s="35">
        <v>0.98019867330675525</v>
      </c>
      <c r="L138" s="35">
        <v>0.90483741803595952</v>
      </c>
      <c r="M138" s="35">
        <v>0.90483741803595952</v>
      </c>
      <c r="N138"/>
    </row>
    <row r="139" spans="1:24" s="6" customFormat="1" ht="13" thickBot="1" x14ac:dyDescent="0.3">
      <c r="A139" s="78" t="s">
        <v>237</v>
      </c>
      <c r="B139" s="78" t="s">
        <v>238</v>
      </c>
      <c r="C139" s="49">
        <f>S_0</f>
        <v>0.15</v>
      </c>
      <c r="D139" s="49">
        <f>S_0+(es_b-S_0)*(1-EXPFS_1)</f>
        <v>0.17446701637987036</v>
      </c>
      <c r="E139" s="49">
        <f t="array" ref="E139:M139">s_b+(es_not_1_b-s_b)*(1-EXPFS_NOT_1)</f>
        <v>0.20203560362277567</v>
      </c>
      <c r="F139" s="49">
        <v>0.23328432101927993</v>
      </c>
      <c r="G139" s="49">
        <v>0.26920088528870939</v>
      </c>
      <c r="H139" s="49">
        <v>0.30927579212119238</v>
      </c>
      <c r="I139" s="49">
        <v>0.35301821439090086</v>
      </c>
      <c r="J139" s="49">
        <v>0.45278360617472813</v>
      </c>
      <c r="K139" s="49">
        <v>0.56158248462886085</v>
      </c>
      <c r="L139" s="49">
        <v>1.1497052320883681</v>
      </c>
      <c r="M139" s="49">
        <v>1.7304412576848631</v>
      </c>
      <c r="N139" s="3" t="s">
        <v>228</v>
      </c>
      <c r="O139" s="6">
        <f t="shared" ref="O139:X139" si="9">D139</f>
        <v>0.17446701637987036</v>
      </c>
      <c r="P139" s="6">
        <f t="shared" si="9"/>
        <v>0.20203560362277567</v>
      </c>
      <c r="Q139" s="6">
        <f t="shared" si="9"/>
        <v>0.23328432101927993</v>
      </c>
      <c r="R139" s="6">
        <f t="shared" si="9"/>
        <v>0.26920088528870939</v>
      </c>
      <c r="S139" s="6">
        <f t="shared" si="9"/>
        <v>0.30927579212119238</v>
      </c>
      <c r="T139" s="6">
        <f t="shared" si="9"/>
        <v>0.35301821439090086</v>
      </c>
      <c r="U139" s="6">
        <f t="shared" si="9"/>
        <v>0.45278360617472813</v>
      </c>
      <c r="V139" s="6">
        <f t="shared" si="9"/>
        <v>0.56158248462886085</v>
      </c>
      <c r="W139" s="6">
        <f t="shared" si="9"/>
        <v>1.1497052320883681</v>
      </c>
      <c r="X139" s="6">
        <f t="shared" si="9"/>
        <v>1.7304412576848631</v>
      </c>
    </row>
    <row r="140" spans="1:24" ht="13" thickTop="1" x14ac:dyDescent="0.25"/>
  </sheetData>
  <pageMargins left="0.75" right="0.75" top="1" bottom="1" header="0.5" footer="0.5"/>
  <pageSetup paperSize="9" orientation="portrait" horizontalDpi="4294967293" verticalDpi="4294967293"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140"/>
  <sheetViews>
    <sheetView workbookViewId="0"/>
  </sheetViews>
  <sheetFormatPr defaultRowHeight="12.5" x14ac:dyDescent="0.25"/>
  <cols>
    <col min="1" max="1" width="31.453125" bestFit="1" customWidth="1"/>
    <col min="2" max="2" width="7.54296875" bestFit="1" customWidth="1"/>
    <col min="4" max="4" width="9.7265625" bestFit="1" customWidth="1"/>
    <col min="5" max="5" width="10.26953125" bestFit="1" customWidth="1"/>
    <col min="6" max="6" width="9.81640625" bestFit="1" customWidth="1"/>
    <col min="7" max="13" width="10.54296875" bestFit="1" customWidth="1"/>
    <col min="14" max="14" width="11.54296875" bestFit="1" customWidth="1"/>
    <col min="15" max="24" width="2.26953125" customWidth="1"/>
  </cols>
  <sheetData>
    <row r="1" spans="1:14" ht="13" x14ac:dyDescent="0.3">
      <c r="A1" s="2" t="str">
        <f>MODEL_NAME</f>
        <v>PAGE09</v>
      </c>
      <c r="B1" t="s">
        <v>44</v>
      </c>
      <c r="C1" s="71">
        <f>VERSION</f>
        <v>1.7</v>
      </c>
    </row>
    <row r="2" spans="1:14" ht="13" x14ac:dyDescent="0.3">
      <c r="A2" s="2"/>
    </row>
    <row r="3" spans="1:14" s="3" customFormat="1" x14ac:dyDescent="0.25">
      <c r="A3" s="3" t="s">
        <v>205</v>
      </c>
      <c r="D3" s="60">
        <f>'Climate A'!D3-'Climate B'!D3</f>
        <v>0</v>
      </c>
      <c r="E3" s="3" t="str">
        <f>'Base data'!$C$32</f>
        <v>Km2</v>
      </c>
    </row>
    <row r="4" spans="1:14" s="3" customFormat="1" x14ac:dyDescent="0.25">
      <c r="A4" s="3" t="s">
        <v>207</v>
      </c>
      <c r="D4" s="72">
        <f>'Climate A'!D4-'Climate B'!D4</f>
        <v>0</v>
      </c>
    </row>
    <row r="5" spans="1:14" s="3" customFormat="1" x14ac:dyDescent="0.25">
      <c r="A5" s="3" t="s">
        <v>209</v>
      </c>
      <c r="D5" s="72">
        <f>'Climate A'!D5-'Climate B'!D5</f>
        <v>0</v>
      </c>
    </row>
    <row r="6" spans="1:14" s="3" customFormat="1" ht="13" thickBot="1" x14ac:dyDescent="0.3">
      <c r="A6" s="3" t="s">
        <v>206</v>
      </c>
      <c r="B6" s="3">
        <f>Y_0</f>
        <v>2000</v>
      </c>
      <c r="D6" s="36">
        <f>'Climate A'!D6-'Climate B'!D6</f>
        <v>0</v>
      </c>
      <c r="E6" s="3" t="str">
        <f>'Base data'!$L$32</f>
        <v>degC</v>
      </c>
    </row>
    <row r="7" spans="1:14" ht="13.5" thickTop="1" x14ac:dyDescent="0.3">
      <c r="A7" s="2"/>
    </row>
    <row r="8" spans="1:14" ht="13" x14ac:dyDescent="0.3">
      <c r="A8" s="2"/>
      <c r="D8" t="str">
        <f>'Base data'!B$11</f>
        <v>CO2</v>
      </c>
      <c r="E8" t="str">
        <f>'Base data'!C$11</f>
        <v>CH4</v>
      </c>
      <c r="F8" t="str">
        <f>'Base data'!D$11</f>
        <v>N2O</v>
      </c>
      <c r="G8" t="str">
        <f>GLIN_NAME</f>
        <v>Lin</v>
      </c>
    </row>
    <row r="9" spans="1:14" x14ac:dyDescent="0.25">
      <c r="A9" t="s">
        <v>74</v>
      </c>
      <c r="B9" s="3">
        <f>Y_0</f>
        <v>2000</v>
      </c>
      <c r="C9" t="s">
        <v>66</v>
      </c>
      <c r="D9" s="19">
        <f>'Climate A'!D9-'Climate B'!D9</f>
        <v>0</v>
      </c>
      <c r="E9" s="19">
        <f>'Climate A'!E9-'Climate B'!E9</f>
        <v>0</v>
      </c>
      <c r="F9" s="19">
        <f>'Climate A'!F9-'Climate B'!F9</f>
        <v>0</v>
      </c>
      <c r="G9" s="19">
        <f>'Climate A'!G9-'Climate B'!G9</f>
        <v>0</v>
      </c>
      <c r="H9" t="str">
        <f>'Base data'!$F$12</f>
        <v>ppb</v>
      </c>
    </row>
    <row r="10" spans="1:14" ht="13" thickBot="1" x14ac:dyDescent="0.3">
      <c r="A10" t="s">
        <v>75</v>
      </c>
      <c r="B10" s="3">
        <f>Y_0</f>
        <v>2000</v>
      </c>
      <c r="C10" t="s">
        <v>67</v>
      </c>
      <c r="D10" s="23">
        <f>'Climate A'!D10-'Climate B'!D10</f>
        <v>0</v>
      </c>
      <c r="E10" s="23">
        <f>'Climate A'!E10-'Climate B'!E10</f>
        <v>0</v>
      </c>
      <c r="F10" s="23">
        <f>'Climate A'!F10-'Climate B'!F10</f>
        <v>0</v>
      </c>
      <c r="G10" s="23">
        <f>'Climate A'!G10-'Climate B'!G10</f>
        <v>0</v>
      </c>
      <c r="H10" t="str">
        <f>'Base data'!$F$20</f>
        <v>Mtonnes</v>
      </c>
    </row>
    <row r="11" spans="1:14" ht="13" thickTop="1" x14ac:dyDescent="0.25"/>
    <row r="12" spans="1:14" x14ac:dyDescent="0.25">
      <c r="C12">
        <f>Y_0</f>
        <v>2000</v>
      </c>
      <c r="D12">
        <f t="array" ref="D12:M12">Y</f>
        <v>2010</v>
      </c>
      <c r="E12">
        <v>2020</v>
      </c>
      <c r="F12">
        <v>2030</v>
      </c>
      <c r="G12">
        <v>2040</v>
      </c>
      <c r="H12">
        <v>2050</v>
      </c>
      <c r="I12">
        <v>2060</v>
      </c>
      <c r="J12">
        <v>2080</v>
      </c>
      <c r="K12">
        <v>2100</v>
      </c>
      <c r="L12">
        <v>2200</v>
      </c>
      <c r="M12">
        <v>2300</v>
      </c>
    </row>
    <row r="13" spans="1:14" s="4" customFormat="1" x14ac:dyDescent="0.25">
      <c r="A13" s="4" t="s">
        <v>71</v>
      </c>
      <c r="D13" s="48">
        <f>'Climate A'!D13-'Climate B'!D13</f>
        <v>0</v>
      </c>
      <c r="E13" s="48">
        <f>'Climate A'!E13-'Climate B'!E13</f>
        <v>0</v>
      </c>
      <c r="F13" s="48">
        <f>'Climate A'!F13-'Climate B'!F13</f>
        <v>0</v>
      </c>
      <c r="G13" s="48">
        <f>'Climate A'!G13-'Climate B'!G13</f>
        <v>0</v>
      </c>
      <c r="H13" s="48">
        <f>'Climate A'!H13-'Climate B'!H13</f>
        <v>0</v>
      </c>
      <c r="I13" s="48">
        <f>'Climate A'!I13-'Climate B'!I13</f>
        <v>0</v>
      </c>
      <c r="J13" s="48">
        <f>'Climate A'!J13-'Climate B'!J13</f>
        <v>0</v>
      </c>
      <c r="K13" s="48">
        <f>'Climate A'!K13-'Climate B'!K13</f>
        <v>0</v>
      </c>
      <c r="L13" s="48">
        <f>'Climate A'!L13-'Climate B'!L13</f>
        <v>0</v>
      </c>
      <c r="M13" s="48">
        <f>'Climate A'!M13-'Climate B'!M13</f>
        <v>0</v>
      </c>
      <c r="N13" s="4" t="s">
        <v>47</v>
      </c>
    </row>
    <row r="14" spans="1:14" s="4" customFormat="1" ht="15.5" x14ac:dyDescent="0.4">
      <c r="A14" s="4" t="s">
        <v>77</v>
      </c>
      <c r="B14" s="4" t="s">
        <v>68</v>
      </c>
      <c r="C14" s="38">
        <f>'Climate A'!C14-'Climate B'!C14</f>
        <v>0</v>
      </c>
      <c r="D14" s="38">
        <f>'Climate A'!D14-'Climate B'!D14</f>
        <v>0</v>
      </c>
      <c r="E14" s="38">
        <f>'Climate A'!E14-'Climate B'!E14</f>
        <v>0</v>
      </c>
      <c r="F14" s="38">
        <f>'Climate A'!F14-'Climate B'!F14</f>
        <v>0</v>
      </c>
      <c r="G14" s="38">
        <f>'Climate A'!G14-'Climate B'!G14</f>
        <v>0</v>
      </c>
      <c r="H14" s="38">
        <f>'Climate A'!H14-'Climate B'!H14</f>
        <v>0</v>
      </c>
      <c r="I14" s="38">
        <f>'Climate A'!I14-'Climate B'!I14</f>
        <v>0</v>
      </c>
      <c r="J14" s="38">
        <f>'Climate A'!J14-'Climate B'!J14</f>
        <v>0</v>
      </c>
      <c r="K14" s="38">
        <f>'Climate A'!K14-'Climate B'!K14</f>
        <v>0</v>
      </c>
      <c r="L14" s="38">
        <f>'Climate A'!L14-'Climate B'!L14</f>
        <v>0</v>
      </c>
      <c r="M14" s="38">
        <f>'Climate A'!M14-'Climate B'!M14</f>
        <v>0</v>
      </c>
      <c r="N14" s="4" t="str">
        <f>'Base data'!$F$32</f>
        <v>Mtonne</v>
      </c>
    </row>
    <row r="15" spans="1:14" s="4" customFormat="1" ht="15.5" x14ac:dyDescent="0.4">
      <c r="A15" s="4" t="s">
        <v>79</v>
      </c>
      <c r="B15" s="4" t="s">
        <v>70</v>
      </c>
      <c r="C15" s="43"/>
      <c r="D15" s="38">
        <f>'Climate A'!D15-'Climate B'!D15</f>
        <v>0</v>
      </c>
      <c r="E15" s="38">
        <f>'Climate A'!E15-'Climate B'!E15</f>
        <v>0</v>
      </c>
      <c r="F15" s="38">
        <f>'Climate A'!F15-'Climate B'!F15</f>
        <v>0</v>
      </c>
      <c r="G15" s="38">
        <f>'Climate A'!G15-'Climate B'!G15</f>
        <v>0</v>
      </c>
      <c r="H15" s="38">
        <f>'Climate A'!H15-'Climate B'!H15</f>
        <v>0</v>
      </c>
      <c r="I15" s="38">
        <f>'Climate A'!I15-'Climate B'!I15</f>
        <v>0</v>
      </c>
      <c r="J15" s="38">
        <f>'Climate A'!J15-'Climate B'!J15</f>
        <v>0</v>
      </c>
      <c r="K15" s="38">
        <f>'Climate A'!K15-'Climate B'!K15</f>
        <v>0</v>
      </c>
      <c r="L15" s="38">
        <f>'Climate A'!L15-'Climate B'!L15</f>
        <v>0</v>
      </c>
      <c r="M15" s="38">
        <f>'Climate A'!M15-'Climate B'!M15</f>
        <v>0</v>
      </c>
      <c r="N15" s="4" t="str">
        <f>'Base data'!$F$32</f>
        <v>Mtonne</v>
      </c>
    </row>
    <row r="16" spans="1:14" s="4" customFormat="1" ht="15.5" x14ac:dyDescent="0.4">
      <c r="A16" s="4" t="s">
        <v>81</v>
      </c>
      <c r="B16" s="4" t="s">
        <v>73</v>
      </c>
      <c r="C16" s="38">
        <f>'Climate A'!C16-'Climate B'!C16</f>
        <v>0</v>
      </c>
      <c r="D16" s="38">
        <f>'Climate A'!D16-'Climate B'!D16</f>
        <v>0</v>
      </c>
      <c r="E16" s="38">
        <f>'Climate A'!E16-'Climate B'!E16</f>
        <v>0</v>
      </c>
      <c r="F16" s="38">
        <f>'Climate A'!F16-'Climate B'!F16</f>
        <v>0</v>
      </c>
      <c r="G16" s="38">
        <f>'Climate A'!G16-'Climate B'!G16</f>
        <v>0</v>
      </c>
      <c r="H16" s="38">
        <f>'Climate A'!H16-'Climate B'!H16</f>
        <v>0</v>
      </c>
      <c r="I16" s="38">
        <f>'Climate A'!I16-'Climate B'!I16</f>
        <v>0</v>
      </c>
      <c r="J16" s="38">
        <f>'Climate A'!J16-'Climate B'!J16</f>
        <v>0</v>
      </c>
      <c r="K16" s="38">
        <f>'Climate A'!K16-'Climate B'!K16</f>
        <v>0</v>
      </c>
      <c r="L16" s="38">
        <f>'Climate A'!L16-'Climate B'!L16</f>
        <v>0</v>
      </c>
      <c r="M16" s="38">
        <f>'Climate A'!M16-'Climate B'!M16</f>
        <v>0</v>
      </c>
      <c r="N16" s="4" t="str">
        <f>'Base data'!$F$32</f>
        <v>Mtonne</v>
      </c>
    </row>
    <row r="17" spans="1:24" s="6" customFormat="1" x14ac:dyDescent="0.25">
      <c r="A17" s="6" t="s">
        <v>82</v>
      </c>
      <c r="C17" s="44"/>
      <c r="D17" s="35">
        <f>'Climate A'!D17-'Climate B'!D17</f>
        <v>0</v>
      </c>
      <c r="E17" s="35">
        <f>'Climate A'!E17-'Climate B'!E17</f>
        <v>0</v>
      </c>
      <c r="F17" s="35">
        <f>'Climate A'!F17-'Climate B'!F17</f>
        <v>0</v>
      </c>
      <c r="G17" s="35">
        <f>'Climate A'!G17-'Climate B'!G17</f>
        <v>0</v>
      </c>
      <c r="H17" s="35">
        <f>'Climate A'!H17-'Climate B'!H17</f>
        <v>0</v>
      </c>
      <c r="I17" s="35">
        <f>'Climate A'!I17-'Climate B'!I17</f>
        <v>0</v>
      </c>
      <c r="J17" s="35">
        <f>'Climate A'!J17-'Climate B'!J17</f>
        <v>0</v>
      </c>
      <c r="K17" s="35">
        <f>'Climate A'!K17-'Climate B'!K17</f>
        <v>0</v>
      </c>
      <c r="L17" s="35">
        <f>'Climate A'!L17-'Climate B'!L17</f>
        <v>0</v>
      </c>
      <c r="M17" s="35">
        <f>'Climate A'!M17-'Climate B'!M17</f>
        <v>0</v>
      </c>
    </row>
    <row r="18" spans="1:24" s="6" customFormat="1" x14ac:dyDescent="0.25">
      <c r="A18" s="6" t="s">
        <v>83</v>
      </c>
      <c r="C18" s="44"/>
      <c r="D18" s="35">
        <f>'Climate A'!D18-'Climate B'!D18</f>
        <v>0</v>
      </c>
      <c r="E18" s="35">
        <f>'Climate A'!E18-'Climate B'!E18</f>
        <v>0</v>
      </c>
      <c r="F18" s="35">
        <f>'Climate A'!F18-'Climate B'!F18</f>
        <v>0</v>
      </c>
      <c r="G18" s="35">
        <f>'Climate A'!G18-'Climate B'!G18</f>
        <v>0</v>
      </c>
      <c r="H18" s="35">
        <f>'Climate A'!H18-'Climate B'!H18</f>
        <v>0</v>
      </c>
      <c r="I18" s="35">
        <f>'Climate A'!I18-'Climate B'!I18</f>
        <v>0</v>
      </c>
      <c r="J18" s="35">
        <f>'Climate A'!J18-'Climate B'!J18</f>
        <v>0</v>
      </c>
      <c r="K18" s="35">
        <f>'Climate A'!K18-'Climate B'!K18</f>
        <v>0</v>
      </c>
      <c r="L18" s="35">
        <f>'Climate A'!L18-'Climate B'!L18</f>
        <v>0</v>
      </c>
      <c r="M18" s="35">
        <f>'Climate A'!M18-'Climate B'!M18</f>
        <v>0</v>
      </c>
    </row>
    <row r="19" spans="1:24" s="4" customFormat="1" x14ac:dyDescent="0.25">
      <c r="A19" s="4" t="s">
        <v>84</v>
      </c>
      <c r="C19" s="43"/>
      <c r="D19" s="38">
        <f>'Climate A'!D19-'Climate B'!D19</f>
        <v>0</v>
      </c>
      <c r="E19" s="38">
        <f>'Climate A'!E19-'Climate B'!E19</f>
        <v>0</v>
      </c>
      <c r="F19" s="38">
        <f>'Climate A'!F19-'Climate B'!F19</f>
        <v>0</v>
      </c>
      <c r="G19" s="38">
        <f>'Climate A'!G19-'Climate B'!G19</f>
        <v>0</v>
      </c>
      <c r="H19" s="38">
        <f>'Climate A'!H19-'Climate B'!H19</f>
        <v>0</v>
      </c>
      <c r="I19" s="38">
        <f>'Climate A'!I19-'Climate B'!I19</f>
        <v>0</v>
      </c>
      <c r="J19" s="38">
        <f>'Climate A'!J19-'Climate B'!J19</f>
        <v>0</v>
      </c>
      <c r="K19" s="38">
        <f>'Climate A'!K19-'Climate B'!K19</f>
        <v>0</v>
      </c>
      <c r="L19" s="38">
        <f>'Climate A'!L19-'Climate B'!L19</f>
        <v>0</v>
      </c>
      <c r="M19" s="38">
        <f>'Climate A'!M19-'Climate B'!M19</f>
        <v>0</v>
      </c>
      <c r="N19" s="4" t="str">
        <f>'Base data'!$F$32</f>
        <v>Mtonne</v>
      </c>
    </row>
    <row r="20" spans="1:24" s="4" customFormat="1" x14ac:dyDescent="0.25">
      <c r="A20" s="4" t="s">
        <v>85</v>
      </c>
      <c r="C20" s="43"/>
      <c r="D20" s="38">
        <f>'Climate A'!D20-'Climate B'!D20</f>
        <v>0</v>
      </c>
      <c r="E20" s="38">
        <f>'Climate A'!E20-'Climate B'!E20</f>
        <v>0</v>
      </c>
      <c r="F20" s="38">
        <f>'Climate A'!F20-'Climate B'!F20</f>
        <v>0</v>
      </c>
      <c r="G20" s="38">
        <f>'Climate A'!G20-'Climate B'!G20</f>
        <v>0</v>
      </c>
      <c r="H20" s="38">
        <f>'Climate A'!H20-'Climate B'!H20</f>
        <v>0</v>
      </c>
      <c r="I20" s="38">
        <f>'Climate A'!I20-'Climate B'!I20</f>
        <v>0</v>
      </c>
      <c r="J20" s="38">
        <f>'Climate A'!J20-'Climate B'!J20</f>
        <v>0</v>
      </c>
      <c r="K20" s="38">
        <f>'Climate A'!K20-'Climate B'!K20</f>
        <v>0</v>
      </c>
      <c r="L20" s="38">
        <f>'Climate A'!L20-'Climate B'!L20</f>
        <v>0</v>
      </c>
      <c r="M20" s="38">
        <f>'Climate A'!M20-'Climate B'!M20</f>
        <v>0</v>
      </c>
      <c r="N20" s="4" t="str">
        <f>'Base data'!$F$32</f>
        <v>Mtonne</v>
      </c>
    </row>
    <row r="21" spans="1:24" s="4" customFormat="1" x14ac:dyDescent="0.25">
      <c r="A21" s="4" t="s">
        <v>86</v>
      </c>
      <c r="C21" s="43"/>
      <c r="D21" s="38">
        <f>'Climate A'!D21-'Climate B'!D21</f>
        <v>0</v>
      </c>
      <c r="E21" s="38">
        <f>'Climate A'!E21-'Climate B'!E21</f>
        <v>0</v>
      </c>
      <c r="F21" s="38">
        <f>'Climate A'!F21-'Climate B'!F21</f>
        <v>0</v>
      </c>
      <c r="G21" s="38">
        <f>'Climate A'!G21-'Climate B'!G21</f>
        <v>0</v>
      </c>
      <c r="H21" s="38">
        <f>'Climate A'!H21-'Climate B'!H21</f>
        <v>0</v>
      </c>
      <c r="I21" s="38">
        <f>'Climate A'!I21-'Climate B'!I21</f>
        <v>0</v>
      </c>
      <c r="J21" s="38">
        <f>'Climate A'!J21-'Climate B'!J21</f>
        <v>0</v>
      </c>
      <c r="K21" s="38">
        <f>'Climate A'!K21-'Climate B'!K21</f>
        <v>0</v>
      </c>
      <c r="L21" s="38">
        <f>'Climate A'!L21-'Climate B'!L21</f>
        <v>0</v>
      </c>
      <c r="M21" s="38">
        <f>'Climate A'!M21-'Climate B'!M21</f>
        <v>0</v>
      </c>
      <c r="N21" s="4" t="str">
        <f>'Base data'!$F$32</f>
        <v>Mtonne</v>
      </c>
    </row>
    <row r="22" spans="1:24" s="4" customFormat="1" x14ac:dyDescent="0.25">
      <c r="A22" s="80" t="s">
        <v>203</v>
      </c>
      <c r="C22" s="38">
        <f>'Climate A'!C22-'Climate B'!C22</f>
        <v>0</v>
      </c>
      <c r="D22" s="38">
        <f>'Climate A'!D22-'Climate B'!D22</f>
        <v>0</v>
      </c>
      <c r="E22" s="38">
        <f>'Climate A'!E22-'Climate B'!E22</f>
        <v>0</v>
      </c>
      <c r="F22" s="38">
        <f>'Climate A'!F22-'Climate B'!F22</f>
        <v>0</v>
      </c>
      <c r="G22" s="38">
        <f>'Climate A'!G22-'Climate B'!G22</f>
        <v>0</v>
      </c>
      <c r="H22" s="38">
        <f>'Climate A'!H22-'Climate B'!H22</f>
        <v>0</v>
      </c>
      <c r="I22" s="38">
        <f>'Climate A'!I22-'Climate B'!I22</f>
        <v>0</v>
      </c>
      <c r="J22" s="38">
        <f>'Climate A'!J22-'Climate B'!J22</f>
        <v>0</v>
      </c>
      <c r="K22" s="38">
        <f>'Climate A'!K22-'Climate B'!K22</f>
        <v>0</v>
      </c>
      <c r="L22" s="38">
        <f>'Climate A'!L22-'Climate B'!L22</f>
        <v>0</v>
      </c>
      <c r="M22" s="38">
        <f>'Climate A'!M22-'Climate B'!M22</f>
        <v>0</v>
      </c>
      <c r="N22" s="4" t="str">
        <f>'Base data'!$F$32</f>
        <v>Mtonne</v>
      </c>
    </row>
    <row r="23" spans="1:24" s="4" customFormat="1" x14ac:dyDescent="0.25">
      <c r="A23" s="80" t="s">
        <v>202</v>
      </c>
      <c r="C23" s="58"/>
      <c r="D23" s="38">
        <f>'Climate A'!D23-'Climate B'!D23</f>
        <v>0</v>
      </c>
      <c r="E23" s="38">
        <f>'Climate A'!E23-'Climate B'!E23</f>
        <v>0</v>
      </c>
      <c r="F23" s="38">
        <f>'Climate A'!F23-'Climate B'!F23</f>
        <v>0</v>
      </c>
      <c r="G23" s="38">
        <f>'Climate A'!G23-'Climate B'!G23</f>
        <v>0</v>
      </c>
      <c r="H23" s="38">
        <f>'Climate A'!H23-'Climate B'!H23</f>
        <v>0</v>
      </c>
      <c r="I23" s="38">
        <f>'Climate A'!I23-'Climate B'!I23</f>
        <v>0</v>
      </c>
      <c r="J23" s="38">
        <f>'Climate A'!J23-'Climate B'!J23</f>
        <v>0</v>
      </c>
      <c r="K23" s="38">
        <f>'Climate A'!K23-'Climate B'!K23</f>
        <v>0</v>
      </c>
      <c r="L23" s="38">
        <f>'Climate A'!L23-'Climate B'!L23</f>
        <v>0</v>
      </c>
      <c r="M23" s="38">
        <f>'Climate A'!M23-'Climate B'!M23</f>
        <v>0</v>
      </c>
      <c r="N23" s="4" t="str">
        <f>'Base data'!$F$12</f>
        <v>ppb</v>
      </c>
    </row>
    <row r="24" spans="1:24" s="4" customFormat="1" x14ac:dyDescent="0.25">
      <c r="A24" s="80" t="s">
        <v>490</v>
      </c>
      <c r="B24" s="80" t="s">
        <v>491</v>
      </c>
      <c r="C24" s="81"/>
      <c r="D24" s="35">
        <f>'Climate A'!D24-'Climate B'!D24</f>
        <v>0</v>
      </c>
      <c r="E24" s="35">
        <f>'Climate A'!E24-'Climate B'!E24</f>
        <v>0</v>
      </c>
      <c r="F24" s="35">
        <f>'Climate A'!F24-'Climate B'!F24</f>
        <v>-7.8178994187183548E-4</v>
      </c>
      <c r="G24" s="35">
        <f>'Climate A'!G24-'Climate B'!G24</f>
        <v>-1.4071936344670632E-3</v>
      </c>
      <c r="H24" s="35">
        <f>'Climate A'!H24-'Climate B'!H24</f>
        <v>-1.8293259703163756E-3</v>
      </c>
      <c r="I24" s="35">
        <f>'Climate A'!I24-'Climate B'!I24</f>
        <v>-2.0984074293330934E-3</v>
      </c>
      <c r="J24" s="35">
        <f>'Climate A'!J24-'Climate B'!J24</f>
        <v>-2.2256725842098035E-3</v>
      </c>
      <c r="K24" s="35">
        <f>'Climate A'!K24-'Climate B'!K24</f>
        <v>-2.233367179716339E-3</v>
      </c>
      <c r="L24" s="35">
        <f>'Climate A'!L24-'Climate B'!L24</f>
        <v>-1.9135124928304492E-3</v>
      </c>
      <c r="M24" s="35">
        <f>'Climate A'!M24-'Climate B'!M24</f>
        <v>-8.4687544340766863E-4</v>
      </c>
      <c r="N24" s="80" t="s">
        <v>46</v>
      </c>
    </row>
    <row r="25" spans="1:24" s="4" customFormat="1" x14ac:dyDescent="0.25">
      <c r="A25" s="80" t="s">
        <v>200</v>
      </c>
      <c r="B25" s="80" t="s">
        <v>201</v>
      </c>
      <c r="C25" s="81"/>
      <c r="D25" s="38">
        <f>'Climate A'!D25-'Climate B'!D25</f>
        <v>0</v>
      </c>
      <c r="E25" s="38">
        <f>'Climate A'!E25-'Climate B'!E25</f>
        <v>0</v>
      </c>
      <c r="F25" s="38">
        <f>'Climate A'!F25-'Climate B'!F25</f>
        <v>-1.0873795376810449</v>
      </c>
      <c r="G25" s="38">
        <f>'Climate A'!G25-'Climate B'!G25</f>
        <v>-2.1510877501714276</v>
      </c>
      <c r="H25" s="38">
        <f>'Climate A'!H25-'Climate B'!H25</f>
        <v>-2.9463175708806375</v>
      </c>
      <c r="I25" s="38">
        <f>'Climate A'!I25-'Climate B'!I25</f>
        <v>-3.4508955997771409</v>
      </c>
      <c r="J25" s="38">
        <f>'Climate A'!J25-'Climate B'!J25</f>
        <v>-3.6570508705044631</v>
      </c>
      <c r="K25" s="38">
        <f>'Climate A'!K25-'Climate B'!K25</f>
        <v>-3.6130809543901705</v>
      </c>
      <c r="L25" s="38">
        <f>'Climate A'!L25-'Climate B'!L25</f>
        <v>-3.1210652477311669</v>
      </c>
      <c r="M25" s="38">
        <f>'Climate A'!M25-'Climate B'!M25</f>
        <v>-1.5157235654478427</v>
      </c>
      <c r="N25" s="4" t="str">
        <f>'Base data'!$F$12</f>
        <v>ppb</v>
      </c>
    </row>
    <row r="26" spans="1:24" s="4" customFormat="1" ht="15.5" x14ac:dyDescent="0.4">
      <c r="A26" s="80" t="s">
        <v>87</v>
      </c>
      <c r="B26" s="4" t="s">
        <v>88</v>
      </c>
      <c r="C26" s="54">
        <f>'Climate A'!C26-'Climate B'!C26</f>
        <v>0</v>
      </c>
      <c r="D26" s="54">
        <f>'Climate A'!D26-'Climate B'!D26</f>
        <v>0</v>
      </c>
      <c r="E26" s="54">
        <f>'Climate A'!E26-'Climate B'!E26</f>
        <v>0</v>
      </c>
      <c r="F26" s="54">
        <f>'Climate A'!F26-'Climate B'!F26</f>
        <v>-1.0873795376974158</v>
      </c>
      <c r="G26" s="54">
        <f>'Climate A'!G26-'Climate B'!G26</f>
        <v>-2.1510877501568757</v>
      </c>
      <c r="H26" s="54">
        <f>'Climate A'!H26-'Climate B'!H26</f>
        <v>-2.9463175709242932</v>
      </c>
      <c r="I26" s="54">
        <f>'Climate A'!I26-'Climate B'!I26</f>
        <v>-3.4508955997880548</v>
      </c>
      <c r="J26" s="54">
        <f>'Climate A'!J26-'Climate B'!J26</f>
        <v>-3.6570508704753593</v>
      </c>
      <c r="K26" s="54">
        <f>'Climate A'!K26-'Climate B'!K26</f>
        <v>-3.6130809544119984</v>
      </c>
      <c r="L26" s="54">
        <f>'Climate A'!L26-'Climate B'!L26</f>
        <v>-3.1210652477457188</v>
      </c>
      <c r="M26" s="54">
        <f>'Climate A'!M26-'Climate B'!M26</f>
        <v>-1.5157235654769465</v>
      </c>
      <c r="N26" s="4" t="str">
        <f>'Base data'!$F$12</f>
        <v>ppb</v>
      </c>
      <c r="O26" s="4">
        <f t="shared" ref="O26:X26" si="0">D26/1000</f>
        <v>0</v>
      </c>
      <c r="P26" s="4">
        <f t="shared" si="0"/>
        <v>0</v>
      </c>
      <c r="Q26" s="4">
        <f t="shared" si="0"/>
        <v>-1.0873795376974158E-3</v>
      </c>
      <c r="R26" s="4">
        <f t="shared" si="0"/>
        <v>-2.1510877501568757E-3</v>
      </c>
      <c r="S26" s="4">
        <f t="shared" si="0"/>
        <v>-2.9463175709242935E-3</v>
      </c>
      <c r="T26" s="4">
        <f t="shared" si="0"/>
        <v>-3.450895599788055E-3</v>
      </c>
      <c r="U26" s="4">
        <f t="shared" si="0"/>
        <v>-3.6570508704753591E-3</v>
      </c>
      <c r="V26" s="4">
        <f t="shared" si="0"/>
        <v>-3.6130809544119985E-3</v>
      </c>
      <c r="W26" s="4">
        <f t="shared" si="0"/>
        <v>-3.1210652477457186E-3</v>
      </c>
      <c r="X26" s="4">
        <f t="shared" si="0"/>
        <v>-1.5157235654769466E-3</v>
      </c>
    </row>
    <row r="27" spans="1:24" s="6" customFormat="1" ht="16" thickBot="1" x14ac:dyDescent="0.45">
      <c r="A27" s="6" t="s">
        <v>89</v>
      </c>
      <c r="B27" s="6" t="s">
        <v>90</v>
      </c>
      <c r="C27" s="41">
        <f>'Climate A'!C27-'Climate B'!C27</f>
        <v>0</v>
      </c>
      <c r="D27" s="41">
        <f>'Climate A'!D27-'Climate B'!D27</f>
        <v>0</v>
      </c>
      <c r="E27" s="41">
        <f>'Climate A'!E27-'Climate B'!E27</f>
        <v>0</v>
      </c>
      <c r="F27" s="41">
        <f>'Climate A'!F27-'Climate B'!F27</f>
        <v>-1.3838313774439115E-5</v>
      </c>
      <c r="G27" s="41">
        <f>'Climate A'!G27-'Climate B'!G27</f>
        <v>-2.6242488811334397E-5</v>
      </c>
      <c r="H27" s="41">
        <f>'Climate A'!H27-'Climate B'!H27</f>
        <v>-3.4879327142967043E-5</v>
      </c>
      <c r="I27" s="41">
        <f>'Climate A'!I27-'Climate B'!I27</f>
        <v>-4.0153234018180939E-5</v>
      </c>
      <c r="J27" s="41">
        <f>'Climate A'!J27-'Climate B'!J27</f>
        <v>-4.2232306764589111E-5</v>
      </c>
      <c r="K27" s="41">
        <f>'Climate A'!K27-'Climate B'!K27</f>
        <v>-4.1452134337038871E-5</v>
      </c>
      <c r="L27" s="41">
        <f>'Climate A'!L27-'Climate B'!L27</f>
        <v>-3.531289413016836E-5</v>
      </c>
      <c r="M27" s="41">
        <f>'Climate A'!M27-'Climate B'!M27</f>
        <v>-1.6209718599391465E-5</v>
      </c>
      <c r="N27" s="6" t="str">
        <f>'Base data'!$F$21</f>
        <v>W/m2</v>
      </c>
      <c r="O27" s="6">
        <f t="shared" ref="O27:X27" si="1">D27</f>
        <v>0</v>
      </c>
      <c r="P27" s="6">
        <f t="shared" si="1"/>
        <v>0</v>
      </c>
      <c r="Q27" s="6">
        <f t="shared" si="1"/>
        <v>-1.3838313774439115E-5</v>
      </c>
      <c r="R27" s="6">
        <f t="shared" si="1"/>
        <v>-2.6242488811334397E-5</v>
      </c>
      <c r="S27" s="6">
        <f t="shared" si="1"/>
        <v>-3.4879327142967043E-5</v>
      </c>
      <c r="T27" s="6">
        <f t="shared" si="1"/>
        <v>-4.0153234018180939E-5</v>
      </c>
      <c r="U27" s="6">
        <f t="shared" si="1"/>
        <v>-4.2232306764589111E-5</v>
      </c>
      <c r="V27" s="6">
        <f t="shared" si="1"/>
        <v>-4.1452134337038871E-5</v>
      </c>
      <c r="W27" s="6">
        <f t="shared" si="1"/>
        <v>-3.531289413016836E-5</v>
      </c>
      <c r="X27" s="6">
        <f t="shared" si="1"/>
        <v>-1.6209718599391465E-5</v>
      </c>
    </row>
    <row r="28" spans="1:24" s="6" customFormat="1" ht="13" thickTop="1" x14ac:dyDescent="0.25">
      <c r="C28" s="17"/>
      <c r="D28" s="17"/>
      <c r="E28" s="17"/>
      <c r="F28" s="17"/>
      <c r="G28" s="17"/>
      <c r="H28" s="17"/>
      <c r="I28" s="17"/>
      <c r="J28" s="17"/>
      <c r="K28" s="17"/>
      <c r="L28" s="17"/>
      <c r="M28" s="17"/>
    </row>
    <row r="29" spans="1:24" s="4" customFormat="1" ht="15.5" x14ac:dyDescent="0.4">
      <c r="A29" s="4" t="s">
        <v>76</v>
      </c>
      <c r="B29" s="80" t="s">
        <v>216</v>
      </c>
      <c r="C29" s="20">
        <f>'Climate A'!C29-'Climate B'!C29</f>
        <v>0</v>
      </c>
      <c r="D29" s="20">
        <f>'Climate A'!D29-'Climate B'!D29</f>
        <v>0</v>
      </c>
      <c r="E29" s="37">
        <f>'Climate A'!E29-'Climate B'!E29</f>
        <v>0</v>
      </c>
      <c r="F29" s="37">
        <f>'Climate A'!F29-'Climate B'!F29</f>
        <v>0</v>
      </c>
      <c r="G29" s="37">
        <f>'Climate A'!G29-'Climate B'!G29</f>
        <v>0</v>
      </c>
      <c r="H29" s="37">
        <f>'Climate A'!H29-'Climate B'!H29</f>
        <v>0</v>
      </c>
      <c r="I29" s="37">
        <f>'Climate A'!I29-'Climate B'!I29</f>
        <v>0</v>
      </c>
      <c r="J29" s="37">
        <f>'Climate A'!J29-'Climate B'!J29</f>
        <v>0</v>
      </c>
      <c r="K29" s="37">
        <f>'Climate A'!K29-'Climate B'!K29</f>
        <v>0</v>
      </c>
      <c r="L29" s="37">
        <f>'Climate A'!L29-'Climate B'!L29</f>
        <v>0</v>
      </c>
      <c r="M29" s="37">
        <f>'Climate A'!M29-'Climate B'!M29</f>
        <v>0</v>
      </c>
      <c r="N29" s="4" t="str">
        <f>'Base data'!$G$32</f>
        <v>Mtonne</v>
      </c>
    </row>
    <row r="30" spans="1:24" s="4" customFormat="1" ht="15.5" x14ac:dyDescent="0.4">
      <c r="A30" s="4" t="s">
        <v>78</v>
      </c>
      <c r="B30" s="4" t="s">
        <v>69</v>
      </c>
      <c r="C30" s="38">
        <f>'Climate A'!C30-'Climate B'!C30</f>
        <v>0</v>
      </c>
      <c r="D30" s="38">
        <f>'Climate A'!D30-'Climate B'!D30</f>
        <v>0</v>
      </c>
      <c r="E30" s="38">
        <f>'Climate A'!E30-'Climate B'!E30</f>
        <v>0</v>
      </c>
      <c r="F30" s="38">
        <f>'Climate A'!F30-'Climate B'!F30</f>
        <v>0</v>
      </c>
      <c r="G30" s="38">
        <f>'Climate A'!G30-'Climate B'!G30</f>
        <v>0</v>
      </c>
      <c r="H30" s="38">
        <f>'Climate A'!H30-'Climate B'!H30</f>
        <v>0</v>
      </c>
      <c r="I30" s="38">
        <f>'Climate A'!I30-'Climate B'!I30</f>
        <v>0</v>
      </c>
      <c r="J30" s="38">
        <f>'Climate A'!J30-'Climate B'!J30</f>
        <v>0</v>
      </c>
      <c r="K30" s="38">
        <f>'Climate A'!K30-'Climate B'!K30</f>
        <v>0</v>
      </c>
      <c r="L30" s="38">
        <f>'Climate A'!L30-'Climate B'!L30</f>
        <v>0</v>
      </c>
      <c r="M30" s="38">
        <f>'Climate A'!M30-'Climate B'!M30</f>
        <v>0</v>
      </c>
      <c r="N30" s="4" t="str">
        <f>'Base data'!$G$32</f>
        <v>Mtonne</v>
      </c>
    </row>
    <row r="31" spans="1:24" s="4" customFormat="1" ht="15.5" x14ac:dyDescent="0.4">
      <c r="A31" s="4" t="s">
        <v>80</v>
      </c>
      <c r="B31" s="4" t="s">
        <v>72</v>
      </c>
      <c r="C31" s="43"/>
      <c r="D31" s="38">
        <f>'Climate A'!D31-'Climate B'!D31</f>
        <v>0</v>
      </c>
      <c r="E31" s="38">
        <f>'Climate A'!E31-'Climate B'!E31</f>
        <v>0</v>
      </c>
      <c r="F31" s="38">
        <f>'Climate A'!F31-'Climate B'!F31</f>
        <v>0</v>
      </c>
      <c r="G31" s="38">
        <f>'Climate A'!G31-'Climate B'!G31</f>
        <v>0</v>
      </c>
      <c r="H31" s="38">
        <f>'Climate A'!H31-'Climate B'!H31</f>
        <v>0</v>
      </c>
      <c r="I31" s="38">
        <f>'Climate A'!I31-'Climate B'!I31</f>
        <v>0</v>
      </c>
      <c r="J31" s="38">
        <f>'Climate A'!J31-'Climate B'!J31</f>
        <v>0</v>
      </c>
      <c r="K31" s="38">
        <f>'Climate A'!K31-'Climate B'!K31</f>
        <v>0</v>
      </c>
      <c r="L31" s="38">
        <f>'Climate A'!L31-'Climate B'!L31</f>
        <v>0</v>
      </c>
      <c r="M31" s="38">
        <f>'Climate A'!M31-'Climate B'!M31</f>
        <v>0</v>
      </c>
      <c r="N31" s="4" t="str">
        <f>'Base data'!$G$32</f>
        <v>Mtonne</v>
      </c>
    </row>
    <row r="32" spans="1:24" s="6" customFormat="1" x14ac:dyDescent="0.25">
      <c r="A32" s="6" t="s">
        <v>91</v>
      </c>
      <c r="C32" s="44"/>
      <c r="D32" s="35">
        <f>'Climate A'!D32-'Climate B'!D32</f>
        <v>0</v>
      </c>
      <c r="E32" s="35">
        <f>'Climate A'!E32-'Climate B'!E32</f>
        <v>0</v>
      </c>
      <c r="F32" s="35">
        <f>'Climate A'!F32-'Climate B'!F32</f>
        <v>0</v>
      </c>
      <c r="G32" s="35">
        <f>'Climate A'!G32-'Climate B'!G32</f>
        <v>0</v>
      </c>
      <c r="H32" s="35">
        <f>'Climate A'!H32-'Climate B'!H32</f>
        <v>0</v>
      </c>
      <c r="I32" s="35">
        <f>'Climate A'!I32-'Climate B'!I32</f>
        <v>0</v>
      </c>
      <c r="J32" s="35">
        <f>'Climate A'!J32-'Climate B'!J32</f>
        <v>0</v>
      </c>
      <c r="K32" s="35">
        <f>'Climate A'!K32-'Climate B'!K32</f>
        <v>0</v>
      </c>
      <c r="L32" s="35">
        <f>'Climate A'!L32-'Climate B'!L32</f>
        <v>0</v>
      </c>
      <c r="M32" s="35">
        <f>'Climate A'!M32-'Climate B'!M32</f>
        <v>0</v>
      </c>
    </row>
    <row r="33" spans="1:14" s="4" customFormat="1" x14ac:dyDescent="0.25">
      <c r="A33" s="4" t="s">
        <v>92</v>
      </c>
      <c r="C33" s="43"/>
      <c r="D33" s="38">
        <f>'Climate A'!D33-'Climate B'!D33</f>
        <v>0</v>
      </c>
      <c r="E33" s="38">
        <f>'Climate A'!E33-'Climate B'!E33</f>
        <v>0</v>
      </c>
      <c r="F33" s="38">
        <f>'Climate A'!F33-'Climate B'!F33</f>
        <v>0</v>
      </c>
      <c r="G33" s="38">
        <f>'Climate A'!G33-'Climate B'!G33</f>
        <v>0</v>
      </c>
      <c r="H33" s="38">
        <f>'Climate A'!H33-'Climate B'!H33</f>
        <v>0</v>
      </c>
      <c r="I33" s="38">
        <f>'Climate A'!I33-'Climate B'!I33</f>
        <v>0</v>
      </c>
      <c r="J33" s="38">
        <f>'Climate A'!J33-'Climate B'!J33</f>
        <v>0</v>
      </c>
      <c r="K33" s="38">
        <f>'Climate A'!K33-'Climate B'!K33</f>
        <v>0</v>
      </c>
      <c r="L33" s="38">
        <f>'Climate A'!L33-'Climate B'!L33</f>
        <v>0</v>
      </c>
      <c r="M33" s="38">
        <f>'Climate A'!M33-'Climate B'!M33</f>
        <v>0</v>
      </c>
      <c r="N33" s="4" t="str">
        <f>'Base data'!$G$32</f>
        <v>Mtonne</v>
      </c>
    </row>
    <row r="34" spans="1:14" s="4" customFormat="1" x14ac:dyDescent="0.25">
      <c r="A34" s="4" t="s">
        <v>93</v>
      </c>
      <c r="C34" s="43"/>
      <c r="D34" s="22">
        <f>'Climate A'!D34-'Climate B'!D34</f>
        <v>0</v>
      </c>
      <c r="E34" s="22">
        <f>'Climate A'!E34-'Climate B'!E34</f>
        <v>0</v>
      </c>
      <c r="F34" s="22">
        <f>'Climate A'!F34-'Climate B'!F34</f>
        <v>0</v>
      </c>
      <c r="G34" s="22">
        <f>'Climate A'!G34-'Climate B'!G34</f>
        <v>0</v>
      </c>
      <c r="H34" s="22">
        <f>'Climate A'!H34-'Climate B'!H34</f>
        <v>0</v>
      </c>
      <c r="I34" s="22">
        <f>'Climate A'!I34-'Climate B'!I34</f>
        <v>0</v>
      </c>
      <c r="J34" s="22">
        <f>'Climate A'!J34-'Climate B'!J34</f>
        <v>0</v>
      </c>
      <c r="K34" s="22">
        <f>'Climate A'!K34-'Climate B'!K34</f>
        <v>0</v>
      </c>
      <c r="L34" s="22">
        <f>'Climate A'!L34-'Climate B'!L34</f>
        <v>0</v>
      </c>
      <c r="M34" s="22">
        <f>'Climate A'!M34-'Climate B'!M34</f>
        <v>0</v>
      </c>
      <c r="N34" s="4" t="str">
        <f>'Base data'!$G$32</f>
        <v>Mtonne</v>
      </c>
    </row>
    <row r="35" spans="1:14" s="4" customFormat="1" ht="15.5" x14ac:dyDescent="0.4">
      <c r="A35" s="4" t="s">
        <v>64</v>
      </c>
      <c r="B35" s="4" t="s">
        <v>65</v>
      </c>
      <c r="C35" s="22">
        <f>'Climate A'!C35-'Climate B'!C35</f>
        <v>0</v>
      </c>
      <c r="D35" s="22">
        <f>'Climate A'!D35-'Climate B'!D35</f>
        <v>0</v>
      </c>
      <c r="E35" s="22">
        <f>'Climate A'!E35-'Climate B'!E35</f>
        <v>0</v>
      </c>
      <c r="F35" s="22">
        <f>'Climate A'!F35-'Climate B'!F35</f>
        <v>0</v>
      </c>
      <c r="G35" s="22">
        <f>'Climate A'!G35-'Climate B'!G35</f>
        <v>0</v>
      </c>
      <c r="H35" s="22">
        <f>'Climate A'!H35-'Climate B'!H35</f>
        <v>0</v>
      </c>
      <c r="I35" s="22">
        <f>'Climate A'!I35-'Climate B'!I35</f>
        <v>0</v>
      </c>
      <c r="J35" s="22">
        <f>'Climate A'!J35-'Climate B'!J35</f>
        <v>0</v>
      </c>
      <c r="K35" s="22">
        <f>'Climate A'!K35-'Climate B'!K35</f>
        <v>0</v>
      </c>
      <c r="L35" s="22">
        <f>'Climate A'!L35-'Climate B'!L35</f>
        <v>0</v>
      </c>
      <c r="M35" s="22">
        <f>'Climate A'!M35-'Climate B'!M35</f>
        <v>0</v>
      </c>
      <c r="N35" s="4" t="str">
        <f>'Base data'!$G$32</f>
        <v>Mtonne</v>
      </c>
    </row>
    <row r="36" spans="1:14" s="4" customFormat="1" ht="15.5" x14ac:dyDescent="0.4">
      <c r="A36" s="4" t="s">
        <v>94</v>
      </c>
      <c r="B36" s="4" t="s">
        <v>95</v>
      </c>
      <c r="C36" s="54">
        <f>'Climate A'!C36-'Climate B'!C36</f>
        <v>0</v>
      </c>
      <c r="D36" s="54">
        <f>'Climate A'!D36-'Climate B'!D36</f>
        <v>0</v>
      </c>
      <c r="E36" s="54">
        <f>'Climate A'!E36-'Climate B'!E36</f>
        <v>0</v>
      </c>
      <c r="F36" s="54">
        <f>'Climate A'!F36-'Climate B'!F36</f>
        <v>0</v>
      </c>
      <c r="G36" s="54">
        <f>'Climate A'!G36-'Climate B'!G36</f>
        <v>0</v>
      </c>
      <c r="H36" s="54">
        <f>'Climate A'!H36-'Climate B'!H36</f>
        <v>0</v>
      </c>
      <c r="I36" s="54">
        <f>'Climate A'!I36-'Climate B'!I36</f>
        <v>0</v>
      </c>
      <c r="J36" s="54">
        <f>'Climate A'!J36-'Climate B'!J36</f>
        <v>0</v>
      </c>
      <c r="K36" s="54">
        <f>'Climate A'!K36-'Climate B'!K36</f>
        <v>0</v>
      </c>
      <c r="L36" s="54">
        <f>'Climate A'!L36-'Climate B'!L36</f>
        <v>0</v>
      </c>
      <c r="M36" s="54">
        <f>'Climate A'!M36-'Climate B'!M36</f>
        <v>0</v>
      </c>
      <c r="N36" s="4" t="str">
        <f>'Base data'!$F$19</f>
        <v>ppb</v>
      </c>
    </row>
    <row r="37" spans="1:14" s="6" customFormat="1" ht="13" thickBot="1" x14ac:dyDescent="0.3">
      <c r="A37" s="6" t="s">
        <v>195</v>
      </c>
      <c r="C37" s="49">
        <f>'Climate A'!C37-'Climate B'!C37</f>
        <v>0</v>
      </c>
      <c r="D37" s="49">
        <f>'Climate A'!D37-'Climate B'!D37</f>
        <v>0</v>
      </c>
      <c r="E37" s="49">
        <f>'Climate A'!E37-'Climate B'!E37</f>
        <v>0</v>
      </c>
      <c r="F37" s="49">
        <f>'Climate A'!F37-'Climate B'!F37</f>
        <v>0</v>
      </c>
      <c r="G37" s="49">
        <f>'Climate A'!G37-'Climate B'!G37</f>
        <v>0</v>
      </c>
      <c r="H37" s="49">
        <f>'Climate A'!H37-'Climate B'!H37</f>
        <v>0</v>
      </c>
      <c r="I37" s="49">
        <f>'Climate A'!I37-'Climate B'!I37</f>
        <v>0</v>
      </c>
      <c r="J37" s="49">
        <f>'Climate A'!J37-'Climate B'!J37</f>
        <v>0</v>
      </c>
      <c r="K37" s="49">
        <f>'Climate A'!K37-'Climate B'!K37</f>
        <v>0</v>
      </c>
      <c r="L37" s="49">
        <f>'Climate A'!L37-'Climate B'!L37</f>
        <v>0</v>
      </c>
      <c r="M37" s="49">
        <f>'Climate A'!M37-'Climate B'!M37</f>
        <v>0</v>
      </c>
      <c r="N37" s="6" t="str">
        <f>'Base data'!$F$21</f>
        <v>W/m2</v>
      </c>
    </row>
    <row r="38" spans="1:14" s="6" customFormat="1" ht="13" thickTop="1" x14ac:dyDescent="0.25">
      <c r="C38" s="17"/>
      <c r="D38" s="17"/>
      <c r="E38" s="17"/>
      <c r="F38" s="17"/>
      <c r="G38" s="17"/>
      <c r="H38" s="17"/>
      <c r="I38" s="17"/>
      <c r="J38" s="17"/>
      <c r="K38" s="17"/>
      <c r="L38" s="17"/>
      <c r="M38" s="17"/>
    </row>
    <row r="39" spans="1:14" s="4" customFormat="1" ht="15.5" x14ac:dyDescent="0.4">
      <c r="A39" s="4" t="s">
        <v>184</v>
      </c>
      <c r="B39" s="80" t="s">
        <v>217</v>
      </c>
      <c r="C39" s="20">
        <f>'Climate A'!C39-'Climate B'!C39</f>
        <v>0</v>
      </c>
      <c r="D39" s="20">
        <f>'Climate A'!D39-'Climate B'!D39</f>
        <v>0</v>
      </c>
      <c r="E39" s="37">
        <f>'Climate A'!E39-'Climate B'!E39</f>
        <v>0</v>
      </c>
      <c r="F39" s="37">
        <f>'Climate A'!F39-'Climate B'!F39</f>
        <v>0</v>
      </c>
      <c r="G39" s="37">
        <f>'Climate A'!G39-'Climate B'!G39</f>
        <v>0</v>
      </c>
      <c r="H39" s="37">
        <f>'Climate A'!H39-'Climate B'!H39</f>
        <v>0</v>
      </c>
      <c r="I39" s="37">
        <f>'Climate A'!I39-'Climate B'!I39</f>
        <v>0</v>
      </c>
      <c r="J39" s="37">
        <f>'Climate A'!J39-'Climate B'!J39</f>
        <v>0</v>
      </c>
      <c r="K39" s="37">
        <f>'Climate A'!K39-'Climate B'!K39</f>
        <v>0</v>
      </c>
      <c r="L39" s="37">
        <f>'Climate A'!L39-'Climate B'!L39</f>
        <v>0</v>
      </c>
      <c r="M39" s="37">
        <f>'Climate A'!M39-'Climate B'!M39</f>
        <v>0</v>
      </c>
      <c r="N39" s="4" t="str">
        <f>'Base data'!$G$32</f>
        <v>Mtonne</v>
      </c>
    </row>
    <row r="40" spans="1:14" s="4" customFormat="1" ht="15.5" x14ac:dyDescent="0.4">
      <c r="A40" s="4" t="s">
        <v>185</v>
      </c>
      <c r="B40" s="80" t="s">
        <v>154</v>
      </c>
      <c r="C40" s="38">
        <f>'Climate A'!C40-'Climate B'!C40</f>
        <v>0</v>
      </c>
      <c r="D40" s="38">
        <f>'Climate A'!D40-'Climate B'!D40</f>
        <v>0</v>
      </c>
      <c r="E40" s="38">
        <f>'Climate A'!E40-'Climate B'!E40</f>
        <v>0</v>
      </c>
      <c r="F40" s="38">
        <f>'Climate A'!F40-'Climate B'!F40</f>
        <v>0</v>
      </c>
      <c r="G40" s="38">
        <f>'Climate A'!G40-'Climate B'!G40</f>
        <v>0</v>
      </c>
      <c r="H40" s="38">
        <f>'Climate A'!H40-'Climate B'!H40</f>
        <v>0</v>
      </c>
      <c r="I40" s="38">
        <f>'Climate A'!I40-'Climate B'!I40</f>
        <v>0</v>
      </c>
      <c r="J40" s="38">
        <f>'Climate A'!J40-'Climate B'!J40</f>
        <v>0</v>
      </c>
      <c r="K40" s="38">
        <f>'Climate A'!K40-'Climate B'!K40</f>
        <v>0</v>
      </c>
      <c r="L40" s="38">
        <f>'Climate A'!L40-'Climate B'!L40</f>
        <v>0</v>
      </c>
      <c r="M40" s="38">
        <f>'Climate A'!M40-'Climate B'!M40</f>
        <v>0</v>
      </c>
      <c r="N40" s="4" t="str">
        <f>'Base data'!$G$32</f>
        <v>Mtonne</v>
      </c>
    </row>
    <row r="41" spans="1:14" s="4" customFormat="1" ht="15.5" x14ac:dyDescent="0.4">
      <c r="A41" s="4" t="s">
        <v>186</v>
      </c>
      <c r="B41" s="80" t="s">
        <v>155</v>
      </c>
      <c r="C41" s="43"/>
      <c r="D41" s="38">
        <f>'Climate A'!D41-'Climate B'!D41</f>
        <v>0</v>
      </c>
      <c r="E41" s="38">
        <f>'Climate A'!E41-'Climate B'!E41</f>
        <v>0</v>
      </c>
      <c r="F41" s="38">
        <f>'Climate A'!F41-'Climate B'!F41</f>
        <v>0</v>
      </c>
      <c r="G41" s="38">
        <f>'Climate A'!G41-'Climate B'!G41</f>
        <v>0</v>
      </c>
      <c r="H41" s="38">
        <f>'Climate A'!H41-'Climate B'!H41</f>
        <v>0</v>
      </c>
      <c r="I41" s="38">
        <f>'Climate A'!I41-'Climate B'!I41</f>
        <v>0</v>
      </c>
      <c r="J41" s="38">
        <f>'Climate A'!J41-'Climate B'!J41</f>
        <v>0</v>
      </c>
      <c r="K41" s="38">
        <f>'Climate A'!K41-'Climate B'!K41</f>
        <v>0</v>
      </c>
      <c r="L41" s="38">
        <f>'Climate A'!L41-'Climate B'!L41</f>
        <v>0</v>
      </c>
      <c r="M41" s="38">
        <f>'Climate A'!M41-'Climate B'!M41</f>
        <v>0</v>
      </c>
      <c r="N41" s="4" t="str">
        <f>'Base data'!$G$32</f>
        <v>Mtonne</v>
      </c>
    </row>
    <row r="42" spans="1:14" s="6" customFormat="1" x14ac:dyDescent="0.25">
      <c r="A42" s="6" t="s">
        <v>187</v>
      </c>
      <c r="C42" s="44"/>
      <c r="D42" s="35">
        <f>'Climate A'!D42-'Climate B'!D42</f>
        <v>0</v>
      </c>
      <c r="E42" s="35">
        <f>'Climate A'!E42-'Climate B'!E42</f>
        <v>0</v>
      </c>
      <c r="F42" s="35">
        <f>'Climate A'!F42-'Climate B'!F42</f>
        <v>0</v>
      </c>
      <c r="G42" s="35">
        <f>'Climate A'!G42-'Climate B'!G42</f>
        <v>0</v>
      </c>
      <c r="H42" s="35">
        <f>'Climate A'!H42-'Climate B'!H42</f>
        <v>0</v>
      </c>
      <c r="I42" s="35">
        <f>'Climate A'!I42-'Climate B'!I42</f>
        <v>0</v>
      </c>
      <c r="J42" s="35">
        <f>'Climate A'!J42-'Climate B'!J42</f>
        <v>0</v>
      </c>
      <c r="K42" s="35">
        <f>'Climate A'!K42-'Climate B'!K42</f>
        <v>0</v>
      </c>
      <c r="L42" s="35">
        <f>'Climate A'!L42-'Climate B'!L42</f>
        <v>0</v>
      </c>
      <c r="M42" s="35">
        <f>'Climate A'!M42-'Climate B'!M42</f>
        <v>0</v>
      </c>
    </row>
    <row r="43" spans="1:14" s="4" customFormat="1" x14ac:dyDescent="0.25">
      <c r="A43" s="4" t="s">
        <v>188</v>
      </c>
      <c r="C43" s="43"/>
      <c r="D43" s="38">
        <f>'Climate A'!D43-'Climate B'!D43</f>
        <v>0</v>
      </c>
      <c r="E43" s="38">
        <f>'Climate A'!E43-'Climate B'!E43</f>
        <v>0</v>
      </c>
      <c r="F43" s="38">
        <f>'Climate A'!F43-'Climate B'!F43</f>
        <v>0</v>
      </c>
      <c r="G43" s="38">
        <f>'Climate A'!G43-'Climate B'!G43</f>
        <v>0</v>
      </c>
      <c r="H43" s="38">
        <f>'Climate A'!H43-'Climate B'!H43</f>
        <v>0</v>
      </c>
      <c r="I43" s="38">
        <f>'Climate A'!I43-'Climate B'!I43</f>
        <v>0</v>
      </c>
      <c r="J43" s="38">
        <f>'Climate A'!J43-'Climate B'!J43</f>
        <v>0</v>
      </c>
      <c r="K43" s="38">
        <f>'Climate A'!K43-'Climate B'!K43</f>
        <v>0</v>
      </c>
      <c r="L43" s="38">
        <f>'Climate A'!L43-'Climate B'!L43</f>
        <v>0</v>
      </c>
      <c r="M43" s="38">
        <f>'Climate A'!M43-'Climate B'!M43</f>
        <v>0</v>
      </c>
      <c r="N43" s="4" t="str">
        <f>'Base data'!$G$32</f>
        <v>Mtonne</v>
      </c>
    </row>
    <row r="44" spans="1:14" s="4" customFormat="1" x14ac:dyDescent="0.25">
      <c r="A44" s="4" t="s">
        <v>189</v>
      </c>
      <c r="C44" s="43"/>
      <c r="D44" s="22">
        <f>'Climate A'!D44-'Climate B'!D44</f>
        <v>0</v>
      </c>
      <c r="E44" s="22">
        <f>'Climate A'!E44-'Climate B'!E44</f>
        <v>0</v>
      </c>
      <c r="F44" s="22">
        <f>'Climate A'!F44-'Climate B'!F44</f>
        <v>0</v>
      </c>
      <c r="G44" s="22">
        <f>'Climate A'!G44-'Climate B'!G44</f>
        <v>0</v>
      </c>
      <c r="H44" s="22">
        <f>'Climate A'!H44-'Climate B'!H44</f>
        <v>0</v>
      </c>
      <c r="I44" s="22">
        <f>'Climate A'!I44-'Climate B'!I44</f>
        <v>0</v>
      </c>
      <c r="J44" s="22">
        <f>'Climate A'!J44-'Climate B'!J44</f>
        <v>0</v>
      </c>
      <c r="K44" s="22">
        <f>'Climate A'!K44-'Climate B'!K44</f>
        <v>0</v>
      </c>
      <c r="L44" s="22">
        <f>'Climate A'!L44-'Climate B'!L44</f>
        <v>0</v>
      </c>
      <c r="M44" s="22">
        <f>'Climate A'!M44-'Climate B'!M44</f>
        <v>0</v>
      </c>
      <c r="N44" s="4" t="str">
        <f>'Base data'!$G$32</f>
        <v>Mtonne</v>
      </c>
    </row>
    <row r="45" spans="1:14" s="4" customFormat="1" ht="15.5" x14ac:dyDescent="0.4">
      <c r="A45" s="4" t="s">
        <v>190</v>
      </c>
      <c r="B45" s="80" t="s">
        <v>156</v>
      </c>
      <c r="C45" s="22">
        <f>'Climate A'!C45-'Climate B'!C45</f>
        <v>0</v>
      </c>
      <c r="D45" s="22">
        <f>'Climate A'!D45-'Climate B'!D45</f>
        <v>0</v>
      </c>
      <c r="E45" s="22">
        <f>'Climate A'!E45-'Climate B'!E45</f>
        <v>0</v>
      </c>
      <c r="F45" s="22">
        <f>'Climate A'!F45-'Climate B'!F45</f>
        <v>0</v>
      </c>
      <c r="G45" s="22">
        <f>'Climate A'!G45-'Climate B'!G45</f>
        <v>0</v>
      </c>
      <c r="H45" s="22">
        <f>'Climate A'!H45-'Climate B'!H45</f>
        <v>0</v>
      </c>
      <c r="I45" s="22">
        <f>'Climate A'!I45-'Climate B'!I45</f>
        <v>0</v>
      </c>
      <c r="J45" s="22">
        <f>'Climate A'!J45-'Climate B'!J45</f>
        <v>0</v>
      </c>
      <c r="K45" s="22">
        <f>'Climate A'!K45-'Climate B'!K45</f>
        <v>0</v>
      </c>
      <c r="L45" s="22">
        <f>'Climate A'!L45-'Climate B'!L45</f>
        <v>0</v>
      </c>
      <c r="M45" s="22">
        <f>'Climate A'!M45-'Climate B'!M45</f>
        <v>0</v>
      </c>
      <c r="N45" s="4" t="str">
        <f>'Base data'!$G$32</f>
        <v>Mtonne</v>
      </c>
    </row>
    <row r="46" spans="1:14" s="4" customFormat="1" ht="15.5" x14ac:dyDescent="0.4">
      <c r="A46" s="4" t="s">
        <v>191</v>
      </c>
      <c r="B46" s="80" t="s">
        <v>157</v>
      </c>
      <c r="C46" s="54">
        <f>'Climate A'!C46-'Climate B'!C46</f>
        <v>0</v>
      </c>
      <c r="D46" s="54">
        <f>'Climate A'!D46-'Climate B'!D46</f>
        <v>0</v>
      </c>
      <c r="E46" s="54">
        <f>'Climate A'!E46-'Climate B'!E46</f>
        <v>0</v>
      </c>
      <c r="F46" s="54">
        <f>'Climate A'!F46-'Climate B'!F46</f>
        <v>0</v>
      </c>
      <c r="G46" s="54">
        <f>'Climate A'!G46-'Climate B'!G46</f>
        <v>0</v>
      </c>
      <c r="H46" s="54">
        <f>'Climate A'!H46-'Climate B'!H46</f>
        <v>0</v>
      </c>
      <c r="I46" s="54">
        <f>'Climate A'!I46-'Climate B'!I46</f>
        <v>0</v>
      </c>
      <c r="J46" s="54">
        <f>'Climate A'!J46-'Climate B'!J46</f>
        <v>0</v>
      </c>
      <c r="K46" s="54">
        <f>'Climate A'!K46-'Climate B'!K46</f>
        <v>0</v>
      </c>
      <c r="L46" s="54">
        <f>'Climate A'!L46-'Climate B'!L46</f>
        <v>0</v>
      </c>
      <c r="M46" s="54">
        <f>'Climate A'!M46-'Climate B'!M46</f>
        <v>0</v>
      </c>
      <c r="N46" s="4" t="str">
        <f>'Base data'!$F$19</f>
        <v>ppb</v>
      </c>
    </row>
    <row r="47" spans="1:14" s="6" customFormat="1" x14ac:dyDescent="0.25">
      <c r="A47" s="6" t="s">
        <v>196</v>
      </c>
      <c r="C47" s="35">
        <f>'Climate A'!C47-'Climate B'!C47</f>
        <v>0</v>
      </c>
      <c r="D47" s="35">
        <f>'Climate A'!D47-'Climate B'!D47</f>
        <v>0</v>
      </c>
      <c r="E47" s="35">
        <f>'Climate A'!E47-'Climate B'!E47</f>
        <v>0</v>
      </c>
      <c r="F47" s="35">
        <f>'Climate A'!F47-'Climate B'!F47</f>
        <v>0</v>
      </c>
      <c r="G47" s="35">
        <f>'Climate A'!G47-'Climate B'!G47</f>
        <v>0</v>
      </c>
      <c r="H47" s="35">
        <f>'Climate A'!H47-'Climate B'!H47</f>
        <v>0</v>
      </c>
      <c r="I47" s="35">
        <f>'Climate A'!I47-'Climate B'!I47</f>
        <v>0</v>
      </c>
      <c r="J47" s="35">
        <f>'Climate A'!J47-'Climate B'!J47</f>
        <v>0</v>
      </c>
      <c r="K47" s="35">
        <f>'Climate A'!K47-'Climate B'!K47</f>
        <v>0</v>
      </c>
      <c r="L47" s="35">
        <f>'Climate A'!L47-'Climate B'!L47</f>
        <v>0</v>
      </c>
      <c r="M47" s="35">
        <f>'Climate A'!M47-'Climate B'!M47</f>
        <v>0</v>
      </c>
      <c r="N47" s="6" t="str">
        <f>'Base data'!$F$21</f>
        <v>W/m2</v>
      </c>
    </row>
    <row r="48" spans="1:14" s="6" customFormat="1" x14ac:dyDescent="0.25">
      <c r="A48" s="6" t="s">
        <v>193</v>
      </c>
      <c r="C48" s="35">
        <f>'Climate A'!C48-'Climate B'!C48</f>
        <v>0</v>
      </c>
      <c r="D48" s="35">
        <f>'Climate A'!D48-'Climate B'!D48</f>
        <v>0</v>
      </c>
      <c r="E48" s="35">
        <f>'Climate A'!E48-'Climate B'!E48</f>
        <v>0</v>
      </c>
      <c r="F48" s="35">
        <f>'Climate A'!F48-'Climate B'!F48</f>
        <v>0</v>
      </c>
      <c r="G48" s="35">
        <f>'Climate A'!G48-'Climate B'!G48</f>
        <v>0</v>
      </c>
      <c r="H48" s="35">
        <f>'Climate A'!H48-'Climate B'!H48</f>
        <v>0</v>
      </c>
      <c r="I48" s="35">
        <f>'Climate A'!I48-'Climate B'!I48</f>
        <v>0</v>
      </c>
      <c r="J48" s="35">
        <f>'Climate A'!J48-'Climate B'!J48</f>
        <v>0</v>
      </c>
      <c r="K48" s="35">
        <f>'Climate A'!K48-'Climate B'!K48</f>
        <v>0</v>
      </c>
      <c r="L48" s="35">
        <f>'Climate A'!L48-'Climate B'!L48</f>
        <v>0</v>
      </c>
      <c r="M48" s="35">
        <f>'Climate A'!M48-'Climate B'!M48</f>
        <v>0</v>
      </c>
      <c r="N48" s="6" t="str">
        <f>'Base data'!$F$21</f>
        <v>W/m2</v>
      </c>
    </row>
    <row r="49" spans="1:24" s="6" customFormat="1" x14ac:dyDescent="0.25">
      <c r="A49" s="6" t="s">
        <v>194</v>
      </c>
      <c r="C49" s="35">
        <f>'Climate A'!C49-'Climate B'!C49</f>
        <v>0</v>
      </c>
      <c r="D49" s="35">
        <f>'Climate A'!D49-'Climate B'!D49</f>
        <v>0</v>
      </c>
      <c r="E49" s="35">
        <f>'Climate A'!E49-'Climate B'!E49</f>
        <v>0</v>
      </c>
      <c r="F49" s="35">
        <f>'Climate A'!F49-'Climate B'!F49</f>
        <v>0</v>
      </c>
      <c r="G49" s="35">
        <f>'Climate A'!G49-'Climate B'!G49</f>
        <v>0</v>
      </c>
      <c r="H49" s="35">
        <f>'Climate A'!H49-'Climate B'!H49</f>
        <v>0</v>
      </c>
      <c r="I49" s="35">
        <f>'Climate A'!I49-'Climate B'!I49</f>
        <v>0</v>
      </c>
      <c r="J49" s="35">
        <f>'Climate A'!J49-'Climate B'!J49</f>
        <v>0</v>
      </c>
      <c r="K49" s="35">
        <f>'Climate A'!K49-'Climate B'!K49</f>
        <v>0</v>
      </c>
      <c r="L49" s="35">
        <f>'Climate A'!L49-'Climate B'!L49</f>
        <v>0</v>
      </c>
      <c r="M49" s="35">
        <f>'Climate A'!M49-'Climate B'!M49</f>
        <v>0</v>
      </c>
      <c r="N49" s="6" t="str">
        <f>'Base data'!$F$21</f>
        <v>W/m2</v>
      </c>
    </row>
    <row r="50" spans="1:24" s="6" customFormat="1" ht="15.5" x14ac:dyDescent="0.4">
      <c r="A50" s="6" t="s">
        <v>96</v>
      </c>
      <c r="B50" s="6" t="s">
        <v>97</v>
      </c>
      <c r="C50" s="40">
        <f>'Climate A'!C50-'Climate B'!C50</f>
        <v>0</v>
      </c>
      <c r="D50" s="40">
        <f>'Climate A'!D50-'Climate B'!D50</f>
        <v>0</v>
      </c>
      <c r="E50" s="40">
        <f>'Climate A'!E50-'Climate B'!E50</f>
        <v>0</v>
      </c>
      <c r="F50" s="40">
        <f>'Climate A'!F50-'Climate B'!F50</f>
        <v>0</v>
      </c>
      <c r="G50" s="40">
        <f>'Climate A'!G50-'Climate B'!G50</f>
        <v>0</v>
      </c>
      <c r="H50" s="40">
        <f>'Climate A'!H50-'Climate B'!H50</f>
        <v>0</v>
      </c>
      <c r="I50" s="40">
        <f>'Climate A'!I50-'Climate B'!I50</f>
        <v>0</v>
      </c>
      <c r="J50" s="40">
        <f>'Climate A'!J50-'Climate B'!J50</f>
        <v>0</v>
      </c>
      <c r="K50" s="40">
        <f>'Climate A'!K50-'Climate B'!K50</f>
        <v>0</v>
      </c>
      <c r="L50" s="40">
        <f>'Climate A'!L50-'Climate B'!L50</f>
        <v>0</v>
      </c>
      <c r="M50" s="40">
        <f>'Climate A'!M50-'Climate B'!M50</f>
        <v>0</v>
      </c>
      <c r="N50" s="6" t="str">
        <f>'Base data'!$F$21</f>
        <v>W/m2</v>
      </c>
    </row>
    <row r="51" spans="1:24" s="6" customFormat="1" ht="16" thickBot="1" x14ac:dyDescent="0.45">
      <c r="A51" s="6" t="s">
        <v>192</v>
      </c>
      <c r="B51" s="78" t="s">
        <v>158</v>
      </c>
      <c r="C51" s="41">
        <f>'Climate A'!C51-'Climate B'!C51</f>
        <v>0</v>
      </c>
      <c r="D51" s="41">
        <f>'Climate A'!D51-'Climate B'!D51</f>
        <v>0</v>
      </c>
      <c r="E51" s="41">
        <f>'Climate A'!E51-'Climate B'!E51</f>
        <v>0</v>
      </c>
      <c r="F51" s="41">
        <f>'Climate A'!F51-'Climate B'!F51</f>
        <v>0</v>
      </c>
      <c r="G51" s="41">
        <f>'Climate A'!G51-'Climate B'!G51</f>
        <v>0</v>
      </c>
      <c r="H51" s="41">
        <f>'Climate A'!H51-'Climate B'!H51</f>
        <v>0</v>
      </c>
      <c r="I51" s="41">
        <f>'Climate A'!I51-'Climate B'!I51</f>
        <v>0</v>
      </c>
      <c r="J51" s="41">
        <f>'Climate A'!J51-'Climate B'!J51</f>
        <v>0</v>
      </c>
      <c r="K51" s="41">
        <f>'Climate A'!K51-'Climate B'!K51</f>
        <v>0</v>
      </c>
      <c r="L51" s="41">
        <f>'Climate A'!L51-'Climate B'!L51</f>
        <v>0</v>
      </c>
      <c r="M51" s="41">
        <f>'Climate A'!M51-'Climate B'!M51</f>
        <v>0</v>
      </c>
    </row>
    <row r="52" spans="1:24" s="6" customFormat="1" ht="13" thickTop="1" x14ac:dyDescent="0.25">
      <c r="C52" s="17"/>
      <c r="D52" s="17"/>
      <c r="E52" s="17"/>
      <c r="F52" s="17"/>
      <c r="G52" s="17"/>
      <c r="H52" s="17"/>
      <c r="I52" s="17"/>
      <c r="J52" s="17"/>
      <c r="K52" s="17"/>
      <c r="L52" s="17"/>
      <c r="M52" s="17"/>
    </row>
    <row r="53" spans="1:24" s="4" customFormat="1" ht="15.5" x14ac:dyDescent="0.4">
      <c r="A53" s="4" t="str">
        <f>"Natural emissions of "&amp;GLIN_NAME</f>
        <v>Natural emissions of Lin</v>
      </c>
      <c r="B53" s="80" t="s">
        <v>218</v>
      </c>
      <c r="C53" s="20">
        <f>'Climate A'!C53-'Climate B'!C53</f>
        <v>0</v>
      </c>
      <c r="D53" s="20">
        <f>'Climate A'!D53-'Climate B'!D53</f>
        <v>0</v>
      </c>
      <c r="E53" s="37">
        <f>'Climate A'!E53-'Climate B'!E53</f>
        <v>0</v>
      </c>
      <c r="F53" s="37">
        <f>'Climate A'!F53-'Climate B'!F53</f>
        <v>0</v>
      </c>
      <c r="G53" s="37">
        <f>'Climate A'!G53-'Climate B'!G53</f>
        <v>0</v>
      </c>
      <c r="H53" s="37">
        <f>'Climate A'!H53-'Climate B'!H53</f>
        <v>0</v>
      </c>
      <c r="I53" s="37">
        <f>'Climate A'!I53-'Climate B'!I53</f>
        <v>0</v>
      </c>
      <c r="J53" s="37">
        <f>'Climate A'!J53-'Climate B'!J53</f>
        <v>0</v>
      </c>
      <c r="K53" s="37">
        <f>'Climate A'!K53-'Climate B'!K53</f>
        <v>0</v>
      </c>
      <c r="L53" s="37">
        <f>'Climate A'!L53-'Climate B'!L53</f>
        <v>0</v>
      </c>
      <c r="M53" s="37">
        <f>'Climate A'!M53-'Climate B'!M53</f>
        <v>0</v>
      </c>
      <c r="N53" s="4" t="str">
        <f>'Base data'!$G$32</f>
        <v>Mtonne</v>
      </c>
    </row>
    <row r="54" spans="1:24" s="4" customFormat="1" ht="15.5" x14ac:dyDescent="0.4">
      <c r="A54" s="4" t="str">
        <f>"Total emissions to air of "&amp;GLIN_NAME</f>
        <v>Total emissions to air of Lin</v>
      </c>
      <c r="B54" s="80" t="s">
        <v>219</v>
      </c>
      <c r="C54" s="38">
        <f>'Climate A'!C54-'Climate B'!C54</f>
        <v>0</v>
      </c>
      <c r="D54" s="38">
        <f>'Climate A'!D54-'Climate B'!D54</f>
        <v>0</v>
      </c>
      <c r="E54" s="38">
        <f>'Climate A'!E54-'Climate B'!E54</f>
        <v>0</v>
      </c>
      <c r="F54" s="38">
        <f>'Climate A'!F54-'Climate B'!F54</f>
        <v>0</v>
      </c>
      <c r="G54" s="38">
        <f>'Climate A'!G54-'Climate B'!G54</f>
        <v>0</v>
      </c>
      <c r="H54" s="38">
        <f>'Climate A'!H54-'Climate B'!H54</f>
        <v>0</v>
      </c>
      <c r="I54" s="38">
        <f>'Climate A'!I54-'Climate B'!I54</f>
        <v>0</v>
      </c>
      <c r="J54" s="38">
        <f>'Climate A'!J54-'Climate B'!J54</f>
        <v>0</v>
      </c>
      <c r="K54" s="38">
        <f>'Climate A'!K54-'Climate B'!K54</f>
        <v>0</v>
      </c>
      <c r="L54" s="38">
        <f>'Climate A'!L54-'Climate B'!L54</f>
        <v>0</v>
      </c>
      <c r="M54" s="38">
        <f>'Climate A'!M54-'Climate B'!M54</f>
        <v>0</v>
      </c>
      <c r="N54" s="4" t="str">
        <f>'Base data'!$G$32</f>
        <v>Mtonne</v>
      </c>
    </row>
    <row r="55" spans="1:24" s="4" customFormat="1" ht="15.5" x14ac:dyDescent="0.4">
      <c r="A55" s="4" t="str">
        <f>"Total this period of "&amp;GLIN_NAME</f>
        <v>Total this period of Lin</v>
      </c>
      <c r="B55" s="80" t="s">
        <v>220</v>
      </c>
      <c r="C55" s="43"/>
      <c r="D55" s="38">
        <f>'Climate A'!D55-'Climate B'!D55</f>
        <v>0</v>
      </c>
      <c r="E55" s="38">
        <f>'Climate A'!E55-'Climate B'!E55</f>
        <v>0</v>
      </c>
      <c r="F55" s="38">
        <f>'Climate A'!F55-'Climate B'!F55</f>
        <v>0</v>
      </c>
      <c r="G55" s="38">
        <f>'Climate A'!G55-'Climate B'!G55</f>
        <v>0</v>
      </c>
      <c r="H55" s="38">
        <f>'Climate A'!H55-'Climate B'!H55</f>
        <v>0</v>
      </c>
      <c r="I55" s="38">
        <f>'Climate A'!I55-'Climate B'!I55</f>
        <v>0</v>
      </c>
      <c r="J55" s="38">
        <f>'Climate A'!J55-'Climate B'!J55</f>
        <v>0</v>
      </c>
      <c r="K55" s="38">
        <f>'Climate A'!K55-'Climate B'!K55</f>
        <v>0</v>
      </c>
      <c r="L55" s="38">
        <f>'Climate A'!L55-'Climate B'!L55</f>
        <v>0</v>
      </c>
      <c r="M55" s="38">
        <f>'Climate A'!M55-'Climate B'!M55</f>
        <v>0</v>
      </c>
      <c r="N55" s="4" t="str">
        <f>'Base data'!$G$32</f>
        <v>Mtonne</v>
      </c>
    </row>
    <row r="56" spans="1:24" s="6" customFormat="1" x14ac:dyDescent="0.25">
      <c r="A56" s="6" t="str">
        <f>"Exponential factor for "&amp;GLIN_NAME</f>
        <v>Exponential factor for Lin</v>
      </c>
      <c r="C56" s="44"/>
      <c r="D56" s="35">
        <f>'Climate A'!D56-'Climate B'!D56</f>
        <v>0</v>
      </c>
      <c r="E56" s="35">
        <f>'Climate A'!E56-'Climate B'!E56</f>
        <v>0</v>
      </c>
      <c r="F56" s="35">
        <f>'Climate A'!F56-'Climate B'!F56</f>
        <v>0</v>
      </c>
      <c r="G56" s="35">
        <f>'Climate A'!G56-'Climate B'!G56</f>
        <v>0</v>
      </c>
      <c r="H56" s="35">
        <f>'Climate A'!H56-'Climate B'!H56</f>
        <v>0</v>
      </c>
      <c r="I56" s="35">
        <f>'Climate A'!I56-'Climate B'!I56</f>
        <v>0</v>
      </c>
      <c r="J56" s="35">
        <f>'Climate A'!J56-'Climate B'!J56</f>
        <v>0</v>
      </c>
      <c r="K56" s="35">
        <f>'Climate A'!K56-'Climate B'!K56</f>
        <v>0</v>
      </c>
      <c r="L56" s="35">
        <f>'Climate A'!L56-'Climate B'!L56</f>
        <v>0</v>
      </c>
      <c r="M56" s="35">
        <f>'Climate A'!M56-'Climate B'!M56</f>
        <v>0</v>
      </c>
    </row>
    <row r="57" spans="1:24" s="4" customFormat="1" x14ac:dyDescent="0.25">
      <c r="A57" s="4" t="str">
        <f>"Remaining emissions factor for "&amp;GLIN_NAME</f>
        <v>Remaining emissions factor for Lin</v>
      </c>
      <c r="C57" s="43"/>
      <c r="D57" s="38">
        <f>'Climate A'!D57-'Climate B'!D57</f>
        <v>0</v>
      </c>
      <c r="E57" s="38">
        <f>'Climate A'!E57-'Climate B'!E57</f>
        <v>0</v>
      </c>
      <c r="F57" s="38">
        <f>'Climate A'!F57-'Climate B'!F57</f>
        <v>0</v>
      </c>
      <c r="G57" s="38">
        <f>'Climate A'!G57-'Climate B'!G57</f>
        <v>0</v>
      </c>
      <c r="H57" s="38">
        <f>'Climate A'!H57-'Climate B'!H57</f>
        <v>0</v>
      </c>
      <c r="I57" s="38">
        <f>'Climate A'!I57-'Climate B'!I57</f>
        <v>0</v>
      </c>
      <c r="J57" s="38">
        <f>'Climate A'!J57-'Climate B'!J57</f>
        <v>0</v>
      </c>
      <c r="K57" s="38">
        <f>'Climate A'!K57-'Climate B'!K57</f>
        <v>0</v>
      </c>
      <c r="L57" s="38">
        <f>'Climate A'!L57-'Climate B'!L57</f>
        <v>0</v>
      </c>
      <c r="M57" s="38">
        <f>'Climate A'!M57-'Climate B'!M57</f>
        <v>0</v>
      </c>
      <c r="N57" s="4" t="str">
        <f>'Base data'!$G$32</f>
        <v>Mtonne</v>
      </c>
    </row>
    <row r="58" spans="1:24" s="4" customFormat="1" x14ac:dyDescent="0.25">
      <c r="A58" s="4" t="str">
        <f>"Total this period factor for "&amp;GLIN_NAME</f>
        <v>Total this period factor for Lin</v>
      </c>
      <c r="C58" s="43"/>
      <c r="D58" s="38">
        <f>'Climate A'!D58-'Climate B'!D58</f>
        <v>0</v>
      </c>
      <c r="E58" s="38">
        <f>'Climate A'!E58-'Climate B'!E58</f>
        <v>0</v>
      </c>
      <c r="F58" s="38">
        <f>'Climate A'!F58-'Climate B'!F58</f>
        <v>0</v>
      </c>
      <c r="G58" s="38">
        <f>'Climate A'!G58-'Climate B'!G58</f>
        <v>0</v>
      </c>
      <c r="H58" s="38">
        <f>'Climate A'!H58-'Climate B'!H58</f>
        <v>0</v>
      </c>
      <c r="I58" s="38">
        <f>'Climate A'!I58-'Climate B'!I58</f>
        <v>0</v>
      </c>
      <c r="J58" s="38">
        <f>'Climate A'!J58-'Climate B'!J58</f>
        <v>0</v>
      </c>
      <c r="K58" s="38">
        <f>'Climate A'!K58-'Climate B'!K58</f>
        <v>0</v>
      </c>
      <c r="L58" s="38">
        <f>'Climate A'!L58-'Climate B'!L58</f>
        <v>0</v>
      </c>
      <c r="M58" s="38">
        <f>'Climate A'!M58-'Climate B'!M58</f>
        <v>0</v>
      </c>
      <c r="N58" s="4" t="str">
        <f>'Base data'!$G$32</f>
        <v>Mtonne</v>
      </c>
    </row>
    <row r="59" spans="1:24" s="4" customFormat="1" ht="15.5" x14ac:dyDescent="0.4">
      <c r="A59" s="4" t="str">
        <f>"Remaining emissions of "&amp;GLIN_NAME</f>
        <v>Remaining emissions of Lin</v>
      </c>
      <c r="B59" s="80" t="s">
        <v>221</v>
      </c>
      <c r="C59" s="38">
        <f>'Climate A'!C59-'Climate B'!C59</f>
        <v>0</v>
      </c>
      <c r="D59" s="38">
        <f>'Climate A'!D59-'Climate B'!D59</f>
        <v>0</v>
      </c>
      <c r="E59" s="38">
        <f>'Climate A'!E59-'Climate B'!E59</f>
        <v>0</v>
      </c>
      <c r="F59" s="38">
        <f>'Climate A'!F59-'Climate B'!F59</f>
        <v>0</v>
      </c>
      <c r="G59" s="38">
        <f>'Climate A'!G59-'Climate B'!G59</f>
        <v>0</v>
      </c>
      <c r="H59" s="38">
        <f>'Climate A'!H59-'Climate B'!H59</f>
        <v>0</v>
      </c>
      <c r="I59" s="38">
        <f>'Climate A'!I59-'Climate B'!I59</f>
        <v>0</v>
      </c>
      <c r="J59" s="38">
        <f>'Climate A'!J59-'Climate B'!J59</f>
        <v>0</v>
      </c>
      <c r="K59" s="38">
        <f>'Climate A'!K59-'Climate B'!K59</f>
        <v>0</v>
      </c>
      <c r="L59" s="38">
        <f>'Climate A'!L59-'Climate B'!L59</f>
        <v>0</v>
      </c>
      <c r="M59" s="38">
        <f>'Climate A'!M59-'Climate B'!M59</f>
        <v>0</v>
      </c>
      <c r="N59" s="4" t="str">
        <f>'Base data'!$G$32</f>
        <v>Mtonne</v>
      </c>
    </row>
    <row r="60" spans="1:24" s="4" customFormat="1" ht="15.5" x14ac:dyDescent="0.4">
      <c r="A60" s="4" t="str">
        <f>"Concentration of "&amp;GLIN_NAME</f>
        <v>Concentration of Lin</v>
      </c>
      <c r="B60" s="80" t="s">
        <v>222</v>
      </c>
      <c r="C60" s="54">
        <f>'Climate A'!C60-'Climate B'!C60</f>
        <v>0</v>
      </c>
      <c r="D60" s="54">
        <f>'Climate A'!D60-'Climate B'!D60</f>
        <v>0</v>
      </c>
      <c r="E60" s="54">
        <f>'Climate A'!E60-'Climate B'!E60</f>
        <v>0</v>
      </c>
      <c r="F60" s="54">
        <f>'Climate A'!F60-'Climate B'!F60</f>
        <v>0</v>
      </c>
      <c r="G60" s="54">
        <f>'Climate A'!G60-'Climate B'!G60</f>
        <v>0</v>
      </c>
      <c r="H60" s="54">
        <f>'Climate A'!H60-'Climate B'!H60</f>
        <v>0</v>
      </c>
      <c r="I60" s="54">
        <f>'Climate A'!I60-'Climate B'!I60</f>
        <v>0</v>
      </c>
      <c r="J60" s="54">
        <f>'Climate A'!J60-'Climate B'!J60</f>
        <v>0</v>
      </c>
      <c r="K60" s="54">
        <f>'Climate A'!K60-'Climate B'!K60</f>
        <v>0</v>
      </c>
      <c r="L60" s="54">
        <f>'Climate A'!L60-'Climate B'!L60</f>
        <v>0</v>
      </c>
      <c r="M60" s="54">
        <f>'Climate A'!M60-'Climate B'!M60</f>
        <v>0</v>
      </c>
      <c r="N60" s="4" t="str">
        <f>'Base data'!$F$19</f>
        <v>ppb</v>
      </c>
    </row>
    <row r="61" spans="1:24" s="6" customFormat="1" ht="16" thickBot="1" x14ac:dyDescent="0.45">
      <c r="A61" s="6" t="str">
        <f>"Forcing from "&amp;GLIN_NAME</f>
        <v>Forcing from Lin</v>
      </c>
      <c r="B61" s="78" t="s">
        <v>223</v>
      </c>
      <c r="C61" s="56">
        <f>'Climate A'!C61-'Climate B'!C61</f>
        <v>0</v>
      </c>
      <c r="D61" s="56">
        <f>'Climate A'!D61-'Climate B'!D61</f>
        <v>0</v>
      </c>
      <c r="E61" s="56">
        <f>'Climate A'!E61-'Climate B'!E61</f>
        <v>0</v>
      </c>
      <c r="F61" s="56">
        <f>'Climate A'!F61-'Climate B'!F61</f>
        <v>0</v>
      </c>
      <c r="G61" s="56">
        <f>'Climate A'!G61-'Climate B'!G61</f>
        <v>0</v>
      </c>
      <c r="H61" s="56">
        <f>'Climate A'!H61-'Climate B'!H61</f>
        <v>0</v>
      </c>
      <c r="I61" s="56">
        <f>'Climate A'!I61-'Climate B'!I61</f>
        <v>0</v>
      </c>
      <c r="J61" s="56">
        <f>'Climate A'!J61-'Climate B'!J61</f>
        <v>0</v>
      </c>
      <c r="K61" s="56">
        <f>'Climate A'!K61-'Climate B'!K61</f>
        <v>0</v>
      </c>
      <c r="L61" s="56">
        <f>'Climate A'!L61-'Climate B'!L61</f>
        <v>0</v>
      </c>
      <c r="M61" s="56">
        <f>'Climate A'!M61-'Climate B'!M61</f>
        <v>0</v>
      </c>
      <c r="N61" s="6" t="str">
        <f>'Base data'!$F$21</f>
        <v>W/m2</v>
      </c>
    </row>
    <row r="62" spans="1:24" ht="13.5" thickTop="1" thickBot="1" x14ac:dyDescent="0.3">
      <c r="A62" s="4" t="s">
        <v>159</v>
      </c>
      <c r="B62" s="4" t="s">
        <v>98</v>
      </c>
      <c r="C62" s="42">
        <f>'Climate A'!C62-'Climate B'!C62</f>
        <v>0</v>
      </c>
      <c r="D62" s="42">
        <f>'Climate A'!D62-'Climate B'!D62</f>
        <v>0</v>
      </c>
      <c r="E62" s="42">
        <f>'Climate A'!E62-'Climate B'!E62</f>
        <v>-3.5446010874018441E-4</v>
      </c>
      <c r="F62" s="42">
        <f>'Climate A'!F62-'Climate B'!F62</f>
        <v>-3.7164665934596997E-4</v>
      </c>
      <c r="G62" s="42">
        <f>'Climate A'!G62-'Climate B'!G62</f>
        <v>-3.4995424761952165E-4</v>
      </c>
      <c r="H62" s="42">
        <f>'Climate A'!H62-'Climate B'!H62</f>
        <v>-3.2812714662178166E-4</v>
      </c>
      <c r="I62" s="42">
        <f>'Climate A'!I62-'Climate B'!I62</f>
        <v>-2.9414811649175476E-4</v>
      </c>
      <c r="J62" s="42">
        <f>'Climate A'!J62-'Climate B'!J62</f>
        <v>-2.5277863883310658E-4</v>
      </c>
      <c r="K62" s="42">
        <f>'Climate A'!K62-'Climate B'!K62</f>
        <v>-1.6885472306604754E-4</v>
      </c>
      <c r="L62" s="42">
        <f>'Climate A'!L62-'Climate B'!L62</f>
        <v>-8.8101871138945853E-5</v>
      </c>
      <c r="M62" s="42">
        <f>'Climate A'!M62-'Climate B'!M62</f>
        <v>-4.8970635003087182E-5</v>
      </c>
      <c r="N62" s="6" t="str">
        <f>'Base data'!$F$21</f>
        <v>W/m2</v>
      </c>
      <c r="O62" s="6">
        <f t="shared" ref="O62:X62" si="2">D62</f>
        <v>0</v>
      </c>
      <c r="P62" s="6">
        <f t="shared" si="2"/>
        <v>-3.5446010874018441E-4</v>
      </c>
      <c r="Q62" s="6">
        <f t="shared" si="2"/>
        <v>-3.7164665934596997E-4</v>
      </c>
      <c r="R62" s="6">
        <f t="shared" si="2"/>
        <v>-3.4995424761952165E-4</v>
      </c>
      <c r="S62" s="6">
        <f t="shared" si="2"/>
        <v>-3.2812714662178166E-4</v>
      </c>
      <c r="T62" s="6">
        <f t="shared" si="2"/>
        <v>-2.9414811649175476E-4</v>
      </c>
      <c r="U62" s="6">
        <f t="shared" si="2"/>
        <v>-2.5277863883310658E-4</v>
      </c>
      <c r="V62" s="6">
        <f t="shared" si="2"/>
        <v>-1.6885472306604754E-4</v>
      </c>
      <c r="W62" s="6">
        <f t="shared" si="2"/>
        <v>-8.8101871138945853E-5</v>
      </c>
      <c r="X62" s="6">
        <f t="shared" si="2"/>
        <v>-4.8970635003087182E-5</v>
      </c>
    </row>
    <row r="63" spans="1:24" ht="13" thickTop="1" x14ac:dyDescent="0.25">
      <c r="A63" s="4"/>
      <c r="B63" s="4"/>
      <c r="C63" s="6"/>
      <c r="D63" s="6"/>
      <c r="E63" s="6"/>
      <c r="F63" s="6"/>
      <c r="G63" s="6"/>
      <c r="H63" s="6"/>
      <c r="I63" s="6"/>
      <c r="J63" s="6"/>
      <c r="K63" s="6"/>
      <c r="L63" s="6"/>
      <c r="M63" s="6"/>
      <c r="N63" s="6"/>
    </row>
    <row r="64" spans="1:24" s="1" customFormat="1" x14ac:dyDescent="0.25">
      <c r="A64" s="84" t="s">
        <v>239</v>
      </c>
      <c r="B64" s="1" t="str">
        <f t="array" ref="B64:B71">R_CODE</f>
        <v>EU</v>
      </c>
      <c r="C64" s="37">
        <f>'Climate A'!C64-'Climate B'!C64</f>
        <v>0</v>
      </c>
      <c r="D64" s="37">
        <f>'Climate A'!D64-'Climate B'!D64</f>
        <v>0</v>
      </c>
      <c r="E64" s="37">
        <f>'Climate A'!E64-'Climate B'!E64</f>
        <v>0</v>
      </c>
      <c r="F64" s="37">
        <f>'Climate A'!F64-'Climate B'!F64</f>
        <v>0</v>
      </c>
      <c r="G64" s="37">
        <f>'Climate A'!G64-'Climate B'!G64</f>
        <v>0</v>
      </c>
      <c r="H64" s="37">
        <f>'Climate A'!H64-'Climate B'!H64</f>
        <v>0</v>
      </c>
      <c r="I64" s="37">
        <f>'Climate A'!I64-'Climate B'!I64</f>
        <v>0</v>
      </c>
      <c r="J64" s="37">
        <f>'Climate A'!J64-'Climate B'!J64</f>
        <v>0</v>
      </c>
      <c r="K64" s="37">
        <f>'Climate A'!K64-'Climate B'!K64</f>
        <v>0</v>
      </c>
      <c r="L64" s="37">
        <f>'Climate A'!L64-'Climate B'!L64</f>
        <v>0</v>
      </c>
      <c r="M64" s="37">
        <f>'Climate A'!M64-'Climate B'!M64</f>
        <v>0</v>
      </c>
      <c r="N64" s="1" t="str">
        <f>'Base data'!$K$32</f>
        <v>Tg/Km2</v>
      </c>
    </row>
    <row r="65" spans="1:14" s="1" customFormat="1" x14ac:dyDescent="0.25">
      <c r="B65" s="1" t="str">
        <v>US</v>
      </c>
      <c r="C65" s="38">
        <f>'Climate A'!C65-'Climate B'!C65</f>
        <v>0</v>
      </c>
      <c r="D65" s="38">
        <f>'Climate A'!D65-'Climate B'!D65</f>
        <v>0</v>
      </c>
      <c r="E65" s="38">
        <f>'Climate A'!E65-'Climate B'!E65</f>
        <v>0</v>
      </c>
      <c r="F65" s="38">
        <f>'Climate A'!F65-'Climate B'!F65</f>
        <v>0</v>
      </c>
      <c r="G65" s="38">
        <f>'Climate A'!G65-'Climate B'!G65</f>
        <v>0</v>
      </c>
      <c r="H65" s="38">
        <f>'Climate A'!H65-'Climate B'!H65</f>
        <v>0</v>
      </c>
      <c r="I65" s="38">
        <f>'Climate A'!I65-'Climate B'!I65</f>
        <v>0</v>
      </c>
      <c r="J65" s="38">
        <f>'Climate A'!J65-'Climate B'!J65</f>
        <v>0</v>
      </c>
      <c r="K65" s="38">
        <f>'Climate A'!K65-'Climate B'!K65</f>
        <v>0</v>
      </c>
      <c r="L65" s="38">
        <f>'Climate A'!L65-'Climate B'!L65</f>
        <v>0</v>
      </c>
      <c r="M65" s="38">
        <f>'Climate A'!M65-'Climate B'!M65</f>
        <v>0</v>
      </c>
      <c r="N65" s="1" t="str">
        <f>'Base data'!$K$32</f>
        <v>Tg/Km2</v>
      </c>
    </row>
    <row r="66" spans="1:14" s="1" customFormat="1" x14ac:dyDescent="0.25">
      <c r="B66" s="1" t="str">
        <v>OT</v>
      </c>
      <c r="C66" s="38">
        <f>'Climate A'!C66-'Climate B'!C66</f>
        <v>0</v>
      </c>
      <c r="D66" s="38">
        <f>'Climate A'!D66-'Climate B'!D66</f>
        <v>0</v>
      </c>
      <c r="E66" s="38">
        <f>'Climate A'!E66-'Climate B'!E66</f>
        <v>0</v>
      </c>
      <c r="F66" s="38">
        <f>'Climate A'!F66-'Climate B'!F66</f>
        <v>0</v>
      </c>
      <c r="G66" s="38">
        <f>'Climate A'!G66-'Climate B'!G66</f>
        <v>0</v>
      </c>
      <c r="H66" s="38">
        <f>'Climate A'!H66-'Climate B'!H66</f>
        <v>0</v>
      </c>
      <c r="I66" s="38">
        <f>'Climate A'!I66-'Climate B'!I66</f>
        <v>0</v>
      </c>
      <c r="J66" s="38">
        <f>'Climate A'!J66-'Climate B'!J66</f>
        <v>0</v>
      </c>
      <c r="K66" s="38">
        <f>'Climate A'!K66-'Climate B'!K66</f>
        <v>0</v>
      </c>
      <c r="L66" s="38">
        <f>'Climate A'!L66-'Climate B'!L66</f>
        <v>0</v>
      </c>
      <c r="M66" s="38">
        <f>'Climate A'!M66-'Climate B'!M66</f>
        <v>0</v>
      </c>
      <c r="N66" s="1" t="str">
        <f>'Base data'!$K$32</f>
        <v>Tg/Km2</v>
      </c>
    </row>
    <row r="67" spans="1:14" s="1" customFormat="1" x14ac:dyDescent="0.25">
      <c r="B67" s="1" t="str">
        <v>EE</v>
      </c>
      <c r="C67" s="38">
        <f>'Climate A'!C67-'Climate B'!C67</f>
        <v>0</v>
      </c>
      <c r="D67" s="38">
        <f>'Climate A'!D67-'Climate B'!D67</f>
        <v>0</v>
      </c>
      <c r="E67" s="38">
        <f>'Climate A'!E67-'Climate B'!E67</f>
        <v>0</v>
      </c>
      <c r="F67" s="38">
        <f>'Climate A'!F67-'Climate B'!F67</f>
        <v>0</v>
      </c>
      <c r="G67" s="38">
        <f>'Climate A'!G67-'Climate B'!G67</f>
        <v>0</v>
      </c>
      <c r="H67" s="38">
        <f>'Climate A'!H67-'Climate B'!H67</f>
        <v>0</v>
      </c>
      <c r="I67" s="38">
        <f>'Climate A'!I67-'Climate B'!I67</f>
        <v>0</v>
      </c>
      <c r="J67" s="38">
        <f>'Climate A'!J67-'Climate B'!J67</f>
        <v>0</v>
      </c>
      <c r="K67" s="38">
        <f>'Climate A'!K67-'Climate B'!K67</f>
        <v>0</v>
      </c>
      <c r="L67" s="38">
        <f>'Climate A'!L67-'Climate B'!L67</f>
        <v>0</v>
      </c>
      <c r="M67" s="38">
        <f>'Climate A'!M67-'Climate B'!M67</f>
        <v>0</v>
      </c>
      <c r="N67" s="1" t="str">
        <f>'Base data'!$K$32</f>
        <v>Tg/Km2</v>
      </c>
    </row>
    <row r="68" spans="1:14" s="1" customFormat="1" x14ac:dyDescent="0.25">
      <c r="B68" s="1" t="str">
        <v>CA</v>
      </c>
      <c r="C68" s="38">
        <f>'Climate A'!C68-'Climate B'!C68</f>
        <v>0</v>
      </c>
      <c r="D68" s="38">
        <f>'Climate A'!D68-'Climate B'!D68</f>
        <v>0</v>
      </c>
      <c r="E68" s="38">
        <f>'Climate A'!E68-'Climate B'!E68</f>
        <v>0</v>
      </c>
      <c r="F68" s="38">
        <f>'Climate A'!F68-'Climate B'!F68</f>
        <v>0</v>
      </c>
      <c r="G68" s="38">
        <f>'Climate A'!G68-'Climate B'!G68</f>
        <v>0</v>
      </c>
      <c r="H68" s="38">
        <f>'Climate A'!H68-'Climate B'!H68</f>
        <v>0</v>
      </c>
      <c r="I68" s="38">
        <f>'Climate A'!I68-'Climate B'!I68</f>
        <v>0</v>
      </c>
      <c r="J68" s="38">
        <f>'Climate A'!J68-'Climate B'!J68</f>
        <v>0</v>
      </c>
      <c r="K68" s="38">
        <f>'Climate A'!K68-'Climate B'!K68</f>
        <v>0</v>
      </c>
      <c r="L68" s="38">
        <f>'Climate A'!L68-'Climate B'!L68</f>
        <v>0</v>
      </c>
      <c r="M68" s="38">
        <f>'Climate A'!M68-'Climate B'!M68</f>
        <v>0</v>
      </c>
      <c r="N68" s="1" t="str">
        <f>'Base data'!$K$32</f>
        <v>Tg/Km2</v>
      </c>
    </row>
    <row r="69" spans="1:14" s="1" customFormat="1" x14ac:dyDescent="0.25">
      <c r="B69" s="1" t="str">
        <v>IA</v>
      </c>
      <c r="C69" s="38">
        <f>'Climate A'!C69-'Climate B'!C69</f>
        <v>0</v>
      </c>
      <c r="D69" s="38">
        <f>'Climate A'!D69-'Climate B'!D69</f>
        <v>0</v>
      </c>
      <c r="E69" s="38">
        <f>'Climate A'!E69-'Climate B'!E69</f>
        <v>0</v>
      </c>
      <c r="F69" s="38">
        <f>'Climate A'!F69-'Climate B'!F69</f>
        <v>0</v>
      </c>
      <c r="G69" s="38">
        <f>'Climate A'!G69-'Climate B'!G69</f>
        <v>0</v>
      </c>
      <c r="H69" s="38">
        <f>'Climate A'!H69-'Climate B'!H69</f>
        <v>0</v>
      </c>
      <c r="I69" s="38">
        <f>'Climate A'!I69-'Climate B'!I69</f>
        <v>0</v>
      </c>
      <c r="J69" s="38">
        <f>'Climate A'!J69-'Climate B'!J69</f>
        <v>0</v>
      </c>
      <c r="K69" s="38">
        <f>'Climate A'!K69-'Climate B'!K69</f>
        <v>0</v>
      </c>
      <c r="L69" s="38">
        <f>'Climate A'!L69-'Climate B'!L69</f>
        <v>0</v>
      </c>
      <c r="M69" s="38">
        <f>'Climate A'!M69-'Climate B'!M69</f>
        <v>0</v>
      </c>
      <c r="N69" s="1" t="str">
        <f>'Base data'!$K$32</f>
        <v>Tg/Km2</v>
      </c>
    </row>
    <row r="70" spans="1:14" s="1" customFormat="1" x14ac:dyDescent="0.25">
      <c r="B70" s="1" t="str">
        <v>AF</v>
      </c>
      <c r="C70" s="38">
        <f>'Climate A'!C70-'Climate B'!C70</f>
        <v>0</v>
      </c>
      <c r="D70" s="38">
        <f>'Climate A'!D70-'Climate B'!D70</f>
        <v>0</v>
      </c>
      <c r="E70" s="38">
        <f>'Climate A'!E70-'Climate B'!E70</f>
        <v>0</v>
      </c>
      <c r="F70" s="38">
        <f>'Climate A'!F70-'Climate B'!F70</f>
        <v>0</v>
      </c>
      <c r="G70" s="38">
        <f>'Climate A'!G70-'Climate B'!G70</f>
        <v>0</v>
      </c>
      <c r="H70" s="38">
        <f>'Climate A'!H70-'Climate B'!H70</f>
        <v>0</v>
      </c>
      <c r="I70" s="38">
        <f>'Climate A'!I70-'Climate B'!I70</f>
        <v>0</v>
      </c>
      <c r="J70" s="38">
        <f>'Climate A'!J70-'Climate B'!J70</f>
        <v>0</v>
      </c>
      <c r="K70" s="38">
        <f>'Climate A'!K70-'Climate B'!K70</f>
        <v>0</v>
      </c>
      <c r="L70" s="38">
        <f>'Climate A'!L70-'Climate B'!L70</f>
        <v>0</v>
      </c>
      <c r="M70" s="38">
        <f>'Climate A'!M70-'Climate B'!M70</f>
        <v>0</v>
      </c>
      <c r="N70" s="1" t="str">
        <f>'Base data'!$K$32</f>
        <v>Tg/Km2</v>
      </c>
    </row>
    <row r="71" spans="1:14" s="1" customFormat="1" x14ac:dyDescent="0.25">
      <c r="B71" s="1" t="str">
        <v>LA</v>
      </c>
      <c r="C71" s="38">
        <f>'Climate A'!C71-'Climate B'!C71</f>
        <v>0</v>
      </c>
      <c r="D71" s="38">
        <f>'Climate A'!D71-'Climate B'!D71</f>
        <v>0</v>
      </c>
      <c r="E71" s="38">
        <f>'Climate A'!E71-'Climate B'!E71</f>
        <v>0</v>
      </c>
      <c r="F71" s="38">
        <f>'Climate A'!F71-'Climate B'!F71</f>
        <v>0</v>
      </c>
      <c r="G71" s="38">
        <f>'Climate A'!G71-'Climate B'!G71</f>
        <v>0</v>
      </c>
      <c r="H71" s="38">
        <f>'Climate A'!H71-'Climate B'!H71</f>
        <v>0</v>
      </c>
      <c r="I71" s="38">
        <f>'Climate A'!I71-'Climate B'!I71</f>
        <v>0</v>
      </c>
      <c r="J71" s="38">
        <f>'Climate A'!J71-'Climate B'!J71</f>
        <v>0</v>
      </c>
      <c r="K71" s="38">
        <f>'Climate A'!K71-'Climate B'!K71</f>
        <v>0</v>
      </c>
      <c r="L71" s="38">
        <f>'Climate A'!L71-'Climate B'!L71</f>
        <v>0</v>
      </c>
      <c r="M71" s="38">
        <f>'Climate A'!M71-'Climate B'!M71</f>
        <v>0</v>
      </c>
      <c r="N71" s="1" t="str">
        <f>'Base data'!$K$32</f>
        <v>Tg/Km2</v>
      </c>
    </row>
    <row r="72" spans="1:14" s="1" customFormat="1" x14ac:dyDescent="0.25">
      <c r="B72" s="6" t="s">
        <v>172</v>
      </c>
      <c r="C72" s="85">
        <f>'Climate A'!C72-'Climate B'!C72</f>
        <v>0</v>
      </c>
      <c r="D72" s="85">
        <f>'Climate A'!D72-'Climate B'!D72</f>
        <v>0</v>
      </c>
      <c r="E72" s="85">
        <f>'Climate A'!E72-'Climate B'!E72</f>
        <v>0</v>
      </c>
      <c r="F72" s="85">
        <f>'Climate A'!F72-'Climate B'!F72</f>
        <v>0</v>
      </c>
      <c r="G72" s="85">
        <f>'Climate A'!G72-'Climate B'!G72</f>
        <v>0</v>
      </c>
      <c r="H72" s="85">
        <f>'Climate A'!H72-'Climate B'!H72</f>
        <v>0</v>
      </c>
      <c r="I72" s="85">
        <f>'Climate A'!I72-'Climate B'!I72</f>
        <v>0</v>
      </c>
      <c r="J72" s="85">
        <f>'Climate A'!J72-'Climate B'!J72</f>
        <v>0</v>
      </c>
      <c r="K72" s="85">
        <f>'Climate A'!K72-'Climate B'!K72</f>
        <v>0</v>
      </c>
      <c r="L72" s="85">
        <f>'Climate A'!L72-'Climate B'!L72</f>
        <v>0</v>
      </c>
      <c r="M72" s="85">
        <f>'Climate A'!M72-'Climate B'!M72</f>
        <v>0</v>
      </c>
      <c r="N72" s="1" t="str">
        <f>'Base data'!$K$32</f>
        <v>Tg/Km2</v>
      </c>
    </row>
    <row r="73" spans="1:14" s="6" customFormat="1" x14ac:dyDescent="0.25">
      <c r="A73" s="78" t="s">
        <v>240</v>
      </c>
      <c r="B73" s="1" t="str">
        <f t="array" ref="B73:B80">R_CODE</f>
        <v>EU</v>
      </c>
      <c r="C73" s="35">
        <f>'Climate A'!C73-'Climate B'!C73</f>
        <v>0</v>
      </c>
      <c r="D73" s="35">
        <f>'Climate A'!D73-'Climate B'!D73</f>
        <v>0</v>
      </c>
      <c r="E73" s="35">
        <f>'Climate A'!E73-'Climate B'!E73</f>
        <v>0</v>
      </c>
      <c r="F73" s="35">
        <f>'Climate A'!F73-'Climate B'!F73</f>
        <v>0</v>
      </c>
      <c r="G73" s="35">
        <f>'Climate A'!G73-'Climate B'!G73</f>
        <v>0</v>
      </c>
      <c r="H73" s="35">
        <f>'Climate A'!H73-'Climate B'!H73</f>
        <v>0</v>
      </c>
      <c r="I73" s="35">
        <f>'Climate A'!I73-'Climate B'!I73</f>
        <v>0</v>
      </c>
      <c r="J73" s="35">
        <f>'Climate A'!J73-'Climate B'!J73</f>
        <v>0</v>
      </c>
      <c r="K73" s="35">
        <f>'Climate A'!K73-'Climate B'!K73</f>
        <v>0</v>
      </c>
      <c r="L73" s="35">
        <f>'Climate A'!L73-'Climate B'!L73</f>
        <v>0</v>
      </c>
      <c r="M73" s="35">
        <f>'Climate A'!M73-'Climate B'!M73</f>
        <v>0</v>
      </c>
      <c r="N73" s="6" t="str">
        <f>'Base data'!$F$21</f>
        <v>W/m2</v>
      </c>
    </row>
    <row r="74" spans="1:14" s="6" customFormat="1" x14ac:dyDescent="0.25">
      <c r="B74" s="1" t="str">
        <v>US</v>
      </c>
      <c r="C74" s="35">
        <f>'Climate A'!C74-'Climate B'!C74</f>
        <v>0</v>
      </c>
      <c r="D74" s="35">
        <f>'Climate A'!D74-'Climate B'!D74</f>
        <v>0</v>
      </c>
      <c r="E74" s="35">
        <f>'Climate A'!E74-'Climate B'!E74</f>
        <v>0</v>
      </c>
      <c r="F74" s="35">
        <f>'Climate A'!F74-'Climate B'!F74</f>
        <v>0</v>
      </c>
      <c r="G74" s="35">
        <f>'Climate A'!G74-'Climate B'!G74</f>
        <v>0</v>
      </c>
      <c r="H74" s="35">
        <f>'Climate A'!H74-'Climate B'!H74</f>
        <v>0</v>
      </c>
      <c r="I74" s="35">
        <f>'Climate A'!I74-'Climate B'!I74</f>
        <v>0</v>
      </c>
      <c r="J74" s="35">
        <f>'Climate A'!J74-'Climate B'!J74</f>
        <v>0</v>
      </c>
      <c r="K74" s="35">
        <f>'Climate A'!K74-'Climate B'!K74</f>
        <v>0</v>
      </c>
      <c r="L74" s="35">
        <f>'Climate A'!L74-'Climate B'!L74</f>
        <v>0</v>
      </c>
      <c r="M74" s="35">
        <f>'Climate A'!M74-'Climate B'!M74</f>
        <v>0</v>
      </c>
      <c r="N74" s="6" t="str">
        <f>'Base data'!$F$21</f>
        <v>W/m2</v>
      </c>
    </row>
    <row r="75" spans="1:14" s="6" customFormat="1" x14ac:dyDescent="0.25">
      <c r="B75" s="1" t="str">
        <v>OT</v>
      </c>
      <c r="C75" s="35">
        <f>'Climate A'!C75-'Climate B'!C75</f>
        <v>0</v>
      </c>
      <c r="D75" s="35">
        <f>'Climate A'!D75-'Climate B'!D75</f>
        <v>0</v>
      </c>
      <c r="E75" s="35">
        <f>'Climate A'!E75-'Climate B'!E75</f>
        <v>0</v>
      </c>
      <c r="F75" s="35">
        <f>'Climate A'!F75-'Climate B'!F75</f>
        <v>0</v>
      </c>
      <c r="G75" s="35">
        <f>'Climate A'!G75-'Climate B'!G75</f>
        <v>0</v>
      </c>
      <c r="H75" s="35">
        <f>'Climate A'!H75-'Climate B'!H75</f>
        <v>0</v>
      </c>
      <c r="I75" s="35">
        <f>'Climate A'!I75-'Climate B'!I75</f>
        <v>0</v>
      </c>
      <c r="J75" s="35">
        <f>'Climate A'!J75-'Climate B'!J75</f>
        <v>0</v>
      </c>
      <c r="K75" s="35">
        <f>'Climate A'!K75-'Climate B'!K75</f>
        <v>0</v>
      </c>
      <c r="L75" s="35">
        <f>'Climate A'!L75-'Climate B'!L75</f>
        <v>0</v>
      </c>
      <c r="M75" s="35">
        <f>'Climate A'!M75-'Climate B'!M75</f>
        <v>0</v>
      </c>
      <c r="N75" s="6" t="str">
        <f>'Base data'!$F$21</f>
        <v>W/m2</v>
      </c>
    </row>
    <row r="76" spans="1:14" s="6" customFormat="1" x14ac:dyDescent="0.25">
      <c r="B76" s="1" t="str">
        <v>EE</v>
      </c>
      <c r="C76" s="35">
        <f>'Climate A'!C76-'Climate B'!C76</f>
        <v>0</v>
      </c>
      <c r="D76" s="35">
        <f>'Climate A'!D76-'Climate B'!D76</f>
        <v>0</v>
      </c>
      <c r="E76" s="35">
        <f>'Climate A'!E76-'Climate B'!E76</f>
        <v>0</v>
      </c>
      <c r="F76" s="35">
        <f>'Climate A'!F76-'Climate B'!F76</f>
        <v>0</v>
      </c>
      <c r="G76" s="35">
        <f>'Climate A'!G76-'Climate B'!G76</f>
        <v>0</v>
      </c>
      <c r="H76" s="35">
        <f>'Climate A'!H76-'Climate B'!H76</f>
        <v>0</v>
      </c>
      <c r="I76" s="35">
        <f>'Climate A'!I76-'Climate B'!I76</f>
        <v>0</v>
      </c>
      <c r="J76" s="35">
        <f>'Climate A'!J76-'Climate B'!J76</f>
        <v>0</v>
      </c>
      <c r="K76" s="35">
        <f>'Climate A'!K76-'Climate B'!K76</f>
        <v>0</v>
      </c>
      <c r="L76" s="35">
        <f>'Climate A'!L76-'Climate B'!L76</f>
        <v>0</v>
      </c>
      <c r="M76" s="35">
        <f>'Climate A'!M76-'Climate B'!M76</f>
        <v>0</v>
      </c>
      <c r="N76" s="6" t="str">
        <f>'Base data'!$F$21</f>
        <v>W/m2</v>
      </c>
    </row>
    <row r="77" spans="1:14" s="6" customFormat="1" x14ac:dyDescent="0.25">
      <c r="B77" s="1" t="str">
        <v>CA</v>
      </c>
      <c r="C77" s="35">
        <f>'Climate A'!C77-'Climate B'!C77</f>
        <v>0</v>
      </c>
      <c r="D77" s="35">
        <f>'Climate A'!D77-'Climate B'!D77</f>
        <v>0</v>
      </c>
      <c r="E77" s="35">
        <f>'Climate A'!E77-'Climate B'!E77</f>
        <v>0</v>
      </c>
      <c r="F77" s="35">
        <f>'Climate A'!F77-'Climate B'!F77</f>
        <v>0</v>
      </c>
      <c r="G77" s="35">
        <f>'Climate A'!G77-'Climate B'!G77</f>
        <v>0</v>
      </c>
      <c r="H77" s="35">
        <f>'Climate A'!H77-'Climate B'!H77</f>
        <v>0</v>
      </c>
      <c r="I77" s="35">
        <f>'Climate A'!I77-'Climate B'!I77</f>
        <v>0</v>
      </c>
      <c r="J77" s="35">
        <f>'Climate A'!J77-'Climate B'!J77</f>
        <v>0</v>
      </c>
      <c r="K77" s="35">
        <f>'Climate A'!K77-'Climate B'!K77</f>
        <v>0</v>
      </c>
      <c r="L77" s="35">
        <f>'Climate A'!L77-'Climate B'!L77</f>
        <v>0</v>
      </c>
      <c r="M77" s="35">
        <f>'Climate A'!M77-'Climate B'!M77</f>
        <v>0</v>
      </c>
      <c r="N77" s="6" t="str">
        <f>'Base data'!$F$21</f>
        <v>W/m2</v>
      </c>
    </row>
    <row r="78" spans="1:14" s="6" customFormat="1" x14ac:dyDescent="0.25">
      <c r="B78" s="1" t="str">
        <v>IA</v>
      </c>
      <c r="C78" s="35">
        <f>'Climate A'!C78-'Climate B'!C78</f>
        <v>0</v>
      </c>
      <c r="D78" s="35">
        <f>'Climate A'!D78-'Climate B'!D78</f>
        <v>0</v>
      </c>
      <c r="E78" s="35">
        <f>'Climate A'!E78-'Climate B'!E78</f>
        <v>0</v>
      </c>
      <c r="F78" s="35">
        <f>'Climate A'!F78-'Climate B'!F78</f>
        <v>0</v>
      </c>
      <c r="G78" s="35">
        <f>'Climate A'!G78-'Climate B'!G78</f>
        <v>0</v>
      </c>
      <c r="H78" s="35">
        <f>'Climate A'!H78-'Climate B'!H78</f>
        <v>0</v>
      </c>
      <c r="I78" s="35">
        <f>'Climate A'!I78-'Climate B'!I78</f>
        <v>0</v>
      </c>
      <c r="J78" s="35">
        <f>'Climate A'!J78-'Climate B'!J78</f>
        <v>0</v>
      </c>
      <c r="K78" s="35">
        <f>'Climate A'!K78-'Climate B'!K78</f>
        <v>0</v>
      </c>
      <c r="L78" s="35">
        <f>'Climate A'!L78-'Climate B'!L78</f>
        <v>0</v>
      </c>
      <c r="M78" s="35">
        <f>'Climate A'!M78-'Climate B'!M78</f>
        <v>0</v>
      </c>
      <c r="N78" s="6" t="str">
        <f>'Base data'!$F$21</f>
        <v>W/m2</v>
      </c>
    </row>
    <row r="79" spans="1:14" s="6" customFormat="1" x14ac:dyDescent="0.25">
      <c r="B79" s="1" t="str">
        <v>AF</v>
      </c>
      <c r="C79" s="35">
        <f>'Climate A'!C79-'Climate B'!C79</f>
        <v>0</v>
      </c>
      <c r="D79" s="35">
        <f>'Climate A'!D79-'Climate B'!D79</f>
        <v>0</v>
      </c>
      <c r="E79" s="35">
        <f>'Climate A'!E79-'Climate B'!E79</f>
        <v>0</v>
      </c>
      <c r="F79" s="35">
        <f>'Climate A'!F79-'Climate B'!F79</f>
        <v>0</v>
      </c>
      <c r="G79" s="35">
        <f>'Climate A'!G79-'Climate B'!G79</f>
        <v>0</v>
      </c>
      <c r="H79" s="35">
        <f>'Climate A'!H79-'Climate B'!H79</f>
        <v>0</v>
      </c>
      <c r="I79" s="35">
        <f>'Climate A'!I79-'Climate B'!I79</f>
        <v>0</v>
      </c>
      <c r="J79" s="35">
        <f>'Climate A'!J79-'Climate B'!J79</f>
        <v>0</v>
      </c>
      <c r="K79" s="35">
        <f>'Climate A'!K79-'Climate B'!K79</f>
        <v>0</v>
      </c>
      <c r="L79" s="35">
        <f>'Climate A'!L79-'Climate B'!L79</f>
        <v>0</v>
      </c>
      <c r="M79" s="35">
        <f>'Climate A'!M79-'Climate B'!M79</f>
        <v>0</v>
      </c>
      <c r="N79" s="6" t="str">
        <f>'Base data'!$F$21</f>
        <v>W/m2</v>
      </c>
    </row>
    <row r="80" spans="1:14" s="6" customFormat="1" x14ac:dyDescent="0.25">
      <c r="B80" s="1" t="str">
        <v>LA</v>
      </c>
      <c r="C80" s="35">
        <f>'Climate A'!C80-'Climate B'!C80</f>
        <v>0</v>
      </c>
      <c r="D80" s="35">
        <f>'Climate A'!D80-'Climate B'!D80</f>
        <v>0</v>
      </c>
      <c r="E80" s="35">
        <f>'Climate A'!E80-'Climate B'!E80</f>
        <v>0</v>
      </c>
      <c r="F80" s="35">
        <f>'Climate A'!F80-'Climate B'!F80</f>
        <v>0</v>
      </c>
      <c r="G80" s="35">
        <f>'Climate A'!G80-'Climate B'!G80</f>
        <v>0</v>
      </c>
      <c r="H80" s="35">
        <f>'Climate A'!H80-'Climate B'!H80</f>
        <v>0</v>
      </c>
      <c r="I80" s="35">
        <f>'Climate A'!I80-'Climate B'!I80</f>
        <v>0</v>
      </c>
      <c r="J80" s="35">
        <f>'Climate A'!J80-'Climate B'!J80</f>
        <v>0</v>
      </c>
      <c r="K80" s="35">
        <f>'Climate A'!K80-'Climate B'!K80</f>
        <v>0</v>
      </c>
      <c r="L80" s="35">
        <f>'Climate A'!L80-'Climate B'!L80</f>
        <v>0</v>
      </c>
      <c r="M80" s="35">
        <f>'Climate A'!M80-'Climate B'!M80</f>
        <v>0</v>
      </c>
      <c r="N80" s="6" t="str">
        <f>'Base data'!$F$21</f>
        <v>W/m2</v>
      </c>
    </row>
    <row r="81" spans="1:14" s="6" customFormat="1" x14ac:dyDescent="0.25">
      <c r="B81" s="6" t="s">
        <v>172</v>
      </c>
      <c r="C81" s="77">
        <f>'Climate A'!C81-'Climate B'!C81</f>
        <v>0</v>
      </c>
      <c r="D81" s="77">
        <f>'Climate A'!D81-'Climate B'!D81</f>
        <v>0</v>
      </c>
      <c r="E81" s="77">
        <f>'Climate A'!E81-'Climate B'!E81</f>
        <v>0</v>
      </c>
      <c r="F81" s="77">
        <f>'Climate A'!F81-'Climate B'!F81</f>
        <v>0</v>
      </c>
      <c r="G81" s="77">
        <f>'Climate A'!G81-'Climate B'!G81</f>
        <v>0</v>
      </c>
      <c r="H81" s="77">
        <f>'Climate A'!H81-'Climate B'!H81</f>
        <v>0</v>
      </c>
      <c r="I81" s="77">
        <f>'Climate A'!I81-'Climate B'!I81</f>
        <v>0</v>
      </c>
      <c r="J81" s="77">
        <f>'Climate A'!J81-'Climate B'!J81</f>
        <v>0</v>
      </c>
      <c r="K81" s="77">
        <f>'Climate A'!K81-'Climate B'!K81</f>
        <v>0</v>
      </c>
      <c r="L81" s="77">
        <f>'Climate A'!L81-'Climate B'!L81</f>
        <v>0</v>
      </c>
      <c r="M81" s="77">
        <f>'Climate A'!M81-'Climate B'!M81</f>
        <v>0</v>
      </c>
      <c r="N81" s="6" t="s">
        <v>51</v>
      </c>
    </row>
    <row r="82" spans="1:14" s="6" customFormat="1" x14ac:dyDescent="0.25">
      <c r="A82" s="78" t="s">
        <v>241</v>
      </c>
      <c r="B82" s="1" t="str">
        <f t="array" ref="B82:B89">R_CODE</f>
        <v>EU</v>
      </c>
      <c r="D82" s="35">
        <f>'Climate A'!D82-'Climate B'!D82</f>
        <v>0</v>
      </c>
      <c r="E82" s="35">
        <f>'Climate A'!E82-'Climate B'!E82</f>
        <v>0</v>
      </c>
      <c r="F82" s="35">
        <f>'Climate A'!F82-'Climate B'!F82</f>
        <v>0</v>
      </c>
      <c r="G82" s="35">
        <f>'Climate A'!G82-'Climate B'!G82</f>
        <v>0</v>
      </c>
      <c r="H82" s="35">
        <f>'Climate A'!H82-'Climate B'!H82</f>
        <v>0</v>
      </c>
      <c r="I82" s="35">
        <f>'Climate A'!I82-'Climate B'!I82</f>
        <v>0</v>
      </c>
      <c r="J82" s="35">
        <f>'Climate A'!J82-'Climate B'!J82</f>
        <v>0</v>
      </c>
      <c r="K82" s="35">
        <f>'Climate A'!K82-'Climate B'!K82</f>
        <v>0</v>
      </c>
      <c r="L82" s="35">
        <f>'Climate A'!L82-'Climate B'!L82</f>
        <v>0</v>
      </c>
      <c r="M82" s="35">
        <f>'Climate A'!M82-'Climate B'!M82</f>
        <v>0</v>
      </c>
      <c r="N82" s="6" t="str">
        <f>'Base data'!$F$21</f>
        <v>W/m2</v>
      </c>
    </row>
    <row r="83" spans="1:14" s="6" customFormat="1" x14ac:dyDescent="0.25">
      <c r="B83" s="1" t="str">
        <v>US</v>
      </c>
      <c r="D83" s="35">
        <f>'Climate A'!D83-'Climate B'!D83</f>
        <v>0</v>
      </c>
      <c r="E83" s="35">
        <f>'Climate A'!E83-'Climate B'!E83</f>
        <v>0</v>
      </c>
      <c r="F83" s="35">
        <f>'Climate A'!F83-'Climate B'!F83</f>
        <v>0</v>
      </c>
      <c r="G83" s="35">
        <f>'Climate A'!G83-'Climate B'!G83</f>
        <v>0</v>
      </c>
      <c r="H83" s="35">
        <f>'Climate A'!H83-'Climate B'!H83</f>
        <v>0</v>
      </c>
      <c r="I83" s="35">
        <f>'Climate A'!I83-'Climate B'!I83</f>
        <v>0</v>
      </c>
      <c r="J83" s="35">
        <f>'Climate A'!J83-'Climate B'!J83</f>
        <v>0</v>
      </c>
      <c r="K83" s="35">
        <f>'Climate A'!K83-'Climate B'!K83</f>
        <v>0</v>
      </c>
      <c r="L83" s="35">
        <f>'Climate A'!L83-'Climate B'!L83</f>
        <v>0</v>
      </c>
      <c r="M83" s="35">
        <f>'Climate A'!M83-'Climate B'!M83</f>
        <v>0</v>
      </c>
      <c r="N83" s="6" t="str">
        <f>'Base data'!$F$21</f>
        <v>W/m2</v>
      </c>
    </row>
    <row r="84" spans="1:14" s="6" customFormat="1" x14ac:dyDescent="0.25">
      <c r="B84" s="1" t="str">
        <v>OT</v>
      </c>
      <c r="D84" s="35">
        <f>'Climate A'!D84-'Climate B'!D84</f>
        <v>0</v>
      </c>
      <c r="E84" s="35">
        <f>'Climate A'!E84-'Climate B'!E84</f>
        <v>0</v>
      </c>
      <c r="F84" s="35">
        <f>'Climate A'!F84-'Climate B'!F84</f>
        <v>0</v>
      </c>
      <c r="G84" s="35">
        <f>'Climate A'!G84-'Climate B'!G84</f>
        <v>0</v>
      </c>
      <c r="H84" s="35">
        <f>'Climate A'!H84-'Climate B'!H84</f>
        <v>0</v>
      </c>
      <c r="I84" s="35">
        <f>'Climate A'!I84-'Climate B'!I84</f>
        <v>0</v>
      </c>
      <c r="J84" s="35">
        <f>'Climate A'!J84-'Climate B'!J84</f>
        <v>0</v>
      </c>
      <c r="K84" s="35">
        <f>'Climate A'!K84-'Climate B'!K84</f>
        <v>0</v>
      </c>
      <c r="L84" s="35">
        <f>'Climate A'!L84-'Climate B'!L84</f>
        <v>0</v>
      </c>
      <c r="M84" s="35">
        <f>'Climate A'!M84-'Climate B'!M84</f>
        <v>0</v>
      </c>
      <c r="N84" s="6" t="str">
        <f>'Base data'!$F$21</f>
        <v>W/m2</v>
      </c>
    </row>
    <row r="85" spans="1:14" s="6" customFormat="1" x14ac:dyDescent="0.25">
      <c r="B85" s="1" t="str">
        <v>EE</v>
      </c>
      <c r="D85" s="35">
        <f>'Climate A'!D85-'Climate B'!D85</f>
        <v>0</v>
      </c>
      <c r="E85" s="35">
        <f>'Climate A'!E85-'Climate B'!E85</f>
        <v>0</v>
      </c>
      <c r="F85" s="35">
        <f>'Climate A'!F85-'Climate B'!F85</f>
        <v>0</v>
      </c>
      <c r="G85" s="35">
        <f>'Climate A'!G85-'Climate B'!G85</f>
        <v>0</v>
      </c>
      <c r="H85" s="35">
        <f>'Climate A'!H85-'Climate B'!H85</f>
        <v>0</v>
      </c>
      <c r="I85" s="35">
        <f>'Climate A'!I85-'Climate B'!I85</f>
        <v>0</v>
      </c>
      <c r="J85" s="35">
        <f>'Climate A'!J85-'Climate B'!J85</f>
        <v>0</v>
      </c>
      <c r="K85" s="35">
        <f>'Climate A'!K85-'Climate B'!K85</f>
        <v>0</v>
      </c>
      <c r="L85" s="35">
        <f>'Climate A'!L85-'Climate B'!L85</f>
        <v>0</v>
      </c>
      <c r="M85" s="35">
        <f>'Climate A'!M85-'Climate B'!M85</f>
        <v>0</v>
      </c>
      <c r="N85" s="6" t="str">
        <f>'Base data'!$F$21</f>
        <v>W/m2</v>
      </c>
    </row>
    <row r="86" spans="1:14" s="6" customFormat="1" x14ac:dyDescent="0.25">
      <c r="B86" s="1" t="str">
        <v>CA</v>
      </c>
      <c r="D86" s="35">
        <f>'Climate A'!D86-'Climate B'!D86</f>
        <v>0</v>
      </c>
      <c r="E86" s="35">
        <f>'Climate A'!E86-'Climate B'!E86</f>
        <v>0</v>
      </c>
      <c r="F86" s="35">
        <f>'Climate A'!F86-'Climate B'!F86</f>
        <v>0</v>
      </c>
      <c r="G86" s="35">
        <f>'Climate A'!G86-'Climate B'!G86</f>
        <v>0</v>
      </c>
      <c r="H86" s="35">
        <f>'Climate A'!H86-'Climate B'!H86</f>
        <v>0</v>
      </c>
      <c r="I86" s="35">
        <f>'Climate A'!I86-'Climate B'!I86</f>
        <v>0</v>
      </c>
      <c r="J86" s="35">
        <f>'Climate A'!J86-'Climate B'!J86</f>
        <v>0</v>
      </c>
      <c r="K86" s="35">
        <f>'Climate A'!K86-'Climate B'!K86</f>
        <v>0</v>
      </c>
      <c r="L86" s="35">
        <f>'Climate A'!L86-'Climate B'!L86</f>
        <v>0</v>
      </c>
      <c r="M86" s="35">
        <f>'Climate A'!M86-'Climate B'!M86</f>
        <v>0</v>
      </c>
      <c r="N86" s="6" t="str">
        <f>'Base data'!$F$21</f>
        <v>W/m2</v>
      </c>
    </row>
    <row r="87" spans="1:14" s="6" customFormat="1" x14ac:dyDescent="0.25">
      <c r="B87" s="1" t="str">
        <v>IA</v>
      </c>
      <c r="D87" s="35">
        <f>'Climate A'!D87-'Climate B'!D87</f>
        <v>0</v>
      </c>
      <c r="E87" s="35">
        <f>'Climate A'!E87-'Climate B'!E87</f>
        <v>0</v>
      </c>
      <c r="F87" s="35">
        <f>'Climate A'!F87-'Climate B'!F87</f>
        <v>0</v>
      </c>
      <c r="G87" s="35">
        <f>'Climate A'!G87-'Climate B'!G87</f>
        <v>0</v>
      </c>
      <c r="H87" s="35">
        <f>'Climate A'!H87-'Climate B'!H87</f>
        <v>0</v>
      </c>
      <c r="I87" s="35">
        <f>'Climate A'!I87-'Climate B'!I87</f>
        <v>0</v>
      </c>
      <c r="J87" s="35">
        <f>'Climate A'!J87-'Climate B'!J87</f>
        <v>0</v>
      </c>
      <c r="K87" s="35">
        <f>'Climate A'!K87-'Climate B'!K87</f>
        <v>0</v>
      </c>
      <c r="L87" s="35">
        <f>'Climate A'!L87-'Climate B'!L87</f>
        <v>0</v>
      </c>
      <c r="M87" s="35">
        <f>'Climate A'!M87-'Climate B'!M87</f>
        <v>0</v>
      </c>
      <c r="N87" s="6" t="str">
        <f>'Base data'!$F$21</f>
        <v>W/m2</v>
      </c>
    </row>
    <row r="88" spans="1:14" s="6" customFormat="1" x14ac:dyDescent="0.25">
      <c r="B88" s="1" t="str">
        <v>AF</v>
      </c>
      <c r="D88" s="35">
        <f>'Climate A'!D88-'Climate B'!D88</f>
        <v>0</v>
      </c>
      <c r="E88" s="35">
        <f>'Climate A'!E88-'Climate B'!E88</f>
        <v>0</v>
      </c>
      <c r="F88" s="35">
        <f>'Climate A'!F88-'Climate B'!F88</f>
        <v>0</v>
      </c>
      <c r="G88" s="35">
        <f>'Climate A'!G88-'Climate B'!G88</f>
        <v>0</v>
      </c>
      <c r="H88" s="35">
        <f>'Climate A'!H88-'Climate B'!H88</f>
        <v>0</v>
      </c>
      <c r="I88" s="35">
        <f>'Climate A'!I88-'Climate B'!I88</f>
        <v>0</v>
      </c>
      <c r="J88" s="35">
        <f>'Climate A'!J88-'Climate B'!J88</f>
        <v>0</v>
      </c>
      <c r="K88" s="35">
        <f>'Climate A'!K88-'Climate B'!K88</f>
        <v>0</v>
      </c>
      <c r="L88" s="35">
        <f>'Climate A'!L88-'Climate B'!L88</f>
        <v>0</v>
      </c>
      <c r="M88" s="35">
        <f>'Climate A'!M88-'Climate B'!M88</f>
        <v>0</v>
      </c>
      <c r="N88" s="6" t="str">
        <f>'Base data'!$F$21</f>
        <v>W/m2</v>
      </c>
    </row>
    <row r="89" spans="1:14" s="6" customFormat="1" x14ac:dyDescent="0.25">
      <c r="B89" s="1" t="str">
        <v>LA</v>
      </c>
      <c r="D89" s="35">
        <f>'Climate A'!D89-'Climate B'!D89</f>
        <v>0</v>
      </c>
      <c r="E89" s="35">
        <f>'Climate A'!E89-'Climate B'!E89</f>
        <v>0</v>
      </c>
      <c r="F89" s="35">
        <f>'Climate A'!F89-'Climate B'!F89</f>
        <v>0</v>
      </c>
      <c r="G89" s="35">
        <f>'Climate A'!G89-'Climate B'!G89</f>
        <v>0</v>
      </c>
      <c r="H89" s="35">
        <f>'Climate A'!H89-'Climate B'!H89</f>
        <v>0</v>
      </c>
      <c r="I89" s="35">
        <f>'Climate A'!I89-'Climate B'!I89</f>
        <v>0</v>
      </c>
      <c r="J89" s="35">
        <f>'Climate A'!J89-'Climate B'!J89</f>
        <v>0</v>
      </c>
      <c r="K89" s="35">
        <f>'Climate A'!K89-'Climate B'!K89</f>
        <v>0</v>
      </c>
      <c r="L89" s="35">
        <f>'Climate A'!L89-'Climate B'!L89</f>
        <v>0</v>
      </c>
      <c r="M89" s="35">
        <f>'Climate A'!M89-'Climate B'!M89</f>
        <v>0</v>
      </c>
      <c r="N89" s="6" t="str">
        <f>'Base data'!$F$21</f>
        <v>W/m2</v>
      </c>
    </row>
    <row r="90" spans="1:14" s="6" customFormat="1" x14ac:dyDescent="0.25">
      <c r="B90" s="6" t="s">
        <v>172</v>
      </c>
      <c r="D90" s="77">
        <f>'Climate A'!D90-'Climate B'!D90</f>
        <v>0</v>
      </c>
      <c r="E90" s="77">
        <f>'Climate A'!E90-'Climate B'!E90</f>
        <v>0</v>
      </c>
      <c r="F90" s="77">
        <f>'Climate A'!F90-'Climate B'!F90</f>
        <v>0</v>
      </c>
      <c r="G90" s="77">
        <f>'Climate A'!G90-'Climate B'!G90</f>
        <v>0</v>
      </c>
      <c r="H90" s="77">
        <f>'Climate A'!H90-'Climate B'!H90</f>
        <v>0</v>
      </c>
      <c r="I90" s="77">
        <f>'Climate A'!I90-'Climate B'!I90</f>
        <v>0</v>
      </c>
      <c r="J90" s="77">
        <f>'Climate A'!J90-'Climate B'!J90</f>
        <v>0</v>
      </c>
      <c r="K90" s="77">
        <f>'Climate A'!K90-'Climate B'!K90</f>
        <v>0</v>
      </c>
      <c r="L90" s="77">
        <f>'Climate A'!L90-'Climate B'!L90</f>
        <v>0</v>
      </c>
      <c r="M90" s="77">
        <f>'Climate A'!M90-'Climate B'!M90</f>
        <v>0</v>
      </c>
      <c r="N90" s="6" t="s">
        <v>51</v>
      </c>
    </row>
    <row r="91" spans="1:14" x14ac:dyDescent="0.25">
      <c r="A91" t="s">
        <v>99</v>
      </c>
      <c r="B91" t="s">
        <v>100</v>
      </c>
      <c r="C91" s="1" t="str">
        <f t="array" ref="C91:C98">R_CODE</f>
        <v>EU</v>
      </c>
      <c r="D91" s="35">
        <f>'Climate A'!D91-'Climate B'!D91</f>
        <v>0</v>
      </c>
      <c r="E91" s="35">
        <f>'Climate A'!E91-'Climate B'!E91</f>
        <v>0</v>
      </c>
      <c r="F91" s="35">
        <f>'Climate A'!F91-'Climate B'!F91</f>
        <v>0</v>
      </c>
      <c r="G91" s="35">
        <f>'Climate A'!G91-'Climate B'!G91</f>
        <v>0</v>
      </c>
      <c r="H91" s="35">
        <f>'Climate A'!H91-'Climate B'!H91</f>
        <v>0</v>
      </c>
      <c r="I91" s="35">
        <f>'Climate A'!I91-'Climate B'!I91</f>
        <v>0</v>
      </c>
      <c r="J91" s="35">
        <f>'Climate A'!J91-'Climate B'!J91</f>
        <v>0</v>
      </c>
      <c r="K91" s="35">
        <f>'Climate A'!K91-'Climate B'!K91</f>
        <v>0</v>
      </c>
      <c r="L91" s="35">
        <f>'Climate A'!L91-'Climate B'!L91</f>
        <v>0</v>
      </c>
      <c r="M91" s="35">
        <f>'Climate A'!M91-'Climate B'!M91</f>
        <v>0</v>
      </c>
      <c r="N91" s="6" t="str">
        <f>'Base data'!$F$21</f>
        <v>W/m2</v>
      </c>
    </row>
    <row r="92" spans="1:14" x14ac:dyDescent="0.25">
      <c r="C92" s="1" t="str">
        <v>US</v>
      </c>
      <c r="D92" s="35">
        <f>'Climate A'!D92-'Climate B'!D92</f>
        <v>0</v>
      </c>
      <c r="E92" s="35">
        <f>'Climate A'!E92-'Climate B'!E92</f>
        <v>0</v>
      </c>
      <c r="F92" s="35">
        <f>'Climate A'!F92-'Climate B'!F92</f>
        <v>0</v>
      </c>
      <c r="G92" s="35">
        <f>'Climate A'!G92-'Climate B'!G92</f>
        <v>0</v>
      </c>
      <c r="H92" s="35">
        <f>'Climate A'!H92-'Climate B'!H92</f>
        <v>0</v>
      </c>
      <c r="I92" s="35">
        <f>'Climate A'!I92-'Climate B'!I92</f>
        <v>0</v>
      </c>
      <c r="J92" s="35">
        <f>'Climate A'!J92-'Climate B'!J92</f>
        <v>0</v>
      </c>
      <c r="K92" s="35">
        <f>'Climate A'!K92-'Climate B'!K92</f>
        <v>0</v>
      </c>
      <c r="L92" s="35">
        <f>'Climate A'!L92-'Climate B'!L92</f>
        <v>0</v>
      </c>
      <c r="M92" s="35">
        <f>'Climate A'!M92-'Climate B'!M92</f>
        <v>0</v>
      </c>
      <c r="N92" s="6" t="str">
        <f>'Base data'!$F$21</f>
        <v>W/m2</v>
      </c>
    </row>
    <row r="93" spans="1:14" x14ac:dyDescent="0.25">
      <c r="C93" s="1" t="str">
        <v>OT</v>
      </c>
      <c r="D93" s="35">
        <f>'Climate A'!D93-'Climate B'!D93</f>
        <v>0</v>
      </c>
      <c r="E93" s="35">
        <f>'Climate A'!E93-'Climate B'!E93</f>
        <v>0</v>
      </c>
      <c r="F93" s="35">
        <f>'Climate A'!F93-'Climate B'!F93</f>
        <v>0</v>
      </c>
      <c r="G93" s="35">
        <f>'Climate A'!G93-'Climate B'!G93</f>
        <v>0</v>
      </c>
      <c r="H93" s="35">
        <f>'Climate A'!H93-'Climate B'!H93</f>
        <v>0</v>
      </c>
      <c r="I93" s="35">
        <f>'Climate A'!I93-'Climate B'!I93</f>
        <v>0</v>
      </c>
      <c r="J93" s="35">
        <f>'Climate A'!J93-'Climate B'!J93</f>
        <v>0</v>
      </c>
      <c r="K93" s="35">
        <f>'Climate A'!K93-'Climate B'!K93</f>
        <v>0</v>
      </c>
      <c r="L93" s="35">
        <f>'Climate A'!L93-'Climate B'!L93</f>
        <v>0</v>
      </c>
      <c r="M93" s="35">
        <f>'Climate A'!M93-'Climate B'!M93</f>
        <v>0</v>
      </c>
      <c r="N93" s="6" t="str">
        <f>'Base data'!$F$21</f>
        <v>W/m2</v>
      </c>
    </row>
    <row r="94" spans="1:14" x14ac:dyDescent="0.25">
      <c r="C94" s="1" t="str">
        <v>EE</v>
      </c>
      <c r="D94" s="35">
        <f>'Climate A'!D94-'Climate B'!D94</f>
        <v>0</v>
      </c>
      <c r="E94" s="35">
        <f>'Climate A'!E94-'Climate B'!E94</f>
        <v>0</v>
      </c>
      <c r="F94" s="35">
        <f>'Climate A'!F94-'Climate B'!F94</f>
        <v>0</v>
      </c>
      <c r="G94" s="35">
        <f>'Climate A'!G94-'Climate B'!G94</f>
        <v>0</v>
      </c>
      <c r="H94" s="35">
        <f>'Climate A'!H94-'Climate B'!H94</f>
        <v>0</v>
      </c>
      <c r="I94" s="35">
        <f>'Climate A'!I94-'Climate B'!I94</f>
        <v>0</v>
      </c>
      <c r="J94" s="35">
        <f>'Climate A'!J94-'Climate B'!J94</f>
        <v>0</v>
      </c>
      <c r="K94" s="35">
        <f>'Climate A'!K94-'Climate B'!K94</f>
        <v>0</v>
      </c>
      <c r="L94" s="35">
        <f>'Climate A'!L94-'Climate B'!L94</f>
        <v>0</v>
      </c>
      <c r="M94" s="35">
        <f>'Climate A'!M94-'Climate B'!M94</f>
        <v>0</v>
      </c>
      <c r="N94" s="6" t="str">
        <f>'Base data'!$F$21</f>
        <v>W/m2</v>
      </c>
    </row>
    <row r="95" spans="1:14" x14ac:dyDescent="0.25">
      <c r="C95" s="1" t="str">
        <v>CA</v>
      </c>
      <c r="D95" s="35">
        <f>'Climate A'!D95-'Climate B'!D95</f>
        <v>0</v>
      </c>
      <c r="E95" s="35">
        <f>'Climate A'!E95-'Climate B'!E95</f>
        <v>0</v>
      </c>
      <c r="F95" s="35">
        <f>'Climate A'!F95-'Climate B'!F95</f>
        <v>0</v>
      </c>
      <c r="G95" s="35">
        <f>'Climate A'!G95-'Climate B'!G95</f>
        <v>0</v>
      </c>
      <c r="H95" s="35">
        <f>'Climate A'!H95-'Climate B'!H95</f>
        <v>0</v>
      </c>
      <c r="I95" s="35">
        <f>'Climate A'!I95-'Climate B'!I95</f>
        <v>0</v>
      </c>
      <c r="J95" s="35">
        <f>'Climate A'!J95-'Climate B'!J95</f>
        <v>0</v>
      </c>
      <c r="K95" s="35">
        <f>'Climate A'!K95-'Climate B'!K95</f>
        <v>0</v>
      </c>
      <c r="L95" s="35">
        <f>'Climate A'!L95-'Climate B'!L95</f>
        <v>0</v>
      </c>
      <c r="M95" s="35">
        <f>'Climate A'!M95-'Climate B'!M95</f>
        <v>0</v>
      </c>
      <c r="N95" s="6" t="str">
        <f>'Base data'!$F$21</f>
        <v>W/m2</v>
      </c>
    </row>
    <row r="96" spans="1:14" x14ac:dyDescent="0.25">
      <c r="C96" s="1" t="str">
        <v>IA</v>
      </c>
      <c r="D96" s="35">
        <f>'Climate A'!D96-'Climate B'!D96</f>
        <v>0</v>
      </c>
      <c r="E96" s="35">
        <f>'Climate A'!E96-'Climate B'!E96</f>
        <v>0</v>
      </c>
      <c r="F96" s="35">
        <f>'Climate A'!F96-'Climate B'!F96</f>
        <v>0</v>
      </c>
      <c r="G96" s="35">
        <f>'Climate A'!G96-'Climate B'!G96</f>
        <v>0</v>
      </c>
      <c r="H96" s="35">
        <f>'Climate A'!H96-'Climate B'!H96</f>
        <v>0</v>
      </c>
      <c r="I96" s="35">
        <f>'Climate A'!I96-'Climate B'!I96</f>
        <v>0</v>
      </c>
      <c r="J96" s="35">
        <f>'Climate A'!J96-'Climate B'!J96</f>
        <v>0</v>
      </c>
      <c r="K96" s="35">
        <f>'Climate A'!K96-'Climate B'!K96</f>
        <v>0</v>
      </c>
      <c r="L96" s="35">
        <f>'Climate A'!L96-'Climate B'!L96</f>
        <v>0</v>
      </c>
      <c r="M96" s="35">
        <f>'Climate A'!M96-'Climate B'!M96</f>
        <v>0</v>
      </c>
      <c r="N96" s="6" t="str">
        <f>'Base data'!$F$21</f>
        <v>W/m2</v>
      </c>
    </row>
    <row r="97" spans="1:14" x14ac:dyDescent="0.25">
      <c r="C97" s="1" t="str">
        <v>AF</v>
      </c>
      <c r="D97" s="35">
        <f>'Climate A'!D97-'Climate B'!D97</f>
        <v>0</v>
      </c>
      <c r="E97" s="35">
        <f>'Climate A'!E97-'Climate B'!E97</f>
        <v>0</v>
      </c>
      <c r="F97" s="35">
        <f>'Climate A'!F97-'Climate B'!F97</f>
        <v>0</v>
      </c>
      <c r="G97" s="35">
        <f>'Climate A'!G97-'Climate B'!G97</f>
        <v>0</v>
      </c>
      <c r="H97" s="35">
        <f>'Climate A'!H97-'Climate B'!H97</f>
        <v>0</v>
      </c>
      <c r="I97" s="35">
        <f>'Climate A'!I97-'Climate B'!I97</f>
        <v>0</v>
      </c>
      <c r="J97" s="35">
        <f>'Climate A'!J97-'Climate B'!J97</f>
        <v>0</v>
      </c>
      <c r="K97" s="35">
        <f>'Climate A'!K97-'Climate B'!K97</f>
        <v>0</v>
      </c>
      <c r="L97" s="35">
        <f>'Climate A'!L97-'Climate B'!L97</f>
        <v>0</v>
      </c>
      <c r="M97" s="35">
        <f>'Climate A'!M97-'Climate B'!M97</f>
        <v>0</v>
      </c>
      <c r="N97" s="6" t="str">
        <f>'Base data'!$F$21</f>
        <v>W/m2</v>
      </c>
    </row>
    <row r="98" spans="1:14" ht="13" thickBot="1" x14ac:dyDescent="0.3">
      <c r="C98" s="1" t="str">
        <v>LA</v>
      </c>
      <c r="D98" s="49">
        <f>'Climate A'!D98-'Climate B'!D98</f>
        <v>0</v>
      </c>
      <c r="E98" s="49">
        <f>'Climate A'!E98-'Climate B'!E98</f>
        <v>0</v>
      </c>
      <c r="F98" s="49">
        <f>'Climate A'!F98-'Climate B'!F98</f>
        <v>0</v>
      </c>
      <c r="G98" s="49">
        <f>'Climate A'!G98-'Climate B'!G98</f>
        <v>0</v>
      </c>
      <c r="H98" s="49">
        <f>'Climate A'!H98-'Climate B'!H98</f>
        <v>0</v>
      </c>
      <c r="I98" s="49">
        <f>'Climate A'!I98-'Climate B'!I98</f>
        <v>0</v>
      </c>
      <c r="J98" s="49">
        <f>'Climate A'!J98-'Climate B'!J98</f>
        <v>0</v>
      </c>
      <c r="K98" s="49">
        <f>'Climate A'!K98-'Climate B'!K98</f>
        <v>0</v>
      </c>
      <c r="L98" s="49">
        <f>'Climate A'!L98-'Climate B'!L98</f>
        <v>0</v>
      </c>
      <c r="M98" s="49">
        <f>'Climate A'!M98-'Climate B'!M98</f>
        <v>0</v>
      </c>
      <c r="N98" s="6" t="str">
        <f>'Base data'!$F$21</f>
        <v>W/m2</v>
      </c>
    </row>
    <row r="99" spans="1:14" ht="13" thickTop="1" x14ac:dyDescent="0.25">
      <c r="C99" t="s">
        <v>172</v>
      </c>
      <c r="D99" s="77">
        <f>'Climate A'!D99-'Climate B'!D99</f>
        <v>0</v>
      </c>
      <c r="E99" s="77">
        <f>'Climate A'!E99-'Climate B'!E99</f>
        <v>0</v>
      </c>
      <c r="F99" s="77">
        <f>'Climate A'!F99-'Climate B'!F99</f>
        <v>0</v>
      </c>
      <c r="G99" s="77">
        <f>'Climate A'!G99-'Climate B'!G99</f>
        <v>0</v>
      </c>
      <c r="H99" s="77">
        <f>'Climate A'!H99-'Climate B'!H99</f>
        <v>0</v>
      </c>
      <c r="I99" s="77">
        <f>'Climate A'!I99-'Climate B'!I99</f>
        <v>0</v>
      </c>
      <c r="J99" s="77">
        <f>'Climate A'!J99-'Climate B'!J99</f>
        <v>0</v>
      </c>
      <c r="K99" s="77">
        <f>'Climate A'!K99-'Climate B'!K99</f>
        <v>0</v>
      </c>
      <c r="L99" s="77">
        <f>'Climate A'!L99-'Climate B'!L99</f>
        <v>0</v>
      </c>
      <c r="M99" s="77">
        <f>'Climate A'!M99-'Climate B'!M99</f>
        <v>0</v>
      </c>
      <c r="N99" s="6" t="s">
        <v>51</v>
      </c>
    </row>
    <row r="100" spans="1:14" x14ac:dyDescent="0.25">
      <c r="D100" s="17"/>
      <c r="E100" s="17"/>
      <c r="F100" s="17"/>
      <c r="G100" s="17"/>
      <c r="H100" s="17"/>
      <c r="I100" s="17"/>
      <c r="J100" s="17"/>
      <c r="K100" s="17"/>
      <c r="L100" s="17"/>
      <c r="M100" s="17"/>
      <c r="N100" s="6"/>
    </row>
    <row r="101" spans="1:14" x14ac:dyDescent="0.25">
      <c r="A101" t="s">
        <v>101</v>
      </c>
      <c r="B101" t="s">
        <v>102</v>
      </c>
      <c r="C101" s="1" t="str">
        <f t="array" ref="C101:C108">R_CODE</f>
        <v>EU</v>
      </c>
      <c r="D101" s="39">
        <f>'Climate A'!D101-'Climate B'!D101</f>
        <v>0</v>
      </c>
      <c r="E101" s="39">
        <f>'Climate A'!E101-'Climate B'!E101</f>
        <v>-3.2542226250042994E-4</v>
      </c>
      <c r="F101" s="39">
        <f>'Climate A'!F101-'Climate B'!F101</f>
        <v>-3.4120086789179993E-4</v>
      </c>
      <c r="G101" s="39">
        <f>'Climate A'!G101-'Climate B'!G101</f>
        <v>-3.2128552755006368E-4</v>
      </c>
      <c r="H101" s="39">
        <f>'Climate A'!H101-'Climate B'!H101</f>
        <v>-3.0124653186280881E-4</v>
      </c>
      <c r="I101" s="39">
        <f>'Climate A'!I101-'Climate B'!I101</f>
        <v>-2.7005110933142618E-4</v>
      </c>
      <c r="J101" s="39">
        <f>'Climate A'!J101-'Climate B'!J101</f>
        <v>-2.3207067461905595E-4</v>
      </c>
      <c r="K101" s="39">
        <f>'Climate A'!K101-'Climate B'!K101</f>
        <v>-1.5502191829019907E-4</v>
      </c>
      <c r="L101" s="39">
        <f>'Climate A'!L101-'Climate B'!L101</f>
        <v>-8.0884448009133081E-5</v>
      </c>
      <c r="M101" s="39">
        <f>'Climate A'!M101-'Climate B'!M101</f>
        <v>-4.495889507927231E-5</v>
      </c>
      <c r="N101" t="str">
        <f>'Base data'!$L$32</f>
        <v>degC</v>
      </c>
    </row>
    <row r="102" spans="1:14" x14ac:dyDescent="0.25">
      <c r="C102" s="1" t="str">
        <v>US</v>
      </c>
      <c r="D102" s="35">
        <f>'Climate A'!D102-'Climate B'!D102</f>
        <v>0</v>
      </c>
      <c r="E102" s="35">
        <f>'Climate A'!E102-'Climate B'!E102</f>
        <v>-3.2542226250020789E-4</v>
      </c>
      <c r="F102" s="35">
        <f>'Climate A'!F102-'Climate B'!F102</f>
        <v>-3.4120086789179993E-4</v>
      </c>
      <c r="G102" s="35">
        <f>'Climate A'!G102-'Climate B'!G102</f>
        <v>-3.2128552755006368E-4</v>
      </c>
      <c r="H102" s="35">
        <f>'Climate A'!H102-'Climate B'!H102</f>
        <v>-3.0124653186280881E-4</v>
      </c>
      <c r="I102" s="35">
        <f>'Climate A'!I102-'Climate B'!I102</f>
        <v>-2.7005110933142618E-4</v>
      </c>
      <c r="J102" s="35">
        <f>'Climate A'!J102-'Climate B'!J102</f>
        <v>-2.3207067461905595E-4</v>
      </c>
      <c r="K102" s="35">
        <f>'Climate A'!K102-'Climate B'!K102</f>
        <v>-1.5502191828931089E-4</v>
      </c>
      <c r="L102" s="35">
        <f>'Climate A'!L102-'Climate B'!L102</f>
        <v>-8.0884448009133081E-5</v>
      </c>
      <c r="M102" s="35">
        <f>'Climate A'!M102-'Climate B'!M102</f>
        <v>-4.4958895079716399E-5</v>
      </c>
      <c r="N102" t="str">
        <f>'Base data'!$L$32</f>
        <v>degC</v>
      </c>
    </row>
    <row r="103" spans="1:14" x14ac:dyDescent="0.25">
      <c r="C103" s="1" t="str">
        <v>OT</v>
      </c>
      <c r="D103" s="35">
        <f>'Climate A'!D103-'Climate B'!D103</f>
        <v>0</v>
      </c>
      <c r="E103" s="35">
        <f>'Climate A'!E103-'Climate B'!E103</f>
        <v>-3.2542226250065198E-4</v>
      </c>
      <c r="F103" s="35">
        <f>'Climate A'!F103-'Climate B'!F103</f>
        <v>-3.4120086789179993E-4</v>
      </c>
      <c r="G103" s="35">
        <f>'Climate A'!G103-'Climate B'!G103</f>
        <v>-3.2128552755050777E-4</v>
      </c>
      <c r="H103" s="35">
        <f>'Climate A'!H103-'Climate B'!H103</f>
        <v>-3.0124653186236472E-4</v>
      </c>
      <c r="I103" s="35">
        <f>'Climate A'!I103-'Climate B'!I103</f>
        <v>-2.7005110933187026E-4</v>
      </c>
      <c r="J103" s="35">
        <f>'Climate A'!J103-'Climate B'!J103</f>
        <v>-2.3207067461905595E-4</v>
      </c>
      <c r="K103" s="35">
        <f>'Climate A'!K103-'Climate B'!K103</f>
        <v>-1.5502191829019907E-4</v>
      </c>
      <c r="L103" s="35">
        <f>'Climate A'!L103-'Climate B'!L103</f>
        <v>-8.0884448008688992E-5</v>
      </c>
      <c r="M103" s="35">
        <f>'Climate A'!M103-'Climate B'!M103</f>
        <v>-4.4958895080604577E-5</v>
      </c>
      <c r="N103" t="str">
        <f>'Base data'!$L$32</f>
        <v>degC</v>
      </c>
    </row>
    <row r="104" spans="1:14" x14ac:dyDescent="0.25">
      <c r="C104" s="1" t="str">
        <v>EE</v>
      </c>
      <c r="D104" s="35">
        <f>'Climate A'!D104-'Climate B'!D104</f>
        <v>0</v>
      </c>
      <c r="E104" s="35">
        <f>'Climate A'!E104-'Climate B'!E104</f>
        <v>-3.2542226250087403E-4</v>
      </c>
      <c r="F104" s="35">
        <f>'Climate A'!F104-'Climate B'!F104</f>
        <v>-3.4120086789179993E-4</v>
      </c>
      <c r="G104" s="35">
        <f>'Climate A'!G104-'Climate B'!G104</f>
        <v>-3.2128552755050777E-4</v>
      </c>
      <c r="H104" s="35">
        <f>'Climate A'!H104-'Climate B'!H104</f>
        <v>-3.0124653186280881E-4</v>
      </c>
      <c r="I104" s="35">
        <f>'Climate A'!I104-'Climate B'!I104</f>
        <v>-2.7005110933098209E-4</v>
      </c>
      <c r="J104" s="35">
        <f>'Climate A'!J104-'Climate B'!J104</f>
        <v>-2.3207067461905595E-4</v>
      </c>
      <c r="K104" s="35">
        <f>'Climate A'!K104-'Climate B'!K104</f>
        <v>-1.5502191829019907E-4</v>
      </c>
      <c r="L104" s="35">
        <f>'Climate A'!L104-'Climate B'!L104</f>
        <v>-8.0884448008688992E-5</v>
      </c>
      <c r="M104" s="35">
        <f>'Climate A'!M104-'Climate B'!M104</f>
        <v>-4.4958895080160488E-5</v>
      </c>
      <c r="N104" t="str">
        <f>'Base data'!$L$32</f>
        <v>degC</v>
      </c>
    </row>
    <row r="105" spans="1:14" x14ac:dyDescent="0.25">
      <c r="C105" s="1" t="str">
        <v>CA</v>
      </c>
      <c r="D105" s="35">
        <f>'Climate A'!D105-'Climate B'!D105</f>
        <v>0</v>
      </c>
      <c r="E105" s="35">
        <f>'Climate A'!E105-'Climate B'!E105</f>
        <v>-3.2542226250065198E-4</v>
      </c>
      <c r="F105" s="35">
        <f>'Climate A'!F105-'Climate B'!F105</f>
        <v>-3.4120086789179993E-4</v>
      </c>
      <c r="G105" s="35">
        <f>'Climate A'!G105-'Climate B'!G105</f>
        <v>-3.2128552755006368E-4</v>
      </c>
      <c r="H105" s="35">
        <f>'Climate A'!H105-'Climate B'!H105</f>
        <v>-3.0124653186214267E-4</v>
      </c>
      <c r="I105" s="35">
        <f>'Climate A'!I105-'Climate B'!I105</f>
        <v>-2.7005110933142618E-4</v>
      </c>
      <c r="J105" s="35">
        <f>'Climate A'!J105-'Climate B'!J105</f>
        <v>-2.3207067461905595E-4</v>
      </c>
      <c r="K105" s="35">
        <f>'Climate A'!K105-'Climate B'!K105</f>
        <v>-1.5502191828975498E-4</v>
      </c>
      <c r="L105" s="35">
        <f>'Climate A'!L105-'Climate B'!L105</f>
        <v>-8.0884448009133081E-5</v>
      </c>
      <c r="M105" s="35">
        <f>'Climate A'!M105-'Climate B'!M105</f>
        <v>-4.4958895080160488E-5</v>
      </c>
      <c r="N105" t="str">
        <f>'Base data'!$L$32</f>
        <v>degC</v>
      </c>
    </row>
    <row r="106" spans="1:14" x14ac:dyDescent="0.25">
      <c r="C106" s="1" t="str">
        <v>IA</v>
      </c>
      <c r="D106" s="35">
        <f>'Climate A'!D106-'Climate B'!D106</f>
        <v>0</v>
      </c>
      <c r="E106" s="35">
        <f>'Climate A'!E106-'Climate B'!E106</f>
        <v>-3.2542226250065198E-4</v>
      </c>
      <c r="F106" s="35">
        <f>'Climate A'!F106-'Climate B'!F106</f>
        <v>-3.4120086789157789E-4</v>
      </c>
      <c r="G106" s="35">
        <f>'Climate A'!G106-'Climate B'!G106</f>
        <v>-3.2128552755006368E-4</v>
      </c>
      <c r="H106" s="35">
        <f>'Climate A'!H106-'Climate B'!H106</f>
        <v>-3.0124653186280881E-4</v>
      </c>
      <c r="I106" s="35">
        <f>'Climate A'!I106-'Climate B'!I106</f>
        <v>-2.7005110933187026E-4</v>
      </c>
      <c r="J106" s="35">
        <f>'Climate A'!J106-'Climate B'!J106</f>
        <v>-2.3207067461905595E-4</v>
      </c>
      <c r="K106" s="35">
        <f>'Climate A'!K106-'Climate B'!K106</f>
        <v>-1.5502191828931089E-4</v>
      </c>
      <c r="L106" s="35">
        <f>'Climate A'!L106-'Climate B'!L106</f>
        <v>-8.0884448009133081E-5</v>
      </c>
      <c r="M106" s="35">
        <f>'Climate A'!M106-'Climate B'!M106</f>
        <v>-4.4958895079716399E-5</v>
      </c>
      <c r="N106" t="str">
        <f>'Base data'!$L$32</f>
        <v>degC</v>
      </c>
    </row>
    <row r="107" spans="1:14" x14ac:dyDescent="0.25">
      <c r="C107" s="1" t="str">
        <v>AF</v>
      </c>
      <c r="D107" s="35">
        <f>'Climate A'!D107-'Climate B'!D107</f>
        <v>0</v>
      </c>
      <c r="E107" s="35">
        <f>'Climate A'!E107-'Climate B'!E107</f>
        <v>-3.2542226250087403E-4</v>
      </c>
      <c r="F107" s="35">
        <f>'Climate A'!F107-'Climate B'!F107</f>
        <v>-3.4120086789157789E-4</v>
      </c>
      <c r="G107" s="35">
        <f>'Climate A'!G107-'Climate B'!G107</f>
        <v>-3.2128552755006368E-4</v>
      </c>
      <c r="H107" s="35">
        <f>'Climate A'!H107-'Climate B'!H107</f>
        <v>-3.0124653186236472E-4</v>
      </c>
      <c r="I107" s="35">
        <f>'Climate A'!I107-'Climate B'!I107</f>
        <v>-2.7005110933142618E-4</v>
      </c>
      <c r="J107" s="35">
        <f>'Climate A'!J107-'Climate B'!J107</f>
        <v>-2.3207067461950004E-4</v>
      </c>
      <c r="K107" s="35">
        <f>'Climate A'!K107-'Climate B'!K107</f>
        <v>-1.5502191829019907E-4</v>
      </c>
      <c r="L107" s="35">
        <f>'Climate A'!L107-'Climate B'!L107</f>
        <v>-8.0884448008244902E-5</v>
      </c>
      <c r="M107" s="35">
        <f>'Climate A'!M107-'Climate B'!M107</f>
        <v>-4.4958895080160488E-5</v>
      </c>
      <c r="N107" t="str">
        <f>'Base data'!$L$32</f>
        <v>degC</v>
      </c>
    </row>
    <row r="108" spans="1:14" x14ac:dyDescent="0.25">
      <c r="C108" s="1" t="str">
        <v>LA</v>
      </c>
      <c r="D108" s="35">
        <f>'Climate A'!D108-'Climate B'!D108</f>
        <v>0</v>
      </c>
      <c r="E108" s="35">
        <f>'Climate A'!E108-'Climate B'!E108</f>
        <v>-3.2542226250065198E-4</v>
      </c>
      <c r="F108" s="35">
        <f>'Climate A'!F108-'Climate B'!F108</f>
        <v>-3.4120086789179993E-4</v>
      </c>
      <c r="G108" s="35">
        <f>'Climate A'!G108-'Climate B'!G108</f>
        <v>-3.2128552754961959E-4</v>
      </c>
      <c r="H108" s="35">
        <f>'Climate A'!H108-'Climate B'!H108</f>
        <v>-3.0124653186192063E-4</v>
      </c>
      <c r="I108" s="35">
        <f>'Climate A'!I108-'Climate B'!I108</f>
        <v>-2.7005110933187026E-4</v>
      </c>
      <c r="J108" s="35">
        <f>'Climate A'!J108-'Climate B'!J108</f>
        <v>-2.3207067461905595E-4</v>
      </c>
      <c r="K108" s="35">
        <f>'Climate A'!K108-'Climate B'!K108</f>
        <v>-1.5502191828931089E-4</v>
      </c>
      <c r="L108" s="35">
        <f>'Climate A'!L108-'Climate B'!L108</f>
        <v>-8.0884448008688992E-5</v>
      </c>
      <c r="M108" s="35">
        <f>'Climate A'!M108-'Climate B'!M108</f>
        <v>-4.4958895079716399E-5</v>
      </c>
      <c r="N108" t="str">
        <f>'Base data'!$L$32</f>
        <v>degC</v>
      </c>
    </row>
    <row r="109" spans="1:14" s="6" customFormat="1" x14ac:dyDescent="0.25">
      <c r="A109" s="6" t="s">
        <v>104</v>
      </c>
      <c r="B109" s="78" t="s">
        <v>224</v>
      </c>
      <c r="D109" s="35">
        <f>'Climate A'!D109-'Climate B'!D109</f>
        <v>0</v>
      </c>
      <c r="E109" s="35">
        <f>'Climate A'!E109-'Climate B'!E109</f>
        <v>0</v>
      </c>
      <c r="F109" s="35">
        <f>'Climate A'!F109-'Climate B'!F109</f>
        <v>0</v>
      </c>
      <c r="G109" s="35">
        <f>'Climate A'!G109-'Climate B'!G109</f>
        <v>0</v>
      </c>
      <c r="H109" s="35">
        <f>'Climate A'!H109-'Climate B'!H109</f>
        <v>0</v>
      </c>
      <c r="I109" s="35">
        <f>'Climate A'!I109-'Climate B'!I109</f>
        <v>0</v>
      </c>
      <c r="J109" s="35">
        <f>'Climate A'!J109-'Climate B'!J109</f>
        <v>0</v>
      </c>
      <c r="K109" s="35">
        <f>'Climate A'!K109-'Climate B'!K109</f>
        <v>0</v>
      </c>
      <c r="L109" s="35">
        <f>'Climate A'!L109-'Climate B'!L109</f>
        <v>0</v>
      </c>
      <c r="M109" s="35">
        <f>'Climate A'!M109-'Climate B'!M109</f>
        <v>0</v>
      </c>
    </row>
    <row r="110" spans="1:14" s="6" customFormat="1" x14ac:dyDescent="0.25">
      <c r="A110" s="78" t="s">
        <v>204</v>
      </c>
      <c r="B110" s="78" t="s">
        <v>215</v>
      </c>
      <c r="C110" s="1" t="str">
        <f t="array" ref="C110:C117">R_CODE</f>
        <v>EU</v>
      </c>
      <c r="D110" s="35">
        <f>'Climate A'!D110-'Climate B'!D110</f>
        <v>0</v>
      </c>
      <c r="E110" s="35">
        <f>'Climate A'!E110-'Climate B'!E110</f>
        <v>0</v>
      </c>
      <c r="F110" s="35">
        <f>'Climate A'!F110-'Climate B'!F110</f>
        <v>0</v>
      </c>
      <c r="G110" s="35">
        <f>'Climate A'!G110-'Climate B'!G110</f>
        <v>0</v>
      </c>
      <c r="H110" s="35">
        <f>'Climate A'!H110-'Climate B'!H110</f>
        <v>0</v>
      </c>
      <c r="I110" s="35">
        <f>'Climate A'!I110-'Climate B'!I110</f>
        <v>0</v>
      </c>
      <c r="J110" s="35">
        <f>'Climate A'!J110-'Climate B'!J110</f>
        <v>0</v>
      </c>
      <c r="K110" s="35">
        <f>'Climate A'!K110-'Climate B'!K110</f>
        <v>0</v>
      </c>
      <c r="L110" s="35">
        <f>'Climate A'!L110-'Climate B'!L110</f>
        <v>0</v>
      </c>
      <c r="M110" s="35">
        <f>'Climate A'!M110-'Climate B'!M110</f>
        <v>0</v>
      </c>
      <c r="N110" t="str">
        <f>'Base data'!$L$32</f>
        <v>degC</v>
      </c>
    </row>
    <row r="111" spans="1:14" s="6" customFormat="1" x14ac:dyDescent="0.25">
      <c r="C111" s="1" t="str">
        <v>US</v>
      </c>
      <c r="D111" s="35">
        <f>'Climate A'!D111-'Climate B'!D111</f>
        <v>0</v>
      </c>
      <c r="E111" s="35">
        <f>'Climate A'!E111-'Climate B'!E111</f>
        <v>0</v>
      </c>
      <c r="F111" s="35">
        <f>'Climate A'!F111-'Climate B'!F111</f>
        <v>0</v>
      </c>
      <c r="G111" s="35">
        <f>'Climate A'!G111-'Climate B'!G111</f>
        <v>0</v>
      </c>
      <c r="H111" s="35">
        <f>'Climate A'!H111-'Climate B'!H111</f>
        <v>0</v>
      </c>
      <c r="I111" s="35">
        <f>'Climate A'!I111-'Climate B'!I111</f>
        <v>0</v>
      </c>
      <c r="J111" s="35">
        <f>'Climate A'!J111-'Climate B'!J111</f>
        <v>0</v>
      </c>
      <c r="K111" s="35">
        <f>'Climate A'!K111-'Climate B'!K111</f>
        <v>0</v>
      </c>
      <c r="L111" s="35">
        <f>'Climate A'!L111-'Climate B'!L111</f>
        <v>0</v>
      </c>
      <c r="M111" s="35">
        <f>'Climate A'!M111-'Climate B'!M111</f>
        <v>0</v>
      </c>
      <c r="N111" t="str">
        <f>'Base data'!$L$32</f>
        <v>degC</v>
      </c>
    </row>
    <row r="112" spans="1:14" s="6" customFormat="1" x14ac:dyDescent="0.25">
      <c r="C112" s="1" t="str">
        <v>OT</v>
      </c>
      <c r="D112" s="35">
        <f>'Climate A'!D112-'Climate B'!D112</f>
        <v>0</v>
      </c>
      <c r="E112" s="35">
        <f>'Climate A'!E112-'Climate B'!E112</f>
        <v>0</v>
      </c>
      <c r="F112" s="35">
        <f>'Climate A'!F112-'Climate B'!F112</f>
        <v>0</v>
      </c>
      <c r="G112" s="35">
        <f>'Climate A'!G112-'Climate B'!G112</f>
        <v>0</v>
      </c>
      <c r="H112" s="35">
        <f>'Climate A'!H112-'Climate B'!H112</f>
        <v>0</v>
      </c>
      <c r="I112" s="35">
        <f>'Climate A'!I112-'Climate B'!I112</f>
        <v>0</v>
      </c>
      <c r="J112" s="35">
        <f>'Climate A'!J112-'Climate B'!J112</f>
        <v>0</v>
      </c>
      <c r="K112" s="35">
        <f>'Climate A'!K112-'Climate B'!K112</f>
        <v>0</v>
      </c>
      <c r="L112" s="35">
        <f>'Climate A'!L112-'Climate B'!L112</f>
        <v>0</v>
      </c>
      <c r="M112" s="35">
        <f>'Climate A'!M112-'Climate B'!M112</f>
        <v>0</v>
      </c>
      <c r="N112" t="str">
        <f>'Base data'!$L$32</f>
        <v>degC</v>
      </c>
    </row>
    <row r="113" spans="1:14" s="6" customFormat="1" x14ac:dyDescent="0.25">
      <c r="C113" s="1" t="str">
        <v>EE</v>
      </c>
      <c r="D113" s="35">
        <f>'Climate A'!D113-'Climate B'!D113</f>
        <v>0</v>
      </c>
      <c r="E113" s="35">
        <f>'Climate A'!E113-'Climate B'!E113</f>
        <v>0</v>
      </c>
      <c r="F113" s="35">
        <f>'Climate A'!F113-'Climate B'!F113</f>
        <v>0</v>
      </c>
      <c r="G113" s="35">
        <f>'Climate A'!G113-'Climate B'!G113</f>
        <v>0</v>
      </c>
      <c r="H113" s="35">
        <f>'Climate A'!H113-'Climate B'!H113</f>
        <v>0</v>
      </c>
      <c r="I113" s="35">
        <f>'Climate A'!I113-'Climate B'!I113</f>
        <v>0</v>
      </c>
      <c r="J113" s="35">
        <f>'Climate A'!J113-'Climate B'!J113</f>
        <v>0</v>
      </c>
      <c r="K113" s="35">
        <f>'Climate A'!K113-'Climate B'!K113</f>
        <v>0</v>
      </c>
      <c r="L113" s="35">
        <f>'Climate A'!L113-'Climate B'!L113</f>
        <v>0</v>
      </c>
      <c r="M113" s="35">
        <f>'Climate A'!M113-'Climate B'!M113</f>
        <v>0</v>
      </c>
      <c r="N113" t="str">
        <f>'Base data'!$L$32</f>
        <v>degC</v>
      </c>
    </row>
    <row r="114" spans="1:14" s="6" customFormat="1" x14ac:dyDescent="0.25">
      <c r="C114" s="1" t="str">
        <v>CA</v>
      </c>
      <c r="D114" s="35">
        <f>'Climate A'!D114-'Climate B'!D114</f>
        <v>0</v>
      </c>
      <c r="E114" s="35">
        <f>'Climate A'!E114-'Climate B'!E114</f>
        <v>0</v>
      </c>
      <c r="F114" s="35">
        <f>'Climate A'!F114-'Climate B'!F114</f>
        <v>0</v>
      </c>
      <c r="G114" s="35">
        <f>'Climate A'!G114-'Climate B'!G114</f>
        <v>0</v>
      </c>
      <c r="H114" s="35">
        <f>'Climate A'!H114-'Climate B'!H114</f>
        <v>0</v>
      </c>
      <c r="I114" s="35">
        <f>'Climate A'!I114-'Climate B'!I114</f>
        <v>0</v>
      </c>
      <c r="J114" s="35">
        <f>'Climate A'!J114-'Climate B'!J114</f>
        <v>0</v>
      </c>
      <c r="K114" s="35">
        <f>'Climate A'!K114-'Climate B'!K114</f>
        <v>0</v>
      </c>
      <c r="L114" s="35">
        <f>'Climate A'!L114-'Climate B'!L114</f>
        <v>0</v>
      </c>
      <c r="M114" s="35">
        <f>'Climate A'!M114-'Climate B'!M114</f>
        <v>0</v>
      </c>
      <c r="N114" t="str">
        <f>'Base data'!$L$32</f>
        <v>degC</v>
      </c>
    </row>
    <row r="115" spans="1:14" s="6" customFormat="1" x14ac:dyDescent="0.25">
      <c r="C115" s="1" t="str">
        <v>IA</v>
      </c>
      <c r="D115" s="35">
        <f>'Climate A'!D115-'Climate B'!D115</f>
        <v>0</v>
      </c>
      <c r="E115" s="35">
        <f>'Climate A'!E115-'Climate B'!E115</f>
        <v>0</v>
      </c>
      <c r="F115" s="35">
        <f>'Climate A'!F115-'Climate B'!F115</f>
        <v>0</v>
      </c>
      <c r="G115" s="35">
        <f>'Climate A'!G115-'Climate B'!G115</f>
        <v>0</v>
      </c>
      <c r="H115" s="35">
        <f>'Climate A'!H115-'Climate B'!H115</f>
        <v>0</v>
      </c>
      <c r="I115" s="35">
        <f>'Climate A'!I115-'Climate B'!I115</f>
        <v>0</v>
      </c>
      <c r="J115" s="35">
        <f>'Climate A'!J115-'Climate B'!J115</f>
        <v>0</v>
      </c>
      <c r="K115" s="35">
        <f>'Climate A'!K115-'Climate B'!K115</f>
        <v>0</v>
      </c>
      <c r="L115" s="35">
        <f>'Climate A'!L115-'Climate B'!L115</f>
        <v>0</v>
      </c>
      <c r="M115" s="35">
        <f>'Climate A'!M115-'Climate B'!M115</f>
        <v>0</v>
      </c>
      <c r="N115" t="str">
        <f>'Base data'!$L$32</f>
        <v>degC</v>
      </c>
    </row>
    <row r="116" spans="1:14" s="6" customFormat="1" x14ac:dyDescent="0.25">
      <c r="C116" s="1" t="str">
        <v>AF</v>
      </c>
      <c r="D116" s="35">
        <f>'Climate A'!D116-'Climate B'!D116</f>
        <v>0</v>
      </c>
      <c r="E116" s="35">
        <f>'Climate A'!E116-'Climate B'!E116</f>
        <v>0</v>
      </c>
      <c r="F116" s="35">
        <f>'Climate A'!F116-'Climate B'!F116</f>
        <v>0</v>
      </c>
      <c r="G116" s="35">
        <f>'Climate A'!G116-'Climate B'!G116</f>
        <v>0</v>
      </c>
      <c r="H116" s="35">
        <f>'Climate A'!H116-'Climate B'!H116</f>
        <v>0</v>
      </c>
      <c r="I116" s="35">
        <f>'Climate A'!I116-'Climate B'!I116</f>
        <v>0</v>
      </c>
      <c r="J116" s="35">
        <f>'Climate A'!J116-'Climate B'!J116</f>
        <v>0</v>
      </c>
      <c r="K116" s="35">
        <f>'Climate A'!K116-'Climate B'!K116</f>
        <v>0</v>
      </c>
      <c r="L116" s="35">
        <f>'Climate A'!L116-'Climate B'!L116</f>
        <v>0</v>
      </c>
      <c r="M116" s="35">
        <f>'Climate A'!M116-'Climate B'!M116</f>
        <v>0</v>
      </c>
      <c r="N116" t="str">
        <f>'Base data'!$L$32</f>
        <v>degC</v>
      </c>
    </row>
    <row r="117" spans="1:14" s="6" customFormat="1" x14ac:dyDescent="0.25">
      <c r="C117" s="1" t="str">
        <v>LA</v>
      </c>
      <c r="D117" s="35">
        <f>'Climate A'!D117-'Climate B'!D117</f>
        <v>0</v>
      </c>
      <c r="E117" s="35">
        <f>'Climate A'!E117-'Climate B'!E117</f>
        <v>0</v>
      </c>
      <c r="F117" s="35">
        <f>'Climate A'!F117-'Climate B'!F117</f>
        <v>0</v>
      </c>
      <c r="G117" s="35">
        <f>'Climate A'!G117-'Climate B'!G117</f>
        <v>0</v>
      </c>
      <c r="H117" s="35">
        <f>'Climate A'!H117-'Climate B'!H117</f>
        <v>0</v>
      </c>
      <c r="I117" s="35">
        <f>'Climate A'!I117-'Climate B'!I117</f>
        <v>0</v>
      </c>
      <c r="J117" s="35">
        <f>'Climate A'!J117-'Climate B'!J117</f>
        <v>0</v>
      </c>
      <c r="K117" s="35">
        <f>'Climate A'!K117-'Climate B'!K117</f>
        <v>0</v>
      </c>
      <c r="L117" s="35">
        <f>'Climate A'!L117-'Climate B'!L117</f>
        <v>0</v>
      </c>
      <c r="M117" s="35">
        <f>'Climate A'!M117-'Climate B'!M117</f>
        <v>0</v>
      </c>
      <c r="N117" t="str">
        <f>'Base data'!$L$32</f>
        <v>degC</v>
      </c>
    </row>
    <row r="118" spans="1:14" s="6" customFormat="1" x14ac:dyDescent="0.25">
      <c r="A118" s="78" t="s">
        <v>211</v>
      </c>
      <c r="B118" s="78" t="s">
        <v>103</v>
      </c>
      <c r="C118" s="1" t="str">
        <f t="array" ref="C118:C125">R_CODE</f>
        <v>EU</v>
      </c>
      <c r="D118" s="35">
        <f>'Climate A'!D118-'Climate B'!D118</f>
        <v>0</v>
      </c>
      <c r="E118" s="35">
        <f>'Climate A'!E118-'Climate B'!E118</f>
        <v>-8.0874821570153799E-5</v>
      </c>
      <c r="F118" s="35">
        <f>'Climate A'!F118-'Climate B'!F118</f>
        <v>-1.4557175528517874E-4</v>
      </c>
      <c r="G118" s="35">
        <f>'Climate A'!G118-'Climate B'!G118</f>
        <v>-1.8924061761249611E-4</v>
      </c>
      <c r="H118" s="35">
        <f>'Climate A'!H118-'Climate B'!H118</f>
        <v>-2.170766306135441E-4</v>
      </c>
      <c r="I118" s="35">
        <f>'Climate A'!I118-'Climate B'!I118</f>
        <v>-2.3024199146237656E-4</v>
      </c>
      <c r="J118" s="35">
        <f>'Climate A'!J118-'Climate B'!J118</f>
        <v>-2.3103798410106791E-4</v>
      </c>
      <c r="K118" s="35">
        <f>'Climate A'!K118-'Climate B'!K118</f>
        <v>-1.9794956821739262E-4</v>
      </c>
      <c r="L118" s="35">
        <f>'Climate A'!L118-'Climate B'!L118</f>
        <v>-8.7607804487799257E-5</v>
      </c>
      <c r="M118" s="35">
        <f>'Climate A'!M118-'Climate B'!M118</f>
        <v>-4.7408333655241108E-5</v>
      </c>
      <c r="N118" t="str">
        <f>'Base data'!$L$32</f>
        <v>degC</v>
      </c>
    </row>
    <row r="119" spans="1:14" s="6" customFormat="1" x14ac:dyDescent="0.25">
      <c r="C119" s="1" t="str">
        <v>US</v>
      </c>
      <c r="D119" s="35">
        <f>'Climate A'!D119-'Climate B'!D119</f>
        <v>0</v>
      </c>
      <c r="E119" s="35">
        <f>'Climate A'!E119-'Climate B'!E119</f>
        <v>-8.0874821570153799E-5</v>
      </c>
      <c r="F119" s="35">
        <f>'Climate A'!F119-'Climate B'!F119</f>
        <v>-1.4557175528517874E-4</v>
      </c>
      <c r="G119" s="35">
        <f>'Climate A'!G119-'Climate B'!G119</f>
        <v>-1.8924061761249611E-4</v>
      </c>
      <c r="H119" s="35">
        <f>'Climate A'!H119-'Climate B'!H119</f>
        <v>-2.170766306135441E-4</v>
      </c>
      <c r="I119" s="35">
        <f>'Climate A'!I119-'Climate B'!I119</f>
        <v>-2.3024199146215452E-4</v>
      </c>
      <c r="J119" s="35">
        <f>'Climate A'!J119-'Climate B'!J119</f>
        <v>-2.3103798410106791E-4</v>
      </c>
      <c r="K119" s="35">
        <f>'Climate A'!K119-'Climate B'!K119</f>
        <v>-1.9794956821694853E-4</v>
      </c>
      <c r="L119" s="35">
        <f>'Climate A'!L119-'Climate B'!L119</f>
        <v>-8.7607804487799257E-5</v>
      </c>
      <c r="M119" s="35">
        <f>'Climate A'!M119-'Climate B'!M119</f>
        <v>-4.7408333655685198E-5</v>
      </c>
      <c r="N119" t="str">
        <f>'Base data'!$L$32</f>
        <v>degC</v>
      </c>
    </row>
    <row r="120" spans="1:14" s="6" customFormat="1" x14ac:dyDescent="0.25">
      <c r="C120" s="1" t="str">
        <v>OT</v>
      </c>
      <c r="D120" s="35">
        <f>'Climate A'!D120-'Climate B'!D120</f>
        <v>0</v>
      </c>
      <c r="E120" s="35">
        <f>'Climate A'!E120-'Climate B'!E120</f>
        <v>-8.0874821570153799E-5</v>
      </c>
      <c r="F120" s="35">
        <f>'Climate A'!F120-'Climate B'!F120</f>
        <v>-1.4557175528517874E-4</v>
      </c>
      <c r="G120" s="35">
        <f>'Climate A'!G120-'Climate B'!G120</f>
        <v>-1.8924061761271815E-4</v>
      </c>
      <c r="H120" s="35">
        <f>'Climate A'!H120-'Climate B'!H120</f>
        <v>-2.1707663061398819E-4</v>
      </c>
      <c r="I120" s="35">
        <f>'Climate A'!I120-'Climate B'!I120</f>
        <v>-2.3024199146259861E-4</v>
      </c>
      <c r="J120" s="35">
        <f>'Climate A'!J120-'Climate B'!J120</f>
        <v>-2.3103798410106791E-4</v>
      </c>
      <c r="K120" s="35">
        <f>'Climate A'!K120-'Climate B'!K120</f>
        <v>-1.9794956821694853E-4</v>
      </c>
      <c r="L120" s="35">
        <f>'Climate A'!L120-'Climate B'!L120</f>
        <v>-8.7607804486911078E-5</v>
      </c>
      <c r="M120" s="35">
        <f>'Climate A'!M120-'Climate B'!M120</f>
        <v>-4.7408333657017465E-5</v>
      </c>
      <c r="N120" t="str">
        <f>'Base data'!$L$32</f>
        <v>degC</v>
      </c>
    </row>
    <row r="121" spans="1:14" s="6" customFormat="1" x14ac:dyDescent="0.25">
      <c r="C121" s="1" t="str">
        <v>EE</v>
      </c>
      <c r="D121" s="35">
        <f>'Climate A'!D121-'Climate B'!D121</f>
        <v>0</v>
      </c>
      <c r="E121" s="35">
        <f>'Climate A'!E121-'Climate B'!E121</f>
        <v>-8.0874821570153799E-5</v>
      </c>
      <c r="F121" s="35">
        <f>'Climate A'!F121-'Climate B'!F121</f>
        <v>-1.4557175528495669E-4</v>
      </c>
      <c r="G121" s="35">
        <f>'Climate A'!G121-'Climate B'!G121</f>
        <v>-1.8924061761249611E-4</v>
      </c>
      <c r="H121" s="35">
        <f>'Climate A'!H121-'Climate B'!H121</f>
        <v>-2.170766306135441E-4</v>
      </c>
      <c r="I121" s="35">
        <f>'Climate A'!I121-'Climate B'!I121</f>
        <v>-2.3024199146215452E-4</v>
      </c>
      <c r="J121" s="35">
        <f>'Climate A'!J121-'Climate B'!J121</f>
        <v>-2.3103798410106791E-4</v>
      </c>
      <c r="K121" s="35">
        <f>'Climate A'!K121-'Climate B'!K121</f>
        <v>-1.9794956821739262E-4</v>
      </c>
      <c r="L121" s="35">
        <f>'Climate A'!L121-'Climate B'!L121</f>
        <v>-8.7607804486911078E-5</v>
      </c>
      <c r="M121" s="35">
        <f>'Climate A'!M121-'Climate B'!M121</f>
        <v>-4.7408333656129287E-5</v>
      </c>
      <c r="N121" t="str">
        <f>'Base data'!$L$32</f>
        <v>degC</v>
      </c>
    </row>
    <row r="122" spans="1:14" s="6" customFormat="1" x14ac:dyDescent="0.25">
      <c r="C122" s="1" t="str">
        <v>CA</v>
      </c>
      <c r="D122" s="35">
        <f>'Climate A'!D122-'Climate B'!D122</f>
        <v>0</v>
      </c>
      <c r="E122" s="35">
        <f>'Climate A'!E122-'Climate B'!E122</f>
        <v>-8.0874821570153799E-5</v>
      </c>
      <c r="F122" s="35">
        <f>'Climate A'!F122-'Climate B'!F122</f>
        <v>-1.4557175528506772E-4</v>
      </c>
      <c r="G122" s="35">
        <f>'Climate A'!G122-'Climate B'!G122</f>
        <v>-1.8924061761238509E-4</v>
      </c>
      <c r="H122" s="35">
        <f>'Climate A'!H122-'Climate B'!H122</f>
        <v>-2.1707663061332205E-4</v>
      </c>
      <c r="I122" s="35">
        <f>'Climate A'!I122-'Climate B'!I122</f>
        <v>-2.3024199146226554E-4</v>
      </c>
      <c r="J122" s="35">
        <f>'Climate A'!J122-'Climate B'!J122</f>
        <v>-2.3103798410106791E-4</v>
      </c>
      <c r="K122" s="35">
        <f>'Climate A'!K122-'Climate B'!K122</f>
        <v>-1.9794956821694853E-4</v>
      </c>
      <c r="L122" s="35">
        <f>'Climate A'!L122-'Climate B'!L122</f>
        <v>-8.7607804487799257E-5</v>
      </c>
      <c r="M122" s="35">
        <f>'Climate A'!M122-'Climate B'!M122</f>
        <v>-4.7408333656573376E-5</v>
      </c>
      <c r="N122" t="str">
        <f>'Base data'!$L$32</f>
        <v>degC</v>
      </c>
    </row>
    <row r="123" spans="1:14" s="6" customFormat="1" x14ac:dyDescent="0.25">
      <c r="C123" s="1" t="str">
        <v>IA</v>
      </c>
      <c r="D123" s="35">
        <f>'Climate A'!D123-'Climate B'!D123</f>
        <v>0</v>
      </c>
      <c r="E123" s="35">
        <f>'Climate A'!E123-'Climate B'!E123</f>
        <v>-8.0874821570153799E-5</v>
      </c>
      <c r="F123" s="35">
        <f>'Climate A'!F123-'Climate B'!F123</f>
        <v>-1.4557175528495669E-4</v>
      </c>
      <c r="G123" s="35">
        <f>'Climate A'!G123-'Climate B'!G123</f>
        <v>-1.8924061761227406E-4</v>
      </c>
      <c r="H123" s="35">
        <f>'Climate A'!H123-'Climate B'!H123</f>
        <v>-2.170766306135441E-4</v>
      </c>
      <c r="I123" s="35">
        <f>'Climate A'!I123-'Climate B'!I123</f>
        <v>-2.3024199146259861E-4</v>
      </c>
      <c r="J123" s="35">
        <f>'Climate A'!J123-'Climate B'!J123</f>
        <v>-2.31037984101512E-4</v>
      </c>
      <c r="K123" s="35">
        <f>'Climate A'!K123-'Climate B'!K123</f>
        <v>-1.9794956821694853E-4</v>
      </c>
      <c r="L123" s="35">
        <f>'Climate A'!L123-'Climate B'!L123</f>
        <v>-8.7607804487355168E-5</v>
      </c>
      <c r="M123" s="35">
        <f>'Climate A'!M123-'Climate B'!M123</f>
        <v>-4.7408333656129287E-5</v>
      </c>
      <c r="N123" t="str">
        <f>'Base data'!$L$32</f>
        <v>degC</v>
      </c>
    </row>
    <row r="124" spans="1:14" s="6" customFormat="1" x14ac:dyDescent="0.25">
      <c r="C124" s="1" t="str">
        <v>AF</v>
      </c>
      <c r="D124" s="35">
        <f>'Climate A'!D124-'Climate B'!D124</f>
        <v>0</v>
      </c>
      <c r="E124" s="35">
        <f>'Climate A'!E124-'Climate B'!E124</f>
        <v>-8.0874821570375843E-5</v>
      </c>
      <c r="F124" s="35">
        <f>'Climate A'!F124-'Climate B'!F124</f>
        <v>-1.4557175528517874E-4</v>
      </c>
      <c r="G124" s="35">
        <f>'Climate A'!G124-'Climate B'!G124</f>
        <v>-1.8924061761227406E-4</v>
      </c>
      <c r="H124" s="35">
        <f>'Climate A'!H124-'Climate B'!H124</f>
        <v>-2.1707663061332205E-4</v>
      </c>
      <c r="I124" s="35">
        <f>'Climate A'!I124-'Climate B'!I124</f>
        <v>-2.3024199146215452E-4</v>
      </c>
      <c r="J124" s="35">
        <f>'Climate A'!J124-'Climate B'!J124</f>
        <v>-2.31037984101512E-4</v>
      </c>
      <c r="K124" s="35">
        <f>'Climate A'!K124-'Climate B'!K124</f>
        <v>-1.9794956821739262E-4</v>
      </c>
      <c r="L124" s="35">
        <f>'Climate A'!L124-'Climate B'!L124</f>
        <v>-8.7607804486911078E-5</v>
      </c>
      <c r="M124" s="35">
        <f>'Climate A'!M124-'Climate B'!M124</f>
        <v>-4.7408333656573376E-5</v>
      </c>
      <c r="N124" t="str">
        <f>'Base data'!$L$32</f>
        <v>degC</v>
      </c>
    </row>
    <row r="125" spans="1:14" s="6" customFormat="1" x14ac:dyDescent="0.25">
      <c r="C125" s="1" t="str">
        <v>LA</v>
      </c>
      <c r="D125" s="35">
        <f>'Climate A'!D125-'Climate B'!D125</f>
        <v>0</v>
      </c>
      <c r="E125" s="35">
        <f>'Climate A'!E125-'Climate B'!E125</f>
        <v>-8.0874821570153799E-5</v>
      </c>
      <c r="F125" s="35">
        <f>'Climate A'!F125-'Climate B'!F125</f>
        <v>-1.4557175528517874E-4</v>
      </c>
      <c r="G125" s="35">
        <f>'Climate A'!G125-'Climate B'!G125</f>
        <v>-1.8924061761227406E-4</v>
      </c>
      <c r="H125" s="35">
        <f>'Climate A'!H125-'Climate B'!H125</f>
        <v>-2.1707663061310001E-4</v>
      </c>
      <c r="I125" s="35">
        <f>'Climate A'!I125-'Climate B'!I125</f>
        <v>-2.3024199146215452E-4</v>
      </c>
      <c r="J125" s="35">
        <f>'Climate A'!J125-'Climate B'!J125</f>
        <v>-2.3103798410106791E-4</v>
      </c>
      <c r="K125" s="35">
        <f>'Climate A'!K125-'Climate B'!K125</f>
        <v>-1.9794956821694853E-4</v>
      </c>
      <c r="L125" s="35">
        <f>'Climate A'!L125-'Climate B'!L125</f>
        <v>-8.7607804487355168E-5</v>
      </c>
      <c r="M125" s="35">
        <f>'Climate A'!M125-'Climate B'!M125</f>
        <v>-4.7408333655685198E-5</v>
      </c>
      <c r="N125" t="str">
        <f>'Base data'!$L$32</f>
        <v>degC</v>
      </c>
    </row>
    <row r="126" spans="1:14" s="6" customFormat="1" x14ac:dyDescent="0.25">
      <c r="A126" s="78" t="s">
        <v>181</v>
      </c>
      <c r="B126" s="78" t="s">
        <v>212</v>
      </c>
      <c r="C126" s="1" t="str">
        <f t="array" ref="C126:C133">R_CODE</f>
        <v>EU</v>
      </c>
      <c r="D126" s="35">
        <f>'Climate A'!D126-'Climate B'!D126</f>
        <v>0</v>
      </c>
      <c r="E126" s="35">
        <f>'Climate A'!E126-'Climate B'!E126</f>
        <v>-1.018292935248688E-4</v>
      </c>
      <c r="F126" s="35">
        <f>'Climate A'!F126-'Climate B'!F126</f>
        <v>-1.8328904732101137E-4</v>
      </c>
      <c r="G126" s="35">
        <f>'Climate A'!G126-'Climate B'!G126</f>
        <v>-2.3827240695606378E-4</v>
      </c>
      <c r="H126" s="35">
        <f>'Climate A'!H126-'Climate B'!H126</f>
        <v>-2.7332066404550659E-4</v>
      </c>
      <c r="I126" s="35">
        <f>'Climate A'!I126-'Climate B'!I126</f>
        <v>-2.8989713825833263E-4</v>
      </c>
      <c r="J126" s="35">
        <f>'Climate A'!J126-'Climate B'!J126</f>
        <v>-2.9089937067716676E-4</v>
      </c>
      <c r="K126" s="35">
        <f>'Climate A'!K126-'Climate B'!K126</f>
        <v>-2.4923782573793574E-4</v>
      </c>
      <c r="L126" s="35">
        <f>'Climate A'!L126-'Climate B'!L126</f>
        <v>-1.1030677613899087E-4</v>
      </c>
      <c r="M126" s="35">
        <f>'Climate A'!M126-'Climate B'!M126</f>
        <v>-5.9691718999665966E-5</v>
      </c>
      <c r="N126" t="str">
        <f>'Base data'!$L$32</f>
        <v>degC</v>
      </c>
    </row>
    <row r="127" spans="1:14" s="6" customFormat="1" x14ac:dyDescent="0.25">
      <c r="C127" s="1" t="str">
        <v>US</v>
      </c>
      <c r="D127" s="35">
        <f>'Climate A'!D127-'Climate B'!D127</f>
        <v>0</v>
      </c>
      <c r="E127" s="35">
        <f>'Climate A'!E127-'Climate B'!E127</f>
        <v>-1.018292935248688E-4</v>
      </c>
      <c r="F127" s="35">
        <f>'Climate A'!F127-'Climate B'!F127</f>
        <v>-1.8328904732101137E-4</v>
      </c>
      <c r="G127" s="35">
        <f>'Climate A'!G127-'Climate B'!G127</f>
        <v>-2.3827240695606378E-4</v>
      </c>
      <c r="H127" s="35">
        <f>'Climate A'!H127-'Climate B'!H127</f>
        <v>-2.733206640450625E-4</v>
      </c>
      <c r="I127" s="35">
        <f>'Climate A'!I127-'Climate B'!I127</f>
        <v>-2.8989713825833263E-4</v>
      </c>
      <c r="J127" s="35">
        <f>'Climate A'!J127-'Climate B'!J127</f>
        <v>-2.9089937067716676E-4</v>
      </c>
      <c r="K127" s="35">
        <f>'Climate A'!K127-'Climate B'!K127</f>
        <v>-2.4923782573749165E-4</v>
      </c>
      <c r="L127" s="35">
        <f>'Climate A'!L127-'Climate B'!L127</f>
        <v>-1.1030677613899087E-4</v>
      </c>
      <c r="M127" s="35">
        <f>'Climate A'!M127-'Climate B'!M127</f>
        <v>-5.9691719000554144E-5</v>
      </c>
      <c r="N127" t="str">
        <f>'Base data'!$L$32</f>
        <v>degC</v>
      </c>
    </row>
    <row r="128" spans="1:14" s="6" customFormat="1" x14ac:dyDescent="0.25">
      <c r="C128" s="1" t="str">
        <v>OT</v>
      </c>
      <c r="D128" s="35">
        <f>'Climate A'!D128-'Climate B'!D128</f>
        <v>0</v>
      </c>
      <c r="E128" s="35">
        <f>'Climate A'!E128-'Climate B'!E128</f>
        <v>-1.018292935248688E-4</v>
      </c>
      <c r="F128" s="35">
        <f>'Climate A'!F128-'Climate B'!F128</f>
        <v>-1.8328904732101137E-4</v>
      </c>
      <c r="G128" s="35">
        <f>'Climate A'!G128-'Climate B'!G128</f>
        <v>-2.3827240695650787E-4</v>
      </c>
      <c r="H128" s="35">
        <f>'Climate A'!H128-'Climate B'!H128</f>
        <v>-2.7332066404595068E-4</v>
      </c>
      <c r="I128" s="35">
        <f>'Climate A'!I128-'Climate B'!I128</f>
        <v>-2.8989713825833263E-4</v>
      </c>
      <c r="J128" s="35">
        <f>'Climate A'!J128-'Climate B'!J128</f>
        <v>-2.9089937067716676E-4</v>
      </c>
      <c r="K128" s="35">
        <f>'Climate A'!K128-'Climate B'!K128</f>
        <v>-2.4923782573704756E-4</v>
      </c>
      <c r="L128" s="35">
        <f>'Climate A'!L128-'Climate B'!L128</f>
        <v>-1.1030677613810269E-4</v>
      </c>
      <c r="M128" s="35">
        <f>'Climate A'!M128-'Climate B'!M128</f>
        <v>-5.9691719002330501E-5</v>
      </c>
      <c r="N128" t="str">
        <f>'Base data'!$L$32</f>
        <v>degC</v>
      </c>
    </row>
    <row r="129" spans="1:24" s="6" customFormat="1" x14ac:dyDescent="0.25">
      <c r="C129" s="1" t="str">
        <v>EE</v>
      </c>
      <c r="D129" s="35">
        <f>'Climate A'!D129-'Climate B'!D129</f>
        <v>0</v>
      </c>
      <c r="E129" s="35">
        <f>'Climate A'!E129-'Climate B'!E129</f>
        <v>-1.018292935248688E-4</v>
      </c>
      <c r="F129" s="35">
        <f>'Climate A'!F129-'Climate B'!F129</f>
        <v>-1.8328904732056728E-4</v>
      </c>
      <c r="G129" s="35">
        <f>'Climate A'!G129-'Climate B'!G129</f>
        <v>-2.3827240695606378E-4</v>
      </c>
      <c r="H129" s="35">
        <f>'Climate A'!H129-'Climate B'!H129</f>
        <v>-2.7332066404550659E-4</v>
      </c>
      <c r="I129" s="35">
        <f>'Climate A'!I129-'Climate B'!I129</f>
        <v>-2.8989713825833263E-4</v>
      </c>
      <c r="J129" s="35">
        <f>'Climate A'!J129-'Climate B'!J129</f>
        <v>-2.9089937067805494E-4</v>
      </c>
      <c r="K129" s="35">
        <f>'Climate A'!K129-'Climate B'!K129</f>
        <v>-2.4923782573793574E-4</v>
      </c>
      <c r="L129" s="35">
        <f>'Climate A'!L129-'Climate B'!L129</f>
        <v>-1.1030677613899087E-4</v>
      </c>
      <c r="M129" s="35">
        <f>'Climate A'!M129-'Climate B'!M129</f>
        <v>-5.9691719000554144E-5</v>
      </c>
      <c r="N129" t="str">
        <f>'Base data'!$L$32</f>
        <v>degC</v>
      </c>
    </row>
    <row r="130" spans="1:24" s="6" customFormat="1" x14ac:dyDescent="0.25">
      <c r="C130" s="1" t="str">
        <v>CA</v>
      </c>
      <c r="D130" s="35">
        <f>'Climate A'!D130-'Climate B'!D130</f>
        <v>0</v>
      </c>
      <c r="E130" s="35">
        <f>'Climate A'!E130-'Climate B'!E130</f>
        <v>-1.0182929352475778E-4</v>
      </c>
      <c r="F130" s="35">
        <f>'Climate A'!F130-'Climate B'!F130</f>
        <v>-1.8328904732078932E-4</v>
      </c>
      <c r="G130" s="35">
        <f>'Climate A'!G130-'Climate B'!G130</f>
        <v>-2.3827240695595275E-4</v>
      </c>
      <c r="H130" s="35">
        <f>'Climate A'!H130-'Climate B'!H130</f>
        <v>-2.7332066404511801E-4</v>
      </c>
      <c r="I130" s="35">
        <f>'Climate A'!I130-'Climate B'!I130</f>
        <v>-2.8989713825822161E-4</v>
      </c>
      <c r="J130" s="35">
        <f>'Climate A'!J130-'Climate B'!J130</f>
        <v>-2.9089937067716676E-4</v>
      </c>
      <c r="K130" s="35">
        <f>'Climate A'!K130-'Climate B'!K130</f>
        <v>-2.4923782573793574E-4</v>
      </c>
      <c r="L130" s="35">
        <f>'Climate A'!L130-'Climate B'!L130</f>
        <v>-1.1030677613899087E-4</v>
      </c>
      <c r="M130" s="35">
        <f>'Climate A'!M130-'Climate B'!M130</f>
        <v>-5.9691719001442323E-5</v>
      </c>
      <c r="N130" t="str">
        <f>'Base data'!$L$32</f>
        <v>degC</v>
      </c>
    </row>
    <row r="131" spans="1:24" s="6" customFormat="1" x14ac:dyDescent="0.25">
      <c r="C131" s="1" t="str">
        <v>IA</v>
      </c>
      <c r="D131" s="35">
        <f>'Climate A'!D131-'Climate B'!D131</f>
        <v>0</v>
      </c>
      <c r="E131" s="35">
        <f>'Climate A'!E131-'Climate B'!E131</f>
        <v>-1.0182929352464676E-4</v>
      </c>
      <c r="F131" s="35">
        <f>'Climate A'!F131-'Climate B'!F131</f>
        <v>-1.8328904732078932E-4</v>
      </c>
      <c r="G131" s="35">
        <f>'Climate A'!G131-'Climate B'!G131</f>
        <v>-2.3827240695584173E-4</v>
      </c>
      <c r="H131" s="35">
        <f>'Climate A'!H131-'Climate B'!H131</f>
        <v>-2.733206640450625E-4</v>
      </c>
      <c r="I131" s="35">
        <f>'Climate A'!I131-'Climate B'!I131</f>
        <v>-2.8989713825833263E-4</v>
      </c>
      <c r="J131" s="35">
        <f>'Climate A'!J131-'Climate B'!J131</f>
        <v>-2.9089937067761085E-4</v>
      </c>
      <c r="K131" s="35">
        <f>'Climate A'!K131-'Climate B'!K131</f>
        <v>-2.4923782573749165E-4</v>
      </c>
      <c r="L131" s="35">
        <f>'Climate A'!L131-'Climate B'!L131</f>
        <v>-1.1030677613810269E-4</v>
      </c>
      <c r="M131" s="35">
        <f>'Climate A'!M131-'Climate B'!M131</f>
        <v>-5.9691719000554144E-5</v>
      </c>
      <c r="N131" t="str">
        <f>'Base data'!$L$32</f>
        <v>degC</v>
      </c>
    </row>
    <row r="132" spans="1:24" s="6" customFormat="1" x14ac:dyDescent="0.25">
      <c r="C132" s="1" t="str">
        <v>AF</v>
      </c>
      <c r="D132" s="35">
        <f>'Climate A'!D132-'Climate B'!D132</f>
        <v>0</v>
      </c>
      <c r="E132" s="35">
        <f>'Climate A'!E132-'Climate B'!E132</f>
        <v>-1.0182929352509085E-4</v>
      </c>
      <c r="F132" s="35">
        <f>'Climate A'!F132-'Climate B'!F132</f>
        <v>-1.8328904732101137E-4</v>
      </c>
      <c r="G132" s="35">
        <f>'Climate A'!G132-'Climate B'!G132</f>
        <v>-2.3827240695606378E-4</v>
      </c>
      <c r="H132" s="35">
        <f>'Climate A'!H132-'Climate B'!H132</f>
        <v>-2.733206640450625E-4</v>
      </c>
      <c r="I132" s="35">
        <f>'Climate A'!I132-'Climate B'!I132</f>
        <v>-2.8989713825788854E-4</v>
      </c>
      <c r="J132" s="35">
        <f>'Climate A'!J132-'Climate B'!J132</f>
        <v>-2.9089937067761085E-4</v>
      </c>
      <c r="K132" s="35">
        <f>'Climate A'!K132-'Climate B'!K132</f>
        <v>-2.4923782573793574E-4</v>
      </c>
      <c r="L132" s="35">
        <f>'Climate A'!L132-'Climate B'!L132</f>
        <v>-1.1030677613810269E-4</v>
      </c>
      <c r="M132" s="35">
        <f>'Climate A'!M132-'Climate B'!M132</f>
        <v>-5.9691719001442323E-5</v>
      </c>
      <c r="N132" t="str">
        <f>'Base data'!$L$32</f>
        <v>degC</v>
      </c>
    </row>
    <row r="133" spans="1:24" s="6" customFormat="1" x14ac:dyDescent="0.25">
      <c r="C133" s="1" t="str">
        <v>LA</v>
      </c>
      <c r="D133" s="35">
        <f>'Climate A'!D133-'Climate B'!D133</f>
        <v>0</v>
      </c>
      <c r="E133" s="35">
        <f>'Climate A'!E133-'Climate B'!E133</f>
        <v>-1.018292935248688E-4</v>
      </c>
      <c r="F133" s="35">
        <f>'Climate A'!F133-'Climate B'!F133</f>
        <v>-1.8328904732056728E-4</v>
      </c>
      <c r="G133" s="35">
        <f>'Climate A'!G133-'Climate B'!G133</f>
        <v>-2.3827240695561969E-4</v>
      </c>
      <c r="H133" s="35">
        <f>'Climate A'!H133-'Climate B'!H133</f>
        <v>-2.7332066404461841E-4</v>
      </c>
      <c r="I133" s="35">
        <f>'Climate A'!I133-'Climate B'!I133</f>
        <v>-2.8989713825788854E-4</v>
      </c>
      <c r="J133" s="35">
        <f>'Climate A'!J133-'Climate B'!J133</f>
        <v>-2.9089937067761085E-4</v>
      </c>
      <c r="K133" s="35">
        <f>'Climate A'!K133-'Climate B'!K133</f>
        <v>-2.4923782573749165E-4</v>
      </c>
      <c r="L133" s="35">
        <f>'Climate A'!L133-'Climate B'!L133</f>
        <v>-1.1030677613810269E-4</v>
      </c>
      <c r="M133" s="35">
        <f>'Climate A'!M133-'Climate B'!M133</f>
        <v>-5.9691718999665966E-5</v>
      </c>
      <c r="N133" t="str">
        <f>'Base data'!$L$32</f>
        <v>degC</v>
      </c>
    </row>
    <row r="134" spans="1:24" s="6" customFormat="1" x14ac:dyDescent="0.25">
      <c r="A134" s="78" t="s">
        <v>213</v>
      </c>
      <c r="B134" s="78" t="s">
        <v>225</v>
      </c>
      <c r="C134" s="77">
        <f>'Climate A'!C134-'Climate B'!C134</f>
        <v>0</v>
      </c>
      <c r="D134" s="77">
        <f>'Climate A'!D134-'Climate B'!D134</f>
        <v>0</v>
      </c>
      <c r="E134" s="77">
        <f>'Climate A'!E134-'Climate B'!E134</f>
        <v>-1.018292935248688E-4</v>
      </c>
      <c r="F134" s="77">
        <f>'Climate A'!F134-'Climate B'!F134</f>
        <v>-1.8328904732056728E-4</v>
      </c>
      <c r="G134" s="77">
        <f>'Climate A'!G134-'Climate B'!G134</f>
        <v>-2.3827240695561969E-4</v>
      </c>
      <c r="H134" s="77">
        <f>'Climate A'!H134-'Climate B'!H134</f>
        <v>-2.733206640450625E-4</v>
      </c>
      <c r="I134" s="77">
        <f>'Climate A'!I134-'Climate B'!I134</f>
        <v>-2.8989713825788854E-4</v>
      </c>
      <c r="J134" s="77">
        <f>'Climate A'!J134-'Climate B'!J134</f>
        <v>-2.9089937067716676E-4</v>
      </c>
      <c r="K134" s="77">
        <f>'Climate A'!K134-'Climate B'!K134</f>
        <v>-2.4923782573749165E-4</v>
      </c>
      <c r="L134" s="77">
        <f>'Climate A'!L134-'Climate B'!L134</f>
        <v>-1.1030677613899087E-4</v>
      </c>
      <c r="M134" s="77">
        <f>'Climate A'!M134-'Climate B'!M134</f>
        <v>-5.9691719000554144E-5</v>
      </c>
      <c r="N134" t="str">
        <f>'Base data'!$L$32</f>
        <v>degC</v>
      </c>
      <c r="O134" s="6">
        <f t="shared" ref="O134:X134" si="3">D134</f>
        <v>0</v>
      </c>
      <c r="P134" s="6">
        <f t="shared" si="3"/>
        <v>-1.018292935248688E-4</v>
      </c>
      <c r="Q134" s="6">
        <f t="shared" si="3"/>
        <v>-1.8328904732056728E-4</v>
      </c>
      <c r="R134" s="6">
        <f t="shared" si="3"/>
        <v>-2.3827240695561969E-4</v>
      </c>
      <c r="S134" s="6">
        <f t="shared" si="3"/>
        <v>-2.733206640450625E-4</v>
      </c>
      <c r="T134" s="6">
        <f t="shared" si="3"/>
        <v>-2.8989713825788854E-4</v>
      </c>
      <c r="U134" s="6">
        <f t="shared" si="3"/>
        <v>-2.9089937067716676E-4</v>
      </c>
      <c r="V134" s="6">
        <f t="shared" si="3"/>
        <v>-2.4923782573749165E-4</v>
      </c>
      <c r="W134" s="6">
        <f t="shared" si="3"/>
        <v>-1.1030677613899087E-4</v>
      </c>
      <c r="X134" s="6">
        <f t="shared" si="3"/>
        <v>-5.9691719000554144E-5</v>
      </c>
    </row>
    <row r="135" spans="1:24" s="6" customFormat="1" x14ac:dyDescent="0.25">
      <c r="A135" s="78" t="s">
        <v>214</v>
      </c>
      <c r="B135" s="78" t="s">
        <v>226</v>
      </c>
      <c r="C135" s="62">
        <f>'Climate A'!C135-'Climate B'!C135</f>
        <v>0</v>
      </c>
      <c r="D135" s="35">
        <f>'Climate A'!D135-'Climate B'!D135</f>
        <v>0</v>
      </c>
      <c r="E135" s="35">
        <f>'Climate A'!E135-'Climate B'!E135</f>
        <v>-7.2735209660557132E-5</v>
      </c>
      <c r="F135" s="35">
        <f>'Climate A'!F135-'Climate B'!F135</f>
        <v>-1.3092074808618293E-4</v>
      </c>
      <c r="G135" s="35">
        <f>'Climate A'!G135-'Climate B'!G135</f>
        <v>-1.7019457639699809E-4</v>
      </c>
      <c r="H135" s="35">
        <f>'Climate A'!H135-'Climate B'!H135</f>
        <v>-1.9522904574653666E-4</v>
      </c>
      <c r="I135" s="35">
        <f>'Climate A'!I135-'Climate B'!I135</f>
        <v>-2.0706938447001555E-4</v>
      </c>
      <c r="J135" s="35">
        <f>'Climate A'!J135-'Climate B'!J135</f>
        <v>-2.0778526476927794E-4</v>
      </c>
      <c r="K135" s="35">
        <f>'Climate A'!K135-'Climate B'!K135</f>
        <v>-1.7802701838398605E-4</v>
      </c>
      <c r="L135" s="35">
        <f>'Climate A'!L135-'Climate B'!L135</f>
        <v>-7.8790554384866596E-5</v>
      </c>
      <c r="M135" s="35">
        <f>'Climate A'!M135-'Climate B'!M135</f>
        <v>-4.2636942143570167E-5</v>
      </c>
      <c r="N135" t="str">
        <f>'Base data'!$L$32</f>
        <v>degC</v>
      </c>
    </row>
    <row r="136" spans="1:24" s="6" customFormat="1" x14ac:dyDescent="0.25">
      <c r="A136" s="6" t="s">
        <v>105</v>
      </c>
      <c r="B136" s="78" t="s">
        <v>227</v>
      </c>
      <c r="C136" s="77">
        <f>'Climate A'!C136-'Climate B'!C136</f>
        <v>0</v>
      </c>
      <c r="D136" s="77">
        <f>'Climate A'!D136-'Climate B'!D136</f>
        <v>0</v>
      </c>
      <c r="E136" s="77">
        <f>'Climate A'!E136-'Climate B'!E136</f>
        <v>-8.0874821570153799E-5</v>
      </c>
      <c r="F136" s="77">
        <f>'Climate A'!F136-'Climate B'!F136</f>
        <v>-1.4557175528473465E-4</v>
      </c>
      <c r="G136" s="77">
        <f>'Climate A'!G136-'Climate B'!G136</f>
        <v>-1.8924061761227406E-4</v>
      </c>
      <c r="H136" s="77">
        <f>'Climate A'!H136-'Climate B'!H136</f>
        <v>-2.1707663061332205E-4</v>
      </c>
      <c r="I136" s="77">
        <f>'Climate A'!I136-'Climate B'!I136</f>
        <v>-2.3024199146215452E-4</v>
      </c>
      <c r="J136" s="77">
        <f>'Climate A'!J136-'Climate B'!J136</f>
        <v>-2.3103798410062382E-4</v>
      </c>
      <c r="K136" s="77">
        <f>'Climate A'!K136-'Climate B'!K136</f>
        <v>-1.9794956821694853E-4</v>
      </c>
      <c r="L136" s="77">
        <f>'Climate A'!L136-'Climate B'!L136</f>
        <v>-8.7607804487355168E-5</v>
      </c>
      <c r="M136" s="77">
        <f>'Climate A'!M136-'Climate B'!M136</f>
        <v>-4.7408333656573376E-5</v>
      </c>
      <c r="N136" t="str">
        <f>'Base data'!$L$32</f>
        <v>degC</v>
      </c>
      <c r="O136" s="6">
        <f t="shared" ref="O136:X136" si="4">D136</f>
        <v>0</v>
      </c>
      <c r="P136" s="6">
        <f t="shared" si="4"/>
        <v>-8.0874821570153799E-5</v>
      </c>
      <c r="Q136" s="6">
        <f t="shared" si="4"/>
        <v>-1.4557175528473465E-4</v>
      </c>
      <c r="R136" s="6">
        <f t="shared" si="4"/>
        <v>-1.8924061761227406E-4</v>
      </c>
      <c r="S136" s="6">
        <f t="shared" si="4"/>
        <v>-2.1707663061332205E-4</v>
      </c>
      <c r="T136" s="6">
        <f t="shared" si="4"/>
        <v>-2.3024199146215452E-4</v>
      </c>
      <c r="U136" s="6">
        <f t="shared" si="4"/>
        <v>-2.3103798410062382E-4</v>
      </c>
      <c r="V136" s="6">
        <f t="shared" si="4"/>
        <v>-1.9794956821694853E-4</v>
      </c>
      <c r="W136" s="6">
        <f t="shared" si="4"/>
        <v>-8.7607804487355168E-5</v>
      </c>
      <c r="X136" s="6">
        <f t="shared" si="4"/>
        <v>-4.7408333656573376E-5</v>
      </c>
    </row>
    <row r="137" spans="1:24" s="6" customFormat="1" x14ac:dyDescent="0.25">
      <c r="A137" s="78" t="s">
        <v>233</v>
      </c>
      <c r="B137" s="78" t="s">
        <v>234</v>
      </c>
      <c r="C137" s="62">
        <f>'Climate A'!C137-'Climate B'!C137</f>
        <v>0</v>
      </c>
      <c r="D137" s="35">
        <f>'Climate A'!D137-'Climate B'!D137</f>
        <v>0</v>
      </c>
      <c r="E137" s="35">
        <f>'Climate A'!E137-'Climate B'!E137</f>
        <v>-1.4018302402796223E-4</v>
      </c>
      <c r="F137" s="35">
        <f>'Climate A'!F137-'Climate B'!F137</f>
        <v>-2.5232437577837885E-4</v>
      </c>
      <c r="G137" s="35">
        <f>'Climate A'!G137-'Climate B'!G137</f>
        <v>-3.280170704651475E-4</v>
      </c>
      <c r="H137" s="35">
        <f>'Climate A'!H137-'Climate B'!H137</f>
        <v>-3.7626615965713484E-4</v>
      </c>
      <c r="I137" s="35">
        <f>'Climate A'!I137-'Climate B'!I137</f>
        <v>-3.9908611845707043E-4</v>
      </c>
      <c r="J137" s="35">
        <f>'Climate A'!J137-'Climate B'!J137</f>
        <v>-4.0046583903041721E-4</v>
      </c>
      <c r="K137" s="35">
        <f>'Climate A'!K137-'Climate B'!K137</f>
        <v>-3.4311258484365226E-4</v>
      </c>
      <c r="L137" s="35">
        <f>'Climate A'!L137-'Climate B'!L137</f>
        <v>-1.5185352774871319E-4</v>
      </c>
      <c r="M137" s="35">
        <f>'Climate A'!M137-'Climate B'!M137</f>
        <v>-8.2174444989036033E-5</v>
      </c>
      <c r="N137" s="3" t="s">
        <v>228</v>
      </c>
    </row>
    <row r="138" spans="1:24" s="6" customFormat="1" x14ac:dyDescent="0.25">
      <c r="A138" s="78" t="s">
        <v>235</v>
      </c>
      <c r="B138" s="78" t="s">
        <v>236</v>
      </c>
      <c r="C138" s="83"/>
      <c r="D138" s="35">
        <f>'Climate A'!D138-'Climate B'!D138</f>
        <v>0</v>
      </c>
      <c r="E138" s="35">
        <f>'Climate A'!E138-'Climate B'!E138</f>
        <v>0</v>
      </c>
      <c r="F138" s="35">
        <f>'Climate A'!F138-'Climate B'!F138</f>
        <v>0</v>
      </c>
      <c r="G138" s="35">
        <f>'Climate A'!G138-'Climate B'!G138</f>
        <v>0</v>
      </c>
      <c r="H138" s="35">
        <f>'Climate A'!H138-'Climate B'!H138</f>
        <v>0</v>
      </c>
      <c r="I138" s="35">
        <f>'Climate A'!I138-'Climate B'!I138</f>
        <v>0</v>
      </c>
      <c r="J138" s="35">
        <f>'Climate A'!J138-'Climate B'!J138</f>
        <v>0</v>
      </c>
      <c r="K138" s="35">
        <f>'Climate A'!K138-'Climate B'!K138</f>
        <v>0</v>
      </c>
      <c r="L138" s="35">
        <f>'Climate A'!L138-'Climate B'!L138</f>
        <v>0</v>
      </c>
      <c r="M138" s="35">
        <f>'Climate A'!M138-'Climate B'!M138</f>
        <v>0</v>
      </c>
      <c r="N138"/>
    </row>
    <row r="139" spans="1:24" s="6" customFormat="1" ht="13" thickBot="1" x14ac:dyDescent="0.3">
      <c r="A139" s="78" t="s">
        <v>237</v>
      </c>
      <c r="B139" s="78" t="s">
        <v>238</v>
      </c>
      <c r="C139" s="42">
        <f>'Climate A'!C139-'Climate B'!C139</f>
        <v>0</v>
      </c>
      <c r="D139" s="42">
        <f>'Climate A'!D139-'Climate B'!D139</f>
        <v>0</v>
      </c>
      <c r="E139" s="42">
        <f>'Climate A'!E139-'Climate B'!E139</f>
        <v>-1.3948443946254496E-6</v>
      </c>
      <c r="F139" s="42">
        <f>'Climate A'!F139-'Climate B'!F139</f>
        <v>-3.8916349491546764E-6</v>
      </c>
      <c r="G139" s="42">
        <f>'Climate A'!G139-'Climate B'!G139</f>
        <v>-7.1167369186664331E-6</v>
      </c>
      <c r="H139" s="42">
        <f>'Climate A'!H139-'Climate B'!H139</f>
        <v>-1.0789835046320917E-5</v>
      </c>
      <c r="I139" s="42">
        <f>'Climate A'!I139-'Climate B'!I139</f>
        <v>-1.4653447620860405E-5</v>
      </c>
      <c r="J139" s="42">
        <f>'Climate A'!J139-'Climate B'!J139</f>
        <v>-2.229304482542771E-5</v>
      </c>
      <c r="K139" s="42">
        <f>'Climate A'!K139-'Climate B'!K139</f>
        <v>-2.8645697346840748E-5</v>
      </c>
      <c r="L139" s="42">
        <f>'Climate A'!L139-'Climate B'!L139</f>
        <v>-4.0370472605966157E-5</v>
      </c>
      <c r="M139" s="42">
        <f>'Climate A'!M139-'Climate B'!M139</f>
        <v>-4.4348646554226434E-5</v>
      </c>
      <c r="N139" s="3" t="s">
        <v>228</v>
      </c>
      <c r="O139" s="6">
        <f t="shared" ref="O139:X139" si="5">D139</f>
        <v>0</v>
      </c>
      <c r="P139" s="6">
        <f t="shared" si="5"/>
        <v>-1.3948443946254496E-6</v>
      </c>
      <c r="Q139" s="6">
        <f t="shared" si="5"/>
        <v>-3.8916349491546764E-6</v>
      </c>
      <c r="R139" s="6">
        <f t="shared" si="5"/>
        <v>-7.1167369186664331E-6</v>
      </c>
      <c r="S139" s="6">
        <f t="shared" si="5"/>
        <v>-1.0789835046320917E-5</v>
      </c>
      <c r="T139" s="6">
        <f t="shared" si="5"/>
        <v>-1.4653447620860405E-5</v>
      </c>
      <c r="U139" s="6">
        <f t="shared" si="5"/>
        <v>-2.229304482542771E-5</v>
      </c>
      <c r="V139" s="6">
        <f t="shared" si="5"/>
        <v>-2.8645697346840748E-5</v>
      </c>
      <c r="W139" s="6">
        <f t="shared" si="5"/>
        <v>-4.0370472605966157E-5</v>
      </c>
      <c r="X139" s="6">
        <f t="shared" si="5"/>
        <v>-4.4348646554226434E-5</v>
      </c>
    </row>
    <row r="140" spans="1:24" ht="13" thickTop="1" x14ac:dyDescent="0.25"/>
  </sheetData>
  <pageMargins left="0.75" right="0.75" top="1" bottom="1" header="0.5" footer="0.5"/>
  <pageSetup paperSize="9" orientation="portrait" horizontalDpi="4294967293" verticalDpi="4294967293" r:id="rId1"/>
  <headerFooter alignWithMargins="0"/>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716"/>
  <sheetViews>
    <sheetView workbookViewId="0"/>
  </sheetViews>
  <sheetFormatPr defaultRowHeight="12.5" x14ac:dyDescent="0.25"/>
  <cols>
    <col min="1" max="1" width="21.54296875" bestFit="1" customWidth="1"/>
    <col min="2" max="6" width="10.1796875" bestFit="1" customWidth="1"/>
    <col min="7" max="7" width="9" customWidth="1"/>
    <col min="8" max="11" width="10.1796875" bestFit="1" customWidth="1"/>
    <col min="12" max="12" width="10.7265625" customWidth="1"/>
    <col min="13" max="13" width="7.26953125" bestFit="1" customWidth="1"/>
  </cols>
  <sheetData>
    <row r="1" spans="1:5" ht="13" x14ac:dyDescent="0.3">
      <c r="A1" s="2" t="str">
        <f>MODEL_NAME</f>
        <v>PAGE09</v>
      </c>
      <c r="B1" t="s">
        <v>44</v>
      </c>
      <c r="C1" s="71">
        <f>VERSION</f>
        <v>1.7</v>
      </c>
    </row>
    <row r="2" spans="1:5" s="79" customFormat="1" x14ac:dyDescent="0.25">
      <c r="A2" s="43" t="str">
        <f>"Uncertainty in BAU emissions in "&amp;Y_LAST</f>
        <v>Uncertainty in BAU emissions in 2300</v>
      </c>
      <c r="B2" s="43"/>
      <c r="C2" s="43"/>
      <c r="D2" s="43"/>
      <c r="E2" s="43"/>
    </row>
    <row r="3" spans="1:5" s="12" customFormat="1" x14ac:dyDescent="0.25">
      <c r="A3" s="43"/>
      <c r="B3" s="99" t="s">
        <v>14</v>
      </c>
      <c r="C3" s="99" t="s">
        <v>15</v>
      </c>
      <c r="D3" s="99" t="s">
        <v>182</v>
      </c>
      <c r="E3" s="43" t="str">
        <f>GLIN_NAME</f>
        <v>Lin</v>
      </c>
    </row>
    <row r="4" spans="1:5" s="12" customFormat="1" ht="15.5" x14ac:dyDescent="0.4">
      <c r="A4" s="43"/>
      <c r="B4" s="43" t="s">
        <v>129</v>
      </c>
      <c r="C4" s="43" t="s">
        <v>130</v>
      </c>
      <c r="D4" s="43" t="s">
        <v>130</v>
      </c>
      <c r="E4" s="43" t="s">
        <v>160</v>
      </c>
    </row>
    <row r="5" spans="1:5" s="12" customFormat="1" x14ac:dyDescent="0.25">
      <c r="A5" s="22" t="str">
        <f t="array" ref="A5:A12">R_CODE</f>
        <v>EU</v>
      </c>
      <c r="B5" s="35">
        <f>EMIT_CO2_1</f>
        <v>8.3333333330000006</v>
      </c>
      <c r="C5" s="35">
        <f>EMIT_CH4_1</f>
        <v>25</v>
      </c>
      <c r="D5" s="35">
        <f>EMIT_N2O_1</f>
        <v>0</v>
      </c>
      <c r="E5" s="35">
        <f>EMIT_GLIN_1</f>
        <v>0</v>
      </c>
    </row>
    <row r="6" spans="1:5" s="12" customFormat="1" x14ac:dyDescent="0.25">
      <c r="A6" s="22" t="str">
        <v>US</v>
      </c>
      <c r="B6" s="35">
        <f t="array" ref="B6:B12">EMIT_CO2_1*EMITF</f>
        <v>8.3333333330000006</v>
      </c>
      <c r="C6" s="35">
        <f t="array" ref="C6:C12">EMIT_CH4_1*EMITF</f>
        <v>25</v>
      </c>
      <c r="D6" s="35">
        <f t="array" ref="D6:D12">EMIT_N2O_1*EMITF</f>
        <v>0</v>
      </c>
      <c r="E6" s="35">
        <f t="array" ref="E6:E12">EMIT_GLIN_1*EMITF</f>
        <v>0</v>
      </c>
    </row>
    <row r="7" spans="1:5" s="12" customFormat="1" x14ac:dyDescent="0.25">
      <c r="A7" s="22" t="str">
        <v>OT</v>
      </c>
      <c r="B7" s="35">
        <v>8.3333333330000006</v>
      </c>
      <c r="C7" s="35">
        <v>25</v>
      </c>
      <c r="D7" s="35">
        <v>0</v>
      </c>
      <c r="E7" s="35">
        <v>0</v>
      </c>
    </row>
    <row r="8" spans="1:5" s="12" customFormat="1" x14ac:dyDescent="0.25">
      <c r="A8" s="22" t="str">
        <v>EE</v>
      </c>
      <c r="B8" s="35">
        <v>8.3333333330000006</v>
      </c>
      <c r="C8" s="35">
        <v>25</v>
      </c>
      <c r="D8" s="35">
        <v>0</v>
      </c>
      <c r="E8" s="35">
        <v>0</v>
      </c>
    </row>
    <row r="9" spans="1:5" s="12" customFormat="1" x14ac:dyDescent="0.25">
      <c r="A9" s="22" t="str">
        <v>CA</v>
      </c>
      <c r="B9" s="35">
        <v>8.3333333330000006</v>
      </c>
      <c r="C9" s="35">
        <v>25</v>
      </c>
      <c r="D9" s="35">
        <v>0</v>
      </c>
      <c r="E9" s="35">
        <v>0</v>
      </c>
    </row>
    <row r="10" spans="1:5" s="12" customFormat="1" x14ac:dyDescent="0.25">
      <c r="A10" s="22" t="str">
        <v>IA</v>
      </c>
      <c r="B10" s="35">
        <v>8.3333333330000006</v>
      </c>
      <c r="C10" s="35">
        <v>25</v>
      </c>
      <c r="D10" s="35">
        <v>0</v>
      </c>
      <c r="E10" s="35">
        <v>0</v>
      </c>
    </row>
    <row r="11" spans="1:5" s="12" customFormat="1" x14ac:dyDescent="0.25">
      <c r="A11" s="22" t="str">
        <v>AF</v>
      </c>
      <c r="B11" s="35">
        <v>8.3333333330000006</v>
      </c>
      <c r="C11" s="35">
        <v>25</v>
      </c>
      <c r="D11" s="35">
        <v>0</v>
      </c>
      <c r="E11" s="35">
        <v>0</v>
      </c>
    </row>
    <row r="12" spans="1:5" s="12" customFormat="1" x14ac:dyDescent="0.25">
      <c r="A12" s="22" t="str">
        <v>LA</v>
      </c>
      <c r="B12" s="35">
        <v>8.3333333330000006</v>
      </c>
      <c r="C12" s="35">
        <v>25</v>
      </c>
      <c r="D12" s="35">
        <v>0</v>
      </c>
      <c r="E12" s="35">
        <v>0</v>
      </c>
    </row>
    <row r="13" spans="1:5" s="12" customFormat="1" x14ac:dyDescent="0.25">
      <c r="A13" s="43"/>
      <c r="B13" s="43" t="str">
        <f>'Library data'!$G$70</f>
        <v>%</v>
      </c>
      <c r="C13" s="43" t="str">
        <f>'Library data'!$G$77</f>
        <v>%</v>
      </c>
      <c r="D13" s="43" t="str">
        <f>'Library data'!$G$77</f>
        <v>%</v>
      </c>
      <c r="E13" s="43" t="str">
        <f>'Library data'!$G$77</f>
        <v>%</v>
      </c>
    </row>
    <row r="15" spans="1:5" s="79" customFormat="1" x14ac:dyDescent="0.25">
      <c r="A15" s="99" t="s">
        <v>337</v>
      </c>
      <c r="B15" s="43"/>
      <c r="C15" s="43"/>
      <c r="D15" s="43"/>
      <c r="E15" s="43"/>
    </row>
    <row r="16" spans="1:5" s="12" customFormat="1" x14ac:dyDescent="0.25">
      <c r="A16" s="43"/>
      <c r="B16" s="99" t="s">
        <v>14</v>
      </c>
      <c r="C16" s="99" t="s">
        <v>15</v>
      </c>
      <c r="D16" s="99" t="s">
        <v>182</v>
      </c>
      <c r="E16" s="43" t="str">
        <f>GLIN_NAME</f>
        <v>Lin</v>
      </c>
    </row>
    <row r="17" spans="1:5" s="12" customFormat="1" ht="13" x14ac:dyDescent="0.3">
      <c r="A17" s="43"/>
      <c r="B17" s="100" t="s">
        <v>343</v>
      </c>
      <c r="C17" s="100" t="s">
        <v>344</v>
      </c>
      <c r="D17" s="100" t="s">
        <v>345</v>
      </c>
      <c r="E17" s="100" t="s">
        <v>346</v>
      </c>
    </row>
    <row r="18" spans="1:5" s="12" customFormat="1" x14ac:dyDescent="0.25">
      <c r="A18" s="22" t="str">
        <f t="array" ref="A18:A25">R_CODE</f>
        <v>EU</v>
      </c>
      <c r="B18" s="35">
        <f>Q0_PROP_INIT_CO2_1</f>
        <v>20</v>
      </c>
      <c r="C18" s="35">
        <f>Q0_PROP_INIT_CH4_1</f>
        <v>10</v>
      </c>
      <c r="D18" s="35">
        <f>Q0_PROP_INIT_N2O_1</f>
        <v>10</v>
      </c>
      <c r="E18" s="35">
        <f>Q0_PROP_INIT_GLIN_1</f>
        <v>10</v>
      </c>
    </row>
    <row r="19" spans="1:5" s="12" customFormat="1" x14ac:dyDescent="0.25">
      <c r="A19" s="22" t="str">
        <v>US</v>
      </c>
      <c r="B19" s="35">
        <f t="array" ref="B19:B25">Q0_PROP_INIT_CO2_1*Q0F</f>
        <v>21.666666659999997</v>
      </c>
      <c r="C19" s="35">
        <f t="array" ref="C19:C25">Q0_PROP_INIT_CH4_1*Q0F</f>
        <v>10.833333329999999</v>
      </c>
      <c r="D19" s="35">
        <f t="array" ref="D19:D25">Q0_PROP_INIT_N2O_1*Q0F</f>
        <v>10.833333329999999</v>
      </c>
      <c r="E19" s="35">
        <f t="array" ref="E19:E25">Q0_PROP_INIT_GLIN_1*Q0F</f>
        <v>10.833333329999999</v>
      </c>
    </row>
    <row r="20" spans="1:5" s="12" customFormat="1" x14ac:dyDescent="0.25">
      <c r="A20" s="22" t="str">
        <v>OT</v>
      </c>
      <c r="B20" s="35">
        <v>20</v>
      </c>
      <c r="C20" s="35">
        <v>10</v>
      </c>
      <c r="D20" s="35">
        <v>10</v>
      </c>
      <c r="E20" s="35">
        <v>10</v>
      </c>
    </row>
    <row r="21" spans="1:5" s="12" customFormat="1" x14ac:dyDescent="0.25">
      <c r="A21" s="22" t="str">
        <v>EE</v>
      </c>
      <c r="B21" s="35">
        <v>14</v>
      </c>
      <c r="C21" s="35">
        <v>7</v>
      </c>
      <c r="D21" s="35">
        <v>7</v>
      </c>
      <c r="E21" s="35">
        <v>7</v>
      </c>
    </row>
    <row r="22" spans="1:5" s="12" customFormat="1" x14ac:dyDescent="0.25">
      <c r="A22" s="22" t="str">
        <v>CA</v>
      </c>
      <c r="B22" s="35">
        <v>14</v>
      </c>
      <c r="C22" s="35">
        <v>7</v>
      </c>
      <c r="D22" s="35">
        <v>7</v>
      </c>
      <c r="E22" s="35">
        <v>7</v>
      </c>
    </row>
    <row r="23" spans="1:5" s="12" customFormat="1" x14ac:dyDescent="0.25">
      <c r="A23" s="22" t="str">
        <v>IA</v>
      </c>
      <c r="B23" s="35">
        <v>14</v>
      </c>
      <c r="C23" s="35">
        <v>7</v>
      </c>
      <c r="D23" s="35">
        <v>7</v>
      </c>
      <c r="E23" s="35">
        <v>7</v>
      </c>
    </row>
    <row r="24" spans="1:5" s="12" customFormat="1" x14ac:dyDescent="0.25">
      <c r="A24" s="22" t="str">
        <v>AF</v>
      </c>
      <c r="B24" s="35">
        <v>14</v>
      </c>
      <c r="C24" s="35">
        <v>7</v>
      </c>
      <c r="D24" s="35">
        <v>7</v>
      </c>
      <c r="E24" s="35">
        <v>7</v>
      </c>
    </row>
    <row r="25" spans="1:5" s="12" customFormat="1" x14ac:dyDescent="0.25">
      <c r="A25" s="22" t="str">
        <v>LA</v>
      </c>
      <c r="B25" s="35">
        <v>14</v>
      </c>
      <c r="C25" s="35">
        <v>7</v>
      </c>
      <c r="D25" s="35">
        <v>7</v>
      </c>
      <c r="E25" s="35">
        <v>7</v>
      </c>
    </row>
    <row r="26" spans="1:5" s="12" customFormat="1" x14ac:dyDescent="0.25">
      <c r="A26" s="43"/>
      <c r="B26" s="43" t="str">
        <f>'Library data'!$G$70</f>
        <v>%</v>
      </c>
      <c r="C26" s="43" t="str">
        <f>'Library data'!$G$77</f>
        <v>%</v>
      </c>
      <c r="D26" s="43" t="str">
        <f>'Library data'!$G$77</f>
        <v>%</v>
      </c>
      <c r="E26" s="43" t="str">
        <f>'Library data'!$G$77</f>
        <v>%</v>
      </c>
    </row>
    <row r="28" spans="1:5" s="79" customFormat="1" x14ac:dyDescent="0.25">
      <c r="A28" s="99" t="s">
        <v>338</v>
      </c>
      <c r="B28" s="43"/>
      <c r="C28" s="43"/>
      <c r="D28" s="43"/>
      <c r="E28" s="43"/>
    </row>
    <row r="29" spans="1:5" s="12" customFormat="1" x14ac:dyDescent="0.25">
      <c r="A29" s="43"/>
      <c r="B29" s="99" t="s">
        <v>14</v>
      </c>
      <c r="C29" s="99" t="s">
        <v>15</v>
      </c>
      <c r="D29" s="99" t="s">
        <v>182</v>
      </c>
      <c r="E29" s="43" t="str">
        <f>GLIN_NAME</f>
        <v>Lin</v>
      </c>
    </row>
    <row r="30" spans="1:5" s="12" customFormat="1" ht="13.5" x14ac:dyDescent="0.35">
      <c r="A30" s="43"/>
      <c r="B30" s="101" t="s">
        <v>339</v>
      </c>
      <c r="C30" s="101" t="s">
        <v>340</v>
      </c>
      <c r="D30" s="101" t="s">
        <v>341</v>
      </c>
      <c r="E30" s="101" t="s">
        <v>342</v>
      </c>
    </row>
    <row r="31" spans="1:5" s="12" customFormat="1" x14ac:dyDescent="0.25">
      <c r="A31" s="22" t="str">
        <f t="array" ref="A31:A38">R_CODE</f>
        <v>EU</v>
      </c>
      <c r="B31" s="35">
        <f>CMAX_INIT_CO2_1</f>
        <v>400</v>
      </c>
      <c r="C31" s="35">
        <f>CMAX_INIT_CH4_1</f>
        <v>6333.3333329999996</v>
      </c>
      <c r="D31" s="35">
        <f>CMAX_INIT_N2O_1</f>
        <v>27333.333330000001</v>
      </c>
      <c r="E31" s="35">
        <f>CMAX_INIT_GLIN_1</f>
        <v>333.33333329999999</v>
      </c>
    </row>
    <row r="32" spans="1:5" s="12" customFormat="1" x14ac:dyDescent="0.25">
      <c r="A32" s="22" t="str">
        <v>US</v>
      </c>
      <c r="B32" s="35">
        <f t="array" ref="B32:B38">CMAX_INIT_CO2_1*CMAXF</f>
        <v>400</v>
      </c>
      <c r="C32" s="35">
        <f t="array" ref="C32:C38">CMAX_INIT_CH4_1*CMAXF</f>
        <v>6333.3333329999996</v>
      </c>
      <c r="D32" s="35">
        <f t="array" ref="D32:D38">CMAX_INIT_N2O_1*CMAXF</f>
        <v>27333.333330000001</v>
      </c>
      <c r="E32" s="35">
        <f t="array" ref="E32:E38">CMAX_INIT_GLIN_1*CMAXF</f>
        <v>333.33333329999999</v>
      </c>
    </row>
    <row r="33" spans="1:13" s="12" customFormat="1" x14ac:dyDescent="0.25">
      <c r="A33" s="22" t="str">
        <v>OT</v>
      </c>
      <c r="B33" s="35">
        <v>493.33333320000003</v>
      </c>
      <c r="C33" s="35">
        <v>7811.1111085888888</v>
      </c>
      <c r="D33" s="35">
        <v>33711.11109788889</v>
      </c>
      <c r="E33" s="35">
        <v>411.1111109588889</v>
      </c>
    </row>
    <row r="34" spans="1:13" s="12" customFormat="1" x14ac:dyDescent="0.25">
      <c r="A34" s="22" t="str">
        <v>EE</v>
      </c>
      <c r="B34" s="35">
        <v>280</v>
      </c>
      <c r="C34" s="35">
        <v>4433.3333330999994</v>
      </c>
      <c r="D34" s="35">
        <v>19133.333330999998</v>
      </c>
      <c r="E34" s="35">
        <v>233.33333330999997</v>
      </c>
    </row>
    <row r="35" spans="1:13" s="12" customFormat="1" x14ac:dyDescent="0.25">
      <c r="A35" s="22" t="str">
        <v>CA</v>
      </c>
      <c r="B35" s="35">
        <v>400</v>
      </c>
      <c r="C35" s="35">
        <v>6333.3333329999996</v>
      </c>
      <c r="D35" s="35">
        <v>27333.333330000001</v>
      </c>
      <c r="E35" s="35">
        <v>333.33333329999999</v>
      </c>
    </row>
    <row r="36" spans="1:13" s="12" customFormat="1" x14ac:dyDescent="0.25">
      <c r="A36" s="22" t="str">
        <v>IA</v>
      </c>
      <c r="B36" s="35">
        <v>493.33333320000003</v>
      </c>
      <c r="C36" s="35">
        <v>7811.1111085888888</v>
      </c>
      <c r="D36" s="35">
        <v>33711.11109788889</v>
      </c>
      <c r="E36" s="35">
        <v>411.1111109588889</v>
      </c>
    </row>
    <row r="37" spans="1:13" s="12" customFormat="1" x14ac:dyDescent="0.25">
      <c r="A37" s="22" t="str">
        <v>AF</v>
      </c>
      <c r="B37" s="35">
        <v>493.33333320000003</v>
      </c>
      <c r="C37" s="35">
        <v>7811.1111085888888</v>
      </c>
      <c r="D37" s="35">
        <v>33711.11109788889</v>
      </c>
      <c r="E37" s="35">
        <v>411.1111109588889</v>
      </c>
    </row>
    <row r="38" spans="1:13" s="12" customFormat="1" x14ac:dyDescent="0.25">
      <c r="A38" s="22" t="str">
        <v>LA</v>
      </c>
      <c r="B38" s="35">
        <v>280</v>
      </c>
      <c r="C38" s="35">
        <v>4433.3333330999994</v>
      </c>
      <c r="D38" s="35">
        <v>19133.333330999998</v>
      </c>
      <c r="E38" s="35">
        <v>233.33333330999997</v>
      </c>
    </row>
    <row r="39" spans="1:13" s="12" customFormat="1" x14ac:dyDescent="0.25">
      <c r="A39" s="43"/>
      <c r="B39" s="43" t="str">
        <f>CURRENCY_NAME&amp;" per "&amp;EMIT_NAME</f>
        <v>$million per Mtonne</v>
      </c>
      <c r="C39" s="43" t="str">
        <f>CURRENCY_NAME&amp;" per "&amp;EMIT_NAME</f>
        <v>$million per Mtonne</v>
      </c>
      <c r="D39" s="43" t="str">
        <f>CURRENCY_NAME&amp;" per "&amp;EMIT_NAME</f>
        <v>$million per Mtonne</v>
      </c>
      <c r="E39" s="43" t="str">
        <f>CURRENCY_NAME&amp;" per "&amp;EMIT_NAME</f>
        <v>$million per Mtonne</v>
      </c>
    </row>
    <row r="40" spans="1:13" s="12" customFormat="1" x14ac:dyDescent="0.25">
      <c r="A40" s="43"/>
      <c r="B40" s="43"/>
      <c r="C40" s="43"/>
      <c r="D40" s="43"/>
      <c r="E40" s="43"/>
    </row>
    <row r="41" spans="1:13" x14ac:dyDescent="0.25">
      <c r="B41">
        <f t="array" ref="B41:K41">Y</f>
        <v>2010</v>
      </c>
      <c r="C41">
        <v>2020</v>
      </c>
      <c r="D41">
        <v>2030</v>
      </c>
      <c r="E41">
        <v>2040</v>
      </c>
      <c r="F41">
        <v>2050</v>
      </c>
      <c r="G41">
        <v>2060</v>
      </c>
      <c r="H41">
        <v>2080</v>
      </c>
      <c r="I41">
        <v>2100</v>
      </c>
      <c r="J41">
        <v>2200</v>
      </c>
      <c r="K41">
        <v>2300</v>
      </c>
    </row>
    <row r="42" spans="1:13" s="4" customFormat="1" x14ac:dyDescent="0.25">
      <c r="A42" s="4" t="s">
        <v>71</v>
      </c>
      <c r="B42" s="20">
        <f t="array" ref="B42:K42">YP</f>
        <v>10</v>
      </c>
      <c r="C42" s="20">
        <v>10</v>
      </c>
      <c r="D42" s="20">
        <v>10</v>
      </c>
      <c r="E42" s="20">
        <v>10</v>
      </c>
      <c r="F42" s="20">
        <v>10</v>
      </c>
      <c r="G42" s="20">
        <v>10</v>
      </c>
      <c r="H42" s="20">
        <v>20</v>
      </c>
      <c r="I42" s="20">
        <v>20</v>
      </c>
      <c r="J42" s="20">
        <v>100</v>
      </c>
      <c r="K42" s="20">
        <v>100</v>
      </c>
      <c r="M42" s="4" t="s">
        <v>47</v>
      </c>
    </row>
    <row r="43" spans="1:13" s="4" customFormat="1" x14ac:dyDescent="0.25">
      <c r="A43" s="4" t="s">
        <v>113</v>
      </c>
      <c r="B43" s="22">
        <f t="array" ref="B43:K43">Y_HI</f>
        <v>2015</v>
      </c>
      <c r="C43" s="22">
        <v>2025</v>
      </c>
      <c r="D43" s="22">
        <v>2035</v>
      </c>
      <c r="E43" s="22">
        <v>2045</v>
      </c>
      <c r="F43" s="22">
        <v>2055</v>
      </c>
      <c r="G43" s="22">
        <v>2070</v>
      </c>
      <c r="H43" s="22">
        <v>2090</v>
      </c>
      <c r="I43" s="22">
        <v>2150</v>
      </c>
      <c r="J43" s="22">
        <v>2250</v>
      </c>
      <c r="K43" s="22">
        <v>2300</v>
      </c>
    </row>
    <row r="44" spans="1:13" s="4" customFormat="1" x14ac:dyDescent="0.25">
      <c r="A44" s="4" t="s">
        <v>114</v>
      </c>
      <c r="B44" s="22">
        <f t="array" ref="B44:K44">Y_LO</f>
        <v>2000</v>
      </c>
      <c r="C44" s="22">
        <v>2015</v>
      </c>
      <c r="D44" s="22">
        <v>2025</v>
      </c>
      <c r="E44" s="22">
        <v>2035</v>
      </c>
      <c r="F44" s="22">
        <v>2045</v>
      </c>
      <c r="G44" s="22">
        <v>2055</v>
      </c>
      <c r="H44" s="22">
        <v>2070</v>
      </c>
      <c r="I44" s="22">
        <v>2090</v>
      </c>
      <c r="J44" s="22">
        <v>2150</v>
      </c>
      <c r="K44" s="22">
        <v>2250</v>
      </c>
    </row>
    <row r="45" spans="1:13" s="4" customFormat="1" x14ac:dyDescent="0.25">
      <c r="A45" s="4" t="s">
        <v>112</v>
      </c>
      <c r="B45" s="91">
        <f t="array" ref="B45:K45">YAGG</f>
        <v>15</v>
      </c>
      <c r="C45" s="91">
        <v>10</v>
      </c>
      <c r="D45" s="91">
        <v>10</v>
      </c>
      <c r="E45" s="91">
        <v>10</v>
      </c>
      <c r="F45" s="91">
        <v>10</v>
      </c>
      <c r="G45" s="91">
        <v>15</v>
      </c>
      <c r="H45" s="91">
        <v>20</v>
      </c>
      <c r="I45" s="91">
        <v>60</v>
      </c>
      <c r="J45" s="91">
        <v>100</v>
      </c>
      <c r="K45" s="91">
        <v>50</v>
      </c>
      <c r="M45" s="4" t="s">
        <v>47</v>
      </c>
    </row>
    <row r="46" spans="1:13" ht="16" thickBot="1" x14ac:dyDescent="0.45">
      <c r="A46" t="s">
        <v>131</v>
      </c>
      <c r="B46" s="23">
        <f t="array" ref="B46:K46">Y-Y_0</f>
        <v>10</v>
      </c>
      <c r="C46" s="23">
        <v>20</v>
      </c>
      <c r="D46" s="23">
        <v>30</v>
      </c>
      <c r="E46" s="23">
        <v>40</v>
      </c>
      <c r="F46" s="23">
        <v>50</v>
      </c>
      <c r="G46" s="23">
        <v>60</v>
      </c>
      <c r="H46" s="23">
        <v>80</v>
      </c>
      <c r="I46" s="23">
        <v>100</v>
      </c>
      <c r="J46" s="23">
        <v>200</v>
      </c>
      <c r="K46" s="23">
        <v>300</v>
      </c>
      <c r="M46" t="s">
        <v>47</v>
      </c>
    </row>
    <row r="47" spans="1:13" ht="13" thickTop="1" x14ac:dyDescent="0.25"/>
    <row r="48" spans="1:13" s="2" customFormat="1" ht="15" x14ac:dyDescent="0.4">
      <c r="A48" s="2" t="s">
        <v>132</v>
      </c>
      <c r="B48" s="5" t="s">
        <v>133</v>
      </c>
    </row>
    <row r="49" spans="1:13" s="4" customFormat="1" x14ac:dyDescent="0.25">
      <c r="A49" s="4" t="str">
        <f t="array" ref="A49:A56">R_CODE&amp;" "&amp;'Base data'!$B$11</f>
        <v>EU CO2</v>
      </c>
      <c r="B49" s="20">
        <f t="array" ref="B49:K56">(1+(EMIT_CO2/100)*(YMINUSY0/YMINUSY0_LAST))*BAU_CO2</f>
        <v>101.03106584245724</v>
      </c>
      <c r="C49" s="20">
        <v>102.06630502599289</v>
      </c>
      <c r="D49" s="20">
        <v>104.98641278848939</v>
      </c>
      <c r="E49" s="20">
        <v>103.39004035504769</v>
      </c>
      <c r="F49" s="20">
        <v>101.78330753038966</v>
      </c>
      <c r="G49" s="20">
        <v>96.796628387123249</v>
      </c>
      <c r="H49" s="20">
        <v>83.201495653891072</v>
      </c>
      <c r="I49" s="20">
        <v>69.849734791463234</v>
      </c>
      <c r="J49" s="20">
        <v>71.737565461429327</v>
      </c>
      <c r="K49" s="20">
        <v>73.625396131395391</v>
      </c>
      <c r="M49" s="4" t="str">
        <f>'Library data'!$G$70</f>
        <v>%</v>
      </c>
    </row>
    <row r="50" spans="1:13" s="4" customFormat="1" x14ac:dyDescent="0.25">
      <c r="A50" s="4" t="str">
        <v>US CO2</v>
      </c>
      <c r="B50" s="22">
        <v>101.03106584245724</v>
      </c>
      <c r="C50" s="22">
        <v>102.06630502599289</v>
      </c>
      <c r="D50" s="22">
        <v>104.98641278848939</v>
      </c>
      <c r="E50" s="22">
        <v>103.39004035504769</v>
      </c>
      <c r="F50" s="22">
        <v>101.78330753038966</v>
      </c>
      <c r="G50" s="22">
        <v>96.796628387123249</v>
      </c>
      <c r="H50" s="22">
        <v>83.201495653891072</v>
      </c>
      <c r="I50" s="22">
        <v>69.849734791463234</v>
      </c>
      <c r="J50" s="22">
        <v>71.737565461429327</v>
      </c>
      <c r="K50" s="22">
        <v>73.625396131395391</v>
      </c>
      <c r="M50" s="4" t="str">
        <f>'Library data'!$G$70</f>
        <v>%</v>
      </c>
    </row>
    <row r="51" spans="1:13" s="4" customFormat="1" x14ac:dyDescent="0.25">
      <c r="A51" s="4" t="str">
        <v>OT CO2</v>
      </c>
      <c r="B51" s="22">
        <v>101.03106584245724</v>
      </c>
      <c r="C51" s="22">
        <v>102.06630502599289</v>
      </c>
      <c r="D51" s="22">
        <v>104.98641278848939</v>
      </c>
      <c r="E51" s="22">
        <v>103.39004035504769</v>
      </c>
      <c r="F51" s="22">
        <v>101.78330753038966</v>
      </c>
      <c r="G51" s="22">
        <v>96.796628387123249</v>
      </c>
      <c r="H51" s="22">
        <v>83.201495653891072</v>
      </c>
      <c r="I51" s="22">
        <v>69.849734791463234</v>
      </c>
      <c r="J51" s="22">
        <v>71.737565461429327</v>
      </c>
      <c r="K51" s="22">
        <v>73.625396131395391</v>
      </c>
      <c r="M51" s="4" t="str">
        <f>'Library data'!$G$70</f>
        <v>%</v>
      </c>
    </row>
    <row r="52" spans="1:13" s="4" customFormat="1" x14ac:dyDescent="0.25">
      <c r="A52" s="4" t="str">
        <v>EE CO2</v>
      </c>
      <c r="B52" s="22">
        <v>103.12224585947685</v>
      </c>
      <c r="C52" s="22">
        <v>106.2602505448905</v>
      </c>
      <c r="D52" s="22">
        <v>97.804829928720665</v>
      </c>
      <c r="E52" s="22">
        <v>96.209576169563434</v>
      </c>
      <c r="F52" s="22">
        <v>94.604076868910241</v>
      </c>
      <c r="G52" s="22">
        <v>89.339383722688808</v>
      </c>
      <c r="H52" s="22">
        <v>75.528302000685301</v>
      </c>
      <c r="I52" s="22">
        <v>65.143129499376968</v>
      </c>
      <c r="J52" s="22">
        <v>66.903754620913247</v>
      </c>
      <c r="K52" s="22">
        <v>68.664379742449498</v>
      </c>
      <c r="M52" s="4" t="str">
        <f>'Library data'!$G$70</f>
        <v>%</v>
      </c>
    </row>
    <row r="53" spans="1:13" s="4" customFormat="1" x14ac:dyDescent="0.25">
      <c r="A53" s="4" t="str">
        <v>CA CO2</v>
      </c>
      <c r="B53" s="22">
        <v>104.3315330339463</v>
      </c>
      <c r="C53" s="22">
        <v>108.68552454576525</v>
      </c>
      <c r="D53" s="22">
        <v>139.33753941710876</v>
      </c>
      <c r="E53" s="22">
        <v>164.63695893448667</v>
      </c>
      <c r="F53" s="22">
        <v>190.07327718563138</v>
      </c>
      <c r="G53" s="22">
        <v>197.1321826027999</v>
      </c>
      <c r="H53" s="22">
        <v>204.00369998277765</v>
      </c>
      <c r="I53" s="22">
        <v>186.6443357110231</v>
      </c>
      <c r="J53" s="22">
        <v>191.68877721653013</v>
      </c>
      <c r="K53" s="22">
        <v>196.73321872203709</v>
      </c>
      <c r="M53" s="4" t="str">
        <f>'Library data'!$G$70</f>
        <v>%</v>
      </c>
    </row>
    <row r="54" spans="1:13" s="4" customFormat="1" x14ac:dyDescent="0.25">
      <c r="A54" s="4" t="str">
        <v>IA CO2</v>
      </c>
      <c r="B54" s="22">
        <v>104.3315330339463</v>
      </c>
      <c r="C54" s="22">
        <v>108.68552454576525</v>
      </c>
      <c r="D54" s="22">
        <v>139.33753941710876</v>
      </c>
      <c r="E54" s="22">
        <v>164.63695893448667</v>
      </c>
      <c r="F54" s="22">
        <v>190.07327718563138</v>
      </c>
      <c r="G54" s="22">
        <v>197.13218260280001</v>
      </c>
      <c r="H54" s="22">
        <v>204.00369998277768</v>
      </c>
      <c r="I54" s="22">
        <v>186.6443357110231</v>
      </c>
      <c r="J54" s="22">
        <v>191.68877721653013</v>
      </c>
      <c r="K54" s="22">
        <v>196.73321872203709</v>
      </c>
      <c r="M54" s="4" t="str">
        <f>'Library data'!$G$70</f>
        <v>%</v>
      </c>
    </row>
    <row r="55" spans="1:13" s="4" customFormat="1" x14ac:dyDescent="0.25">
      <c r="A55" s="4" t="str">
        <v>AF CO2</v>
      </c>
      <c r="B55" s="22">
        <v>104.35218474654954</v>
      </c>
      <c r="C55" s="22">
        <v>108.72694238489196</v>
      </c>
      <c r="D55" s="22">
        <v>141.3839354119547</v>
      </c>
      <c r="E55" s="22">
        <v>167.87998200188426</v>
      </c>
      <c r="F55" s="22">
        <v>194.51947122458046</v>
      </c>
      <c r="G55" s="22">
        <v>209.06931725703146</v>
      </c>
      <c r="H55" s="22">
        <v>216.91354620893247</v>
      </c>
      <c r="I55" s="22">
        <v>188.4742146781023</v>
      </c>
      <c r="J55" s="22">
        <v>193.56811237190684</v>
      </c>
      <c r="K55" s="22">
        <v>198.66201006571131</v>
      </c>
      <c r="M55" s="4" t="str">
        <f>'Library data'!$G$70</f>
        <v>%</v>
      </c>
    </row>
    <row r="56" spans="1:13" s="4" customFormat="1" ht="13" thickBot="1" x14ac:dyDescent="0.3">
      <c r="A56" s="4" t="str">
        <v>LA CO2</v>
      </c>
      <c r="B56" s="24">
        <v>104.35218474654954</v>
      </c>
      <c r="C56" s="24">
        <v>108.72694238489196</v>
      </c>
      <c r="D56" s="24">
        <v>141.3839354119547</v>
      </c>
      <c r="E56" s="24">
        <v>167.87998200188426</v>
      </c>
      <c r="F56" s="24">
        <v>194.51947122458046</v>
      </c>
      <c r="G56" s="24">
        <v>209.06931725703146</v>
      </c>
      <c r="H56" s="24">
        <v>216.91354620893247</v>
      </c>
      <c r="I56" s="24">
        <v>188.4742146781023</v>
      </c>
      <c r="J56" s="24">
        <v>193.56811237190684</v>
      </c>
      <c r="K56" s="24">
        <v>198.66201006571131</v>
      </c>
      <c r="M56" s="4" t="str">
        <f>'Library data'!$G$70</f>
        <v>%</v>
      </c>
    </row>
    <row r="57" spans="1:13" s="5" customFormat="1" ht="15.5" thickTop="1" x14ac:dyDescent="0.4">
      <c r="A57" s="5" t="s">
        <v>132</v>
      </c>
      <c r="B57" s="5" t="s">
        <v>134</v>
      </c>
    </row>
    <row r="58" spans="1:13" s="4" customFormat="1" x14ac:dyDescent="0.25">
      <c r="A58" s="4" t="str">
        <f t="array" ref="A58:A65">R_CODE&amp;" "&amp;'Base data'!$C$11</f>
        <v>EU CH4</v>
      </c>
      <c r="B58" s="20">
        <f t="array" ref="B58:K65">(1+(EMIT_CH4/100)*(YMINUSY0/YMINUSY0_LAST))*BAU_CH4</f>
        <v>100.49883203454119</v>
      </c>
      <c r="C58" s="20">
        <v>100.99213512199492</v>
      </c>
      <c r="D58" s="20">
        <v>98.644676813831367</v>
      </c>
      <c r="E58" s="20">
        <v>91.75654873698609</v>
      </c>
      <c r="F58" s="20">
        <v>84.744386509830548</v>
      </c>
      <c r="G58" s="20">
        <v>78.954511866888396</v>
      </c>
      <c r="H58" s="20">
        <v>69.365562309961433</v>
      </c>
      <c r="I58" s="20">
        <v>64.100265679912184</v>
      </c>
      <c r="J58" s="20">
        <v>69.031055347597743</v>
      </c>
      <c r="K58" s="20">
        <v>73.961845015283288</v>
      </c>
      <c r="M58" s="4" t="str">
        <f>'Library data'!$G$77</f>
        <v>%</v>
      </c>
    </row>
    <row r="59" spans="1:13" s="4" customFormat="1" x14ac:dyDescent="0.25">
      <c r="A59" s="4" t="str">
        <v>US CH4</v>
      </c>
      <c r="B59" s="22">
        <v>100.49883203454119</v>
      </c>
      <c r="C59" s="22">
        <v>100.99213512199492</v>
      </c>
      <c r="D59" s="22">
        <v>98.644676813831367</v>
      </c>
      <c r="E59" s="22">
        <v>91.75654873698609</v>
      </c>
      <c r="F59" s="22">
        <v>84.744386509830548</v>
      </c>
      <c r="G59" s="22">
        <v>78.954511866888396</v>
      </c>
      <c r="H59" s="22">
        <v>69.365562309961433</v>
      </c>
      <c r="I59" s="22">
        <v>64.100265679912184</v>
      </c>
      <c r="J59" s="22">
        <v>69.031055347597743</v>
      </c>
      <c r="K59" s="22">
        <v>73.961845015283288</v>
      </c>
      <c r="M59" s="4" t="str">
        <f>'Library data'!$G$77</f>
        <v>%</v>
      </c>
    </row>
    <row r="60" spans="1:13" s="4" customFormat="1" x14ac:dyDescent="0.25">
      <c r="A60" s="4" t="str">
        <v>OT CH4</v>
      </c>
      <c r="B60" s="22">
        <v>100.49883203454119</v>
      </c>
      <c r="C60" s="22">
        <v>100.99213512199492</v>
      </c>
      <c r="D60" s="22">
        <v>98.644676813831367</v>
      </c>
      <c r="E60" s="22">
        <v>91.75654873698609</v>
      </c>
      <c r="F60" s="22">
        <v>84.744386509830548</v>
      </c>
      <c r="G60" s="22">
        <v>78.954511866888396</v>
      </c>
      <c r="H60" s="22">
        <v>69.365562309961433</v>
      </c>
      <c r="I60" s="22">
        <v>64.100265679912184</v>
      </c>
      <c r="J60" s="22">
        <v>69.031055347597743</v>
      </c>
      <c r="K60" s="22">
        <v>73.961845015283288</v>
      </c>
      <c r="M60" s="4" t="str">
        <f>'Library data'!$G$77</f>
        <v>%</v>
      </c>
    </row>
    <row r="61" spans="1:13" s="4" customFormat="1" x14ac:dyDescent="0.25">
      <c r="A61" s="4" t="str">
        <v>EE CH4</v>
      </c>
      <c r="B61" s="22">
        <v>104.37838286049357</v>
      </c>
      <c r="C61" s="22">
        <v>108.81536158094021</v>
      </c>
      <c r="D61" s="22">
        <v>116.18478739662596</v>
      </c>
      <c r="E61" s="22">
        <v>106.8371140791775</v>
      </c>
      <c r="F61" s="22">
        <v>97.323436486166088</v>
      </c>
      <c r="G61" s="22">
        <v>88.724902834302071</v>
      </c>
      <c r="H61" s="22">
        <v>75.992969370322371</v>
      </c>
      <c r="I61" s="22">
        <v>68.44732642927228</v>
      </c>
      <c r="J61" s="22">
        <v>73.712505385370164</v>
      </c>
      <c r="K61" s="22">
        <v>78.97768434146802</v>
      </c>
      <c r="M61" s="4" t="str">
        <f>'Library data'!$G$77</f>
        <v>%</v>
      </c>
    </row>
    <row r="62" spans="1:13" s="4" customFormat="1" x14ac:dyDescent="0.25">
      <c r="A62" s="4" t="str">
        <v>CA CH4</v>
      </c>
      <c r="B62" s="22">
        <v>102.22229405970037</v>
      </c>
      <c r="C62" s="22">
        <v>104.46754614793574</v>
      </c>
      <c r="D62" s="22">
        <v>124.17404991024887</v>
      </c>
      <c r="E62" s="22">
        <v>139.71859591994328</v>
      </c>
      <c r="F62" s="22">
        <v>155.49757742783885</v>
      </c>
      <c r="G62" s="22">
        <v>146.5262091118172</v>
      </c>
      <c r="H62" s="22">
        <v>113.20554633558262</v>
      </c>
      <c r="I62" s="22">
        <v>90.204940350638012</v>
      </c>
      <c r="J62" s="22">
        <v>97.143781916071717</v>
      </c>
      <c r="K62" s="22">
        <v>104.08262348150541</v>
      </c>
      <c r="M62" s="4" t="str">
        <f>'Library data'!$G$77</f>
        <v>%</v>
      </c>
    </row>
    <row r="63" spans="1:13" s="4" customFormat="1" x14ac:dyDescent="0.25">
      <c r="A63" s="4" t="str">
        <v>IA CH4</v>
      </c>
      <c r="B63" s="22">
        <v>102.22229405970037</v>
      </c>
      <c r="C63" s="22">
        <v>104.46754614793574</v>
      </c>
      <c r="D63" s="22">
        <v>124.17404991024887</v>
      </c>
      <c r="E63" s="22">
        <v>139.71859591994328</v>
      </c>
      <c r="F63" s="22">
        <v>155.49757742783885</v>
      </c>
      <c r="G63" s="22">
        <v>146.5262091118172</v>
      </c>
      <c r="H63" s="22">
        <v>113.20554633558262</v>
      </c>
      <c r="I63" s="22">
        <v>90.204940350638012</v>
      </c>
      <c r="J63" s="22">
        <v>97.143781916071717</v>
      </c>
      <c r="K63" s="22">
        <v>104.08262348150541</v>
      </c>
      <c r="M63" s="4" t="str">
        <f>'Library data'!$G$77</f>
        <v>%</v>
      </c>
    </row>
    <row r="64" spans="1:13" s="4" customFormat="1" x14ac:dyDescent="0.25">
      <c r="A64" s="4" t="str">
        <v>AF CH4</v>
      </c>
      <c r="B64" s="22">
        <v>102.30443186833253</v>
      </c>
      <c r="C64" s="22">
        <v>104.6331794149295</v>
      </c>
      <c r="D64" s="22">
        <v>127.40769376647137</v>
      </c>
      <c r="E64" s="22">
        <v>138.72396452809139</v>
      </c>
      <c r="F64" s="22">
        <v>150.20604877121053</v>
      </c>
      <c r="G64" s="22">
        <v>150.28970232534519</v>
      </c>
      <c r="H64" s="22">
        <v>137.19473229179786</v>
      </c>
      <c r="I64" s="22">
        <v>107.09396599810681</v>
      </c>
      <c r="J64" s="22">
        <v>115.33196338257657</v>
      </c>
      <c r="K64" s="22">
        <v>123.56996076704633</v>
      </c>
      <c r="M64" s="4" t="str">
        <f>'Library data'!$G$77</f>
        <v>%</v>
      </c>
    </row>
    <row r="65" spans="1:13" s="4" customFormat="1" ht="13" thickBot="1" x14ac:dyDescent="0.3">
      <c r="A65" s="4" t="str">
        <v>LA CH4</v>
      </c>
      <c r="B65" s="24">
        <v>102.30443186833253</v>
      </c>
      <c r="C65" s="24">
        <v>104.6331794149295</v>
      </c>
      <c r="D65" s="24">
        <v>127.40769376647137</v>
      </c>
      <c r="E65" s="24">
        <v>138.72396452809139</v>
      </c>
      <c r="F65" s="24">
        <v>150.20604877121053</v>
      </c>
      <c r="G65" s="24">
        <v>150.28970232534519</v>
      </c>
      <c r="H65" s="24">
        <v>137.19473229179786</v>
      </c>
      <c r="I65" s="24">
        <v>107.09396599810681</v>
      </c>
      <c r="J65" s="24">
        <v>115.33196338257657</v>
      </c>
      <c r="K65" s="24">
        <v>123.56996076704633</v>
      </c>
      <c r="M65" s="4" t="str">
        <f>'Library data'!$G$77</f>
        <v>%</v>
      </c>
    </row>
    <row r="66" spans="1:13" s="5" customFormat="1" ht="15.5" thickTop="1" x14ac:dyDescent="0.4">
      <c r="A66" s="5" t="s">
        <v>132</v>
      </c>
      <c r="B66" s="5" t="s">
        <v>161</v>
      </c>
    </row>
    <row r="67" spans="1:13" s="4" customFormat="1" x14ac:dyDescent="0.25">
      <c r="A67" s="4" t="str">
        <f t="array" ref="A67:A74">R_CODE&amp;" "&amp;'Base data'!$D$11</f>
        <v>EU N2O</v>
      </c>
      <c r="B67" s="20">
        <f t="array" ref="B67:K74">(1+(EMIT_N2O/100)*(YMINUSY0/YMINUSY0_LAST))*BAU_N2O</f>
        <v>99.833509194992871</v>
      </c>
      <c r="C67" s="20">
        <v>99.667018389985728</v>
      </c>
      <c r="D67" s="20">
        <v>102.76504498212294</v>
      </c>
      <c r="E67" s="20">
        <v>100.69239064879683</v>
      </c>
      <c r="F67" s="20">
        <v>98.619736315470718</v>
      </c>
      <c r="G67" s="20">
        <v>96.290523882116133</v>
      </c>
      <c r="H67" s="20">
        <v>90.435125847484542</v>
      </c>
      <c r="I67" s="20">
        <v>85.774869065301957</v>
      </c>
      <c r="J67" s="20">
        <v>85.774869065301957</v>
      </c>
      <c r="K67" s="20">
        <v>85.774869065301957</v>
      </c>
      <c r="M67" s="4" t="str">
        <f>'Library data'!$G$77</f>
        <v>%</v>
      </c>
    </row>
    <row r="68" spans="1:13" s="4" customFormat="1" x14ac:dyDescent="0.25">
      <c r="A68" s="4" t="str">
        <v>US N2O</v>
      </c>
      <c r="B68" s="22">
        <v>99.833509194992871</v>
      </c>
      <c r="C68" s="22">
        <v>99.667018389985728</v>
      </c>
      <c r="D68" s="22">
        <v>102.76504498212294</v>
      </c>
      <c r="E68" s="22">
        <v>100.69239064879683</v>
      </c>
      <c r="F68" s="22">
        <v>98.619736315470718</v>
      </c>
      <c r="G68" s="22">
        <v>96.290523882116133</v>
      </c>
      <c r="H68" s="22">
        <v>90.435125847484542</v>
      </c>
      <c r="I68" s="22">
        <v>85.774869065301957</v>
      </c>
      <c r="J68" s="22">
        <v>85.774869065301957</v>
      </c>
      <c r="K68" s="22">
        <v>85.774869065301957</v>
      </c>
      <c r="M68" s="4" t="str">
        <f>'Library data'!$G$77</f>
        <v>%</v>
      </c>
    </row>
    <row r="69" spans="1:13" s="4" customFormat="1" x14ac:dyDescent="0.25">
      <c r="A69" s="4" t="str">
        <v>OT N2O</v>
      </c>
      <c r="B69" s="22">
        <v>99.833509194992871</v>
      </c>
      <c r="C69" s="22">
        <v>99.667018389985728</v>
      </c>
      <c r="D69" s="22">
        <v>102.76504498212294</v>
      </c>
      <c r="E69" s="22">
        <v>100.69239064879683</v>
      </c>
      <c r="F69" s="22">
        <v>98.619736315470718</v>
      </c>
      <c r="G69" s="22">
        <v>96.290523882116133</v>
      </c>
      <c r="H69" s="22">
        <v>90.435125847484542</v>
      </c>
      <c r="I69" s="22">
        <v>85.774869065301957</v>
      </c>
      <c r="J69" s="22">
        <v>85.774869065301957</v>
      </c>
      <c r="K69" s="22">
        <v>85.774869065301957</v>
      </c>
      <c r="M69" s="4" t="str">
        <f>'Library data'!$G$77</f>
        <v>%</v>
      </c>
    </row>
    <row r="70" spans="1:13" s="4" customFormat="1" x14ac:dyDescent="0.25">
      <c r="A70" s="4" t="str">
        <v>EE N2O</v>
      </c>
      <c r="B70" s="22">
        <v>100.191208470253</v>
      </c>
      <c r="C70" s="22">
        <v>100.38241694050602</v>
      </c>
      <c r="D70" s="22">
        <v>102.98338758736169</v>
      </c>
      <c r="E70" s="22">
        <v>102.78428091863782</v>
      </c>
      <c r="F70" s="22">
        <v>102.58517424991393</v>
      </c>
      <c r="G70" s="22">
        <v>99.686560807057987</v>
      </c>
      <c r="H70" s="22">
        <v>92.836335382981318</v>
      </c>
      <c r="I70" s="22">
        <v>89.452452419291191</v>
      </c>
      <c r="J70" s="22">
        <v>89.452452419291191</v>
      </c>
      <c r="K70" s="22">
        <v>89.452452419291191</v>
      </c>
      <c r="M70" s="4" t="str">
        <f>'Library data'!$G$77</f>
        <v>%</v>
      </c>
    </row>
    <row r="71" spans="1:13" s="4" customFormat="1" x14ac:dyDescent="0.25">
      <c r="A71" s="4" t="str">
        <v>CA N2O</v>
      </c>
      <c r="B71" s="22">
        <v>100.28713025991391</v>
      </c>
      <c r="C71" s="22">
        <v>100.5742605198278</v>
      </c>
      <c r="D71" s="22">
        <v>101.6249235885288</v>
      </c>
      <c r="E71" s="22">
        <v>106.08144944182257</v>
      </c>
      <c r="F71" s="22">
        <v>110.53797529511633</v>
      </c>
      <c r="G71" s="22">
        <v>111.05204261502043</v>
      </c>
      <c r="H71" s="22">
        <v>110.39658695559311</v>
      </c>
      <c r="I71" s="22">
        <v>110.47441305822622</v>
      </c>
      <c r="J71" s="22">
        <v>110.47441305822622</v>
      </c>
      <c r="K71" s="22">
        <v>110.47441305822622</v>
      </c>
      <c r="M71" s="4" t="str">
        <f>'Library data'!$G$77</f>
        <v>%</v>
      </c>
    </row>
    <row r="72" spans="1:13" s="4" customFormat="1" x14ac:dyDescent="0.25">
      <c r="A72" s="4" t="str">
        <v>IA N2O</v>
      </c>
      <c r="B72" s="22">
        <v>100.28713025991391</v>
      </c>
      <c r="C72" s="22">
        <v>100.5742605198278</v>
      </c>
      <c r="D72" s="22">
        <v>101.6249235885288</v>
      </c>
      <c r="E72" s="22">
        <v>106.08144944182257</v>
      </c>
      <c r="F72" s="22">
        <v>110.53797529511633</v>
      </c>
      <c r="G72" s="22">
        <v>111.05204261502043</v>
      </c>
      <c r="H72" s="22">
        <v>110.39658695559311</v>
      </c>
      <c r="I72" s="22">
        <v>110.47441305822622</v>
      </c>
      <c r="J72" s="22">
        <v>110.47441305822622</v>
      </c>
      <c r="K72" s="22">
        <v>110.47441305822622</v>
      </c>
      <c r="M72" s="4" t="str">
        <f>'Library data'!$G$77</f>
        <v>%</v>
      </c>
    </row>
    <row r="73" spans="1:13" s="4" customFormat="1" x14ac:dyDescent="0.25">
      <c r="A73" s="4" t="str">
        <v>AF N2O</v>
      </c>
      <c r="B73" s="22">
        <v>99.864866006912308</v>
      </c>
      <c r="C73" s="22">
        <v>99.729732013824616</v>
      </c>
      <c r="D73" s="22">
        <v>100.45374398066953</v>
      </c>
      <c r="E73" s="22">
        <v>103.70510067976102</v>
      </c>
      <c r="F73" s="22">
        <v>106.95645737885252</v>
      </c>
      <c r="G73" s="22">
        <v>108.9032967269227</v>
      </c>
      <c r="H73" s="22">
        <v>110.88057053055684</v>
      </c>
      <c r="I73" s="22">
        <v>111.76981889816032</v>
      </c>
      <c r="J73" s="22">
        <v>111.76981889816032</v>
      </c>
      <c r="K73" s="22">
        <v>111.76981889816032</v>
      </c>
      <c r="M73" s="4" t="str">
        <f>'Library data'!$G$77</f>
        <v>%</v>
      </c>
    </row>
    <row r="74" spans="1:13" s="4" customFormat="1" ht="13" thickBot="1" x14ac:dyDescent="0.3">
      <c r="A74" s="4" t="str">
        <v>LA N2O</v>
      </c>
      <c r="B74" s="24">
        <v>99.864866006912308</v>
      </c>
      <c r="C74" s="24">
        <v>99.729732013824616</v>
      </c>
      <c r="D74" s="24">
        <v>100.45374398066953</v>
      </c>
      <c r="E74" s="24">
        <v>103.70510067976102</v>
      </c>
      <c r="F74" s="24">
        <v>106.95645737885252</v>
      </c>
      <c r="G74" s="24">
        <v>108.9032967269227</v>
      </c>
      <c r="H74" s="24">
        <v>110.88057053055684</v>
      </c>
      <c r="I74" s="24">
        <v>111.76981889816032</v>
      </c>
      <c r="J74" s="24">
        <v>111.76981889816032</v>
      </c>
      <c r="K74" s="24">
        <v>111.76981889816032</v>
      </c>
      <c r="M74" s="4" t="str">
        <f>'Library data'!$G$77</f>
        <v>%</v>
      </c>
    </row>
    <row r="75" spans="1:13" s="5" customFormat="1" ht="15.5" thickTop="1" x14ac:dyDescent="0.4">
      <c r="A75" s="5" t="s">
        <v>132</v>
      </c>
      <c r="B75" s="5" t="s">
        <v>318</v>
      </c>
    </row>
    <row r="76" spans="1:13" s="4" customFormat="1" x14ac:dyDescent="0.25">
      <c r="A76" s="4" t="str">
        <f t="array" ref="A76:A83">R_CODE&amp;" "&amp;GLIN_NAME</f>
        <v>EU Lin</v>
      </c>
      <c r="B76" s="20">
        <f t="array" ref="B76:K83">(1+(EMIT_GLIN/100)*(YMINUSY0/YMINUSY0_LAST))*BAU_GLIN</f>
        <v>103.34352169441709</v>
      </c>
      <c r="C76" s="20">
        <v>106.68704338883418</v>
      </c>
      <c r="D76" s="20">
        <v>96.875896168722903</v>
      </c>
      <c r="E76" s="20">
        <v>100.85034234321378</v>
      </c>
      <c r="F76" s="20">
        <v>104.82478851770465</v>
      </c>
      <c r="G76" s="20">
        <v>108.75556191500952</v>
      </c>
      <c r="H76" s="20">
        <v>117.47684926713201</v>
      </c>
      <c r="I76" s="20">
        <v>126.29835263284434</v>
      </c>
      <c r="J76" s="20">
        <v>126.29835263284434</v>
      </c>
      <c r="K76" s="20">
        <v>126.29835263284434</v>
      </c>
      <c r="M76" s="4" t="str">
        <f>'Library data'!$G$77</f>
        <v>%</v>
      </c>
    </row>
    <row r="77" spans="1:13" s="4" customFormat="1" x14ac:dyDescent="0.25">
      <c r="A77" s="4" t="str">
        <v>US Lin</v>
      </c>
      <c r="B77" s="22">
        <v>103.34352169441709</v>
      </c>
      <c r="C77" s="22">
        <v>106.68704338883418</v>
      </c>
      <c r="D77" s="22">
        <v>96.875896168722903</v>
      </c>
      <c r="E77" s="22">
        <v>100.85034234321378</v>
      </c>
      <c r="F77" s="22">
        <v>104.82478851770465</v>
      </c>
      <c r="G77" s="22">
        <v>108.75556191500952</v>
      </c>
      <c r="H77" s="22">
        <v>117.47684926713201</v>
      </c>
      <c r="I77" s="22">
        <v>126.29835263284434</v>
      </c>
      <c r="J77" s="22">
        <v>126.29835263284434</v>
      </c>
      <c r="K77" s="22">
        <v>126.29835263284434</v>
      </c>
      <c r="M77" s="4" t="str">
        <f>'Library data'!$G$77</f>
        <v>%</v>
      </c>
    </row>
    <row r="78" spans="1:13" s="4" customFormat="1" x14ac:dyDescent="0.25">
      <c r="A78" s="4" t="str">
        <v>OT Lin</v>
      </c>
      <c r="B78" s="22">
        <v>103.34352169441709</v>
      </c>
      <c r="C78" s="22">
        <v>106.68704338883418</v>
      </c>
      <c r="D78" s="22">
        <v>96.875896168722903</v>
      </c>
      <c r="E78" s="22">
        <v>100.85034234321378</v>
      </c>
      <c r="F78" s="22">
        <v>104.82478851770465</v>
      </c>
      <c r="G78" s="22">
        <v>108.75556191500952</v>
      </c>
      <c r="H78" s="22">
        <v>117.47684926713201</v>
      </c>
      <c r="I78" s="22">
        <v>126.29835263284434</v>
      </c>
      <c r="J78" s="22">
        <v>126.29835263284434</v>
      </c>
      <c r="K78" s="22">
        <v>126.29835263284434</v>
      </c>
      <c r="M78" s="4" t="str">
        <f>'Library data'!$G$77</f>
        <v>%</v>
      </c>
    </row>
    <row r="79" spans="1:13" s="4" customFormat="1" x14ac:dyDescent="0.25">
      <c r="A79" s="4" t="str">
        <v>EE Lin</v>
      </c>
      <c r="B79" s="22">
        <v>103.6765487994021</v>
      </c>
      <c r="C79" s="22">
        <v>107.3530975988042</v>
      </c>
      <c r="D79" s="22">
        <v>184.17706299250798</v>
      </c>
      <c r="E79" s="22">
        <v>266.46567829543955</v>
      </c>
      <c r="F79" s="22">
        <v>348.75429359837113</v>
      </c>
      <c r="G79" s="22">
        <v>361.20122188912922</v>
      </c>
      <c r="H79" s="22">
        <v>368.18074777942832</v>
      </c>
      <c r="I79" s="22">
        <v>334.18264302438598</v>
      </c>
      <c r="J79" s="22">
        <v>334.18264302438598</v>
      </c>
      <c r="K79" s="22">
        <v>334.18264302438598</v>
      </c>
      <c r="M79" s="4" t="str">
        <f>'Library data'!$G$77</f>
        <v>%</v>
      </c>
    </row>
    <row r="80" spans="1:13" s="4" customFormat="1" x14ac:dyDescent="0.25">
      <c r="A80" s="4" t="str">
        <v>CA Lin</v>
      </c>
      <c r="B80" s="22">
        <v>106.35467939271511</v>
      </c>
      <c r="C80" s="22">
        <v>112.70935878543023</v>
      </c>
      <c r="D80" s="22">
        <v>234.43739996280388</v>
      </c>
      <c r="E80" s="22">
        <v>451.9110124172696</v>
      </c>
      <c r="F80" s="22">
        <v>669.38462487173535</v>
      </c>
      <c r="G80" s="22">
        <v>909.99452298125948</v>
      </c>
      <c r="H80" s="22">
        <v>1108.0138156849926</v>
      </c>
      <c r="I80" s="22">
        <v>1029.2620872302932</v>
      </c>
      <c r="J80" s="22">
        <v>1029.2620872302932</v>
      </c>
      <c r="K80" s="22">
        <v>1029.2620872302932</v>
      </c>
      <c r="M80" s="4" t="str">
        <f>'Library data'!$G$77</f>
        <v>%</v>
      </c>
    </row>
    <row r="81" spans="1:13" s="4" customFormat="1" x14ac:dyDescent="0.25">
      <c r="A81" s="4" t="str">
        <v>IA Lin</v>
      </c>
      <c r="B81" s="22">
        <v>106.35467939271511</v>
      </c>
      <c r="C81" s="22">
        <v>112.70935878543023</v>
      </c>
      <c r="D81" s="22">
        <v>234.43739996280388</v>
      </c>
      <c r="E81" s="22">
        <v>451.9110124172696</v>
      </c>
      <c r="F81" s="22">
        <v>669.38462487173535</v>
      </c>
      <c r="G81" s="22">
        <v>909.99452298125948</v>
      </c>
      <c r="H81" s="22">
        <v>1108.0138156849926</v>
      </c>
      <c r="I81" s="22">
        <v>1029.2620872302932</v>
      </c>
      <c r="J81" s="22">
        <v>1029.2620872302932</v>
      </c>
      <c r="K81" s="22">
        <v>1029.2620872302932</v>
      </c>
      <c r="M81" s="4" t="str">
        <f>'Library data'!$G$77</f>
        <v>%</v>
      </c>
    </row>
    <row r="82" spans="1:13" s="4" customFormat="1" x14ac:dyDescent="0.25">
      <c r="A82" s="4" t="str">
        <v>AF Lin</v>
      </c>
      <c r="B82" s="22">
        <v>107.61971843407929</v>
      </c>
      <c r="C82" s="22">
        <v>115.23943686815859</v>
      </c>
      <c r="D82" s="22">
        <v>236.19594623922265</v>
      </c>
      <c r="E82" s="22">
        <v>478.85717300527426</v>
      </c>
      <c r="F82" s="22">
        <v>721.5183997713259</v>
      </c>
      <c r="G82" s="22">
        <v>877.77616411943734</v>
      </c>
      <c r="H82" s="22">
        <v>1006.929628071476</v>
      </c>
      <c r="I82" s="22">
        <v>952.49948602985285</v>
      </c>
      <c r="J82" s="22">
        <v>952.49948602985285</v>
      </c>
      <c r="K82" s="22">
        <v>952.49948602985285</v>
      </c>
      <c r="M82" s="4" t="str">
        <f>'Library data'!$G$77</f>
        <v>%</v>
      </c>
    </row>
    <row r="83" spans="1:13" s="4" customFormat="1" ht="13" thickBot="1" x14ac:dyDescent="0.3">
      <c r="A83" s="4" t="str">
        <v>LA Lin</v>
      </c>
      <c r="B83" s="24">
        <v>107.61971843407929</v>
      </c>
      <c r="C83" s="24">
        <v>115.23943686815859</v>
      </c>
      <c r="D83" s="24">
        <v>236.19594623922265</v>
      </c>
      <c r="E83" s="24">
        <v>478.85717300527426</v>
      </c>
      <c r="F83" s="24">
        <v>721.5183997713259</v>
      </c>
      <c r="G83" s="24">
        <v>877.77616411943734</v>
      </c>
      <c r="H83" s="24">
        <v>1006.929628071476</v>
      </c>
      <c r="I83" s="24">
        <v>952.49948602985285</v>
      </c>
      <c r="J83" s="24">
        <v>952.49948602985285</v>
      </c>
      <c r="K83" s="24">
        <v>952.49948602985285</v>
      </c>
      <c r="M83" s="4" t="str">
        <f>'Library data'!$G$77</f>
        <v>%</v>
      </c>
    </row>
    <row r="84" spans="1:13" s="2" customFormat="1" ht="15.5" thickTop="1" x14ac:dyDescent="0.4">
      <c r="A84" s="2" t="s">
        <v>135</v>
      </c>
      <c r="B84" s="2" t="s">
        <v>136</v>
      </c>
    </row>
    <row r="85" spans="1:13" s="6" customFormat="1" x14ac:dyDescent="0.25">
      <c r="A85" s="4" t="str">
        <f t="array" ref="A85:A92">R_CODE&amp;" "&amp;'Base data'!$B$11</f>
        <v>EU CO2</v>
      </c>
      <c r="B85" s="39">
        <f t="array" ref="B85:B92">IF(ZC_CO2_1&lt;er_co2_1_a,0,ZC_CO2_1-er_co2_1_a)</f>
        <v>0</v>
      </c>
      <c r="C85" s="39">
        <f t="array" ref="C85:K92">IF(ZC_CO2_NOT_1-er_co2_not_1_a&lt;0,0,ZC_CO2_NOT_1-er_co2_not_1_a)</f>
        <v>6.8910777992496008</v>
      </c>
      <c r="D85" s="39">
        <v>26.801271493377669</v>
      </c>
      <c r="E85" s="39">
        <v>44.859442949161568</v>
      </c>
      <c r="F85" s="39">
        <v>64.57913825733587</v>
      </c>
      <c r="G85" s="39">
        <v>68.710368773742118</v>
      </c>
      <c r="H85" s="39">
        <v>66.727902510978609</v>
      </c>
      <c r="I85" s="39">
        <v>54.225688799921315</v>
      </c>
      <c r="J85" s="39">
        <v>54.400752622693233</v>
      </c>
      <c r="K85" s="39">
        <v>64.563293294849231</v>
      </c>
      <c r="M85" s="4" t="str">
        <f>'Library data'!$G$77</f>
        <v>%</v>
      </c>
    </row>
    <row r="86" spans="1:13" s="6" customFormat="1" x14ac:dyDescent="0.25">
      <c r="A86" s="4" t="str">
        <v>US CO2</v>
      </c>
      <c r="B86" s="35">
        <v>7.7411036137515623</v>
      </c>
      <c r="C86" s="35">
        <v>28.376881739614973</v>
      </c>
      <c r="D86" s="35">
        <v>42.12860525595363</v>
      </c>
      <c r="E86" s="35">
        <v>56.363957222420574</v>
      </c>
      <c r="F86" s="35">
        <v>71.015434954376872</v>
      </c>
      <c r="G86" s="35">
        <v>72.753081125337332</v>
      </c>
      <c r="H86" s="35">
        <v>69.052549746296748</v>
      </c>
      <c r="I86" s="35">
        <v>50.151611970684399</v>
      </c>
      <c r="J86" s="35">
        <v>57.189546491065713</v>
      </c>
      <c r="K86" s="35">
        <v>66.021020101973448</v>
      </c>
      <c r="M86" s="4" t="str">
        <f>'Library data'!$G$77</f>
        <v>%</v>
      </c>
    </row>
    <row r="87" spans="1:13" s="6" customFormat="1" x14ac:dyDescent="0.25">
      <c r="A87" s="4" t="str">
        <v>OT CO2</v>
      </c>
      <c r="B87" s="35">
        <v>0</v>
      </c>
      <c r="C87" s="35">
        <v>0</v>
      </c>
      <c r="D87" s="35">
        <v>0</v>
      </c>
      <c r="E87" s="35">
        <v>0</v>
      </c>
      <c r="F87" s="35">
        <v>0</v>
      </c>
      <c r="G87" s="35">
        <v>9.3669879406446626</v>
      </c>
      <c r="H87" s="35">
        <v>23.952276633284882</v>
      </c>
      <c r="I87" s="35">
        <v>14.721863704377846</v>
      </c>
      <c r="J87" s="35">
        <v>0</v>
      </c>
      <c r="K87" s="35">
        <v>30.890247619290228</v>
      </c>
      <c r="M87" s="4" t="str">
        <f>'Library data'!$G$77</f>
        <v>%</v>
      </c>
    </row>
    <row r="88" spans="1:13" s="6" customFormat="1" x14ac:dyDescent="0.25">
      <c r="A88" s="4" t="str">
        <v>EE CO2</v>
      </c>
      <c r="B88" s="35">
        <v>0</v>
      </c>
      <c r="C88" s="35">
        <v>0</v>
      </c>
      <c r="D88" s="35">
        <v>0</v>
      </c>
      <c r="E88" s="35">
        <v>0</v>
      </c>
      <c r="F88" s="35">
        <v>0</v>
      </c>
      <c r="G88" s="35">
        <v>1.9097432762102073</v>
      </c>
      <c r="H88" s="35">
        <v>16.279082980079096</v>
      </c>
      <c r="I88" s="35">
        <v>10.015258412291566</v>
      </c>
      <c r="J88" s="35">
        <v>0</v>
      </c>
      <c r="K88" s="35">
        <v>25.929231230344328</v>
      </c>
      <c r="M88" s="4" t="str">
        <f>'Library data'!$G$77</f>
        <v>%</v>
      </c>
    </row>
    <row r="89" spans="1:13" s="6" customFormat="1" x14ac:dyDescent="0.25">
      <c r="A89" s="4" t="str">
        <v>CA CO2</v>
      </c>
      <c r="B89" s="35">
        <v>0</v>
      </c>
      <c r="C89" s="35">
        <v>0</v>
      </c>
      <c r="D89" s="35">
        <v>0</v>
      </c>
      <c r="E89" s="35">
        <v>19.543354984396615</v>
      </c>
      <c r="F89" s="35">
        <v>82.937316892455542</v>
      </c>
      <c r="G89" s="35">
        <v>109.7025421563213</v>
      </c>
      <c r="H89" s="35">
        <v>144.75448096217144</v>
      </c>
      <c r="I89" s="35">
        <v>131.51646462393771</v>
      </c>
      <c r="J89" s="35">
        <v>109.931674615349</v>
      </c>
      <c r="K89" s="35">
        <v>153.99807020993194</v>
      </c>
      <c r="M89" s="4" t="str">
        <f>'Library data'!$G$77</f>
        <v>%</v>
      </c>
    </row>
    <row r="90" spans="1:13" s="6" customFormat="1" x14ac:dyDescent="0.25">
      <c r="A90" s="4" t="str">
        <v>IA CO2</v>
      </c>
      <c r="B90" s="35">
        <v>0</v>
      </c>
      <c r="C90" s="35">
        <v>0</v>
      </c>
      <c r="D90" s="35">
        <v>0</v>
      </c>
      <c r="E90" s="35">
        <v>19.543354984396615</v>
      </c>
      <c r="F90" s="35">
        <v>82.937316892455513</v>
      </c>
      <c r="G90" s="35">
        <v>109.70254215632141</v>
      </c>
      <c r="H90" s="35">
        <v>144.7544809621715</v>
      </c>
      <c r="I90" s="35">
        <v>131.51646462393771</v>
      </c>
      <c r="J90" s="35">
        <v>109.931674615349</v>
      </c>
      <c r="K90" s="35">
        <v>153.99807020993191</v>
      </c>
      <c r="M90" s="4" t="str">
        <f>'Library data'!$G$77</f>
        <v>%</v>
      </c>
    </row>
    <row r="91" spans="1:13" s="6" customFormat="1" x14ac:dyDescent="0.25">
      <c r="A91" s="4" t="str">
        <v>AF CO2</v>
      </c>
      <c r="B91" s="35">
        <v>0</v>
      </c>
      <c r="C91" s="35">
        <v>0</v>
      </c>
      <c r="D91" s="35">
        <v>0</v>
      </c>
      <c r="E91" s="35">
        <v>22.786378051794202</v>
      </c>
      <c r="F91" s="35">
        <v>87.383510931404615</v>
      </c>
      <c r="G91" s="35">
        <v>121.63967681055287</v>
      </c>
      <c r="H91" s="35">
        <v>157.6643271883263</v>
      </c>
      <c r="I91" s="35">
        <v>133.3463435910169</v>
      </c>
      <c r="J91" s="35">
        <v>111.81100977072572</v>
      </c>
      <c r="K91" s="35">
        <v>155.92686155360616</v>
      </c>
      <c r="M91" s="4" t="str">
        <f>'Library data'!$G$77</f>
        <v>%</v>
      </c>
    </row>
    <row r="92" spans="1:13" s="6" customFormat="1" ht="13" thickBot="1" x14ac:dyDescent="0.3">
      <c r="A92" s="4" t="str">
        <v>LA CO2</v>
      </c>
      <c r="B92" s="49">
        <v>0</v>
      </c>
      <c r="C92" s="49">
        <v>0</v>
      </c>
      <c r="D92" s="49">
        <v>0</v>
      </c>
      <c r="E92" s="49">
        <v>22.786378051794173</v>
      </c>
      <c r="F92" s="49">
        <v>87.383510931404615</v>
      </c>
      <c r="G92" s="49">
        <v>121.63967681055286</v>
      </c>
      <c r="H92" s="49">
        <v>157.6643271883263</v>
      </c>
      <c r="I92" s="49">
        <v>133.3463435910169</v>
      </c>
      <c r="J92" s="49">
        <v>111.8110097707257</v>
      </c>
      <c r="K92" s="49">
        <v>155.92686155360613</v>
      </c>
      <c r="M92" s="4" t="str">
        <f>'Library data'!$G$77</f>
        <v>%</v>
      </c>
    </row>
    <row r="93" spans="1:13" s="8" customFormat="1" ht="15.5" thickTop="1" x14ac:dyDescent="0.4">
      <c r="A93" s="8" t="s">
        <v>135</v>
      </c>
      <c r="B93" s="8" t="s">
        <v>137</v>
      </c>
    </row>
    <row r="94" spans="1:13" s="7" customFormat="1" x14ac:dyDescent="0.25">
      <c r="A94" s="4" t="str">
        <f t="array" ref="A94:A101">R_CODE&amp;" "&amp;'Base data'!$C$11</f>
        <v>EU CH4</v>
      </c>
      <c r="B94" s="39">
        <f t="array" ref="B94:B101">IF(ZC_CH4_1&lt;er_ch4_1_a,0,ZC_CH4_1-er_ch4_1_a)</f>
        <v>100.49883203454119</v>
      </c>
      <c r="C94" s="39">
        <f t="array" ref="C94:K101">IF(ZC_CH4_NOT_1-er_ch4_not_1_a&lt;0,0,ZC_CH4_NOT_1-er_ch4_not_1_a)</f>
        <v>100.99213512199492</v>
      </c>
      <c r="D94" s="39">
        <v>98.644676813831367</v>
      </c>
      <c r="E94" s="39">
        <v>91.75654873698609</v>
      </c>
      <c r="F94" s="39">
        <v>84.744386509830548</v>
      </c>
      <c r="G94" s="39">
        <v>78.954511866888396</v>
      </c>
      <c r="H94" s="39">
        <v>69.365562309961433</v>
      </c>
      <c r="I94" s="39">
        <v>64.100265679912184</v>
      </c>
      <c r="J94" s="39">
        <v>69.031055347597743</v>
      </c>
      <c r="K94" s="39">
        <v>73.961845015283288</v>
      </c>
      <c r="M94" s="4" t="str">
        <f>'Library data'!$G$77</f>
        <v>%</v>
      </c>
    </row>
    <row r="95" spans="1:13" s="7" customFormat="1" x14ac:dyDescent="0.25">
      <c r="A95" s="4" t="str">
        <v>US CH4</v>
      </c>
      <c r="B95" s="35">
        <v>100.49883203454119</v>
      </c>
      <c r="C95" s="35">
        <v>100.99213512199492</v>
      </c>
      <c r="D95" s="35">
        <v>98.644676813831367</v>
      </c>
      <c r="E95" s="35">
        <v>91.75654873698609</v>
      </c>
      <c r="F95" s="35">
        <v>84.744386509830548</v>
      </c>
      <c r="G95" s="35">
        <v>78.954511866888396</v>
      </c>
      <c r="H95" s="35">
        <v>69.365562309961433</v>
      </c>
      <c r="I95" s="35">
        <v>64.100265679912184</v>
      </c>
      <c r="J95" s="35">
        <v>69.031055347597743</v>
      </c>
      <c r="K95" s="35">
        <v>73.961845015283288</v>
      </c>
      <c r="M95" s="4" t="str">
        <f>'Library data'!$G$77</f>
        <v>%</v>
      </c>
    </row>
    <row r="96" spans="1:13" s="7" customFormat="1" x14ac:dyDescent="0.25">
      <c r="A96" s="4" t="str">
        <v>OT CH4</v>
      </c>
      <c r="B96" s="35">
        <v>100.49883203454119</v>
      </c>
      <c r="C96" s="35">
        <v>100.99213512199492</v>
      </c>
      <c r="D96" s="35">
        <v>98.644676813831367</v>
      </c>
      <c r="E96" s="35">
        <v>91.75654873698609</v>
      </c>
      <c r="F96" s="35">
        <v>84.744386509830548</v>
      </c>
      <c r="G96" s="35">
        <v>78.954511866888396</v>
      </c>
      <c r="H96" s="35">
        <v>69.365562309961433</v>
      </c>
      <c r="I96" s="35">
        <v>64.100265679912184</v>
      </c>
      <c r="J96" s="35">
        <v>69.031055347597743</v>
      </c>
      <c r="K96" s="35">
        <v>73.961845015283288</v>
      </c>
      <c r="M96" s="4" t="str">
        <f>'Library data'!$G$77</f>
        <v>%</v>
      </c>
    </row>
    <row r="97" spans="1:13" s="7" customFormat="1" x14ac:dyDescent="0.25">
      <c r="A97" s="4" t="str">
        <v>EE CH4</v>
      </c>
      <c r="B97" s="35">
        <v>104.37838286049357</v>
      </c>
      <c r="C97" s="35">
        <v>108.81536158094021</v>
      </c>
      <c r="D97" s="35">
        <v>116.18478739662596</v>
      </c>
      <c r="E97" s="35">
        <v>106.8371140791775</v>
      </c>
      <c r="F97" s="35">
        <v>97.323436486166088</v>
      </c>
      <c r="G97" s="35">
        <v>88.724902834302071</v>
      </c>
      <c r="H97" s="35">
        <v>75.992969370322371</v>
      </c>
      <c r="I97" s="35">
        <v>68.44732642927228</v>
      </c>
      <c r="J97" s="35">
        <v>73.712505385370164</v>
      </c>
      <c r="K97" s="35">
        <v>78.97768434146802</v>
      </c>
      <c r="M97" s="4" t="str">
        <f>'Library data'!$G$77</f>
        <v>%</v>
      </c>
    </row>
    <row r="98" spans="1:13" s="7" customFormat="1" x14ac:dyDescent="0.25">
      <c r="A98" s="4" t="str">
        <v>CA CH4</v>
      </c>
      <c r="B98" s="35">
        <v>102.22229405970037</v>
      </c>
      <c r="C98" s="35">
        <v>104.46754614793574</v>
      </c>
      <c r="D98" s="35">
        <v>124.17404991024887</v>
      </c>
      <c r="E98" s="35">
        <v>139.71859591994328</v>
      </c>
      <c r="F98" s="35">
        <v>155.49757742783885</v>
      </c>
      <c r="G98" s="35">
        <v>146.5262091118172</v>
      </c>
      <c r="H98" s="35">
        <v>113.20554633558262</v>
      </c>
      <c r="I98" s="35">
        <v>90.204940350638012</v>
      </c>
      <c r="J98" s="35">
        <v>97.143781916071717</v>
      </c>
      <c r="K98" s="35">
        <v>104.08262348150541</v>
      </c>
      <c r="M98" s="4" t="str">
        <f>'Library data'!$G$77</f>
        <v>%</v>
      </c>
    </row>
    <row r="99" spans="1:13" s="7" customFormat="1" x14ac:dyDescent="0.25">
      <c r="A99" s="4" t="str">
        <v>IA CH4</v>
      </c>
      <c r="B99" s="35">
        <v>102.22229405970037</v>
      </c>
      <c r="C99" s="35">
        <v>104.46754614793574</v>
      </c>
      <c r="D99" s="35">
        <v>124.17404991024887</v>
      </c>
      <c r="E99" s="35">
        <v>139.71859591994328</v>
      </c>
      <c r="F99" s="35">
        <v>155.49757742783885</v>
      </c>
      <c r="G99" s="35">
        <v>146.5262091118172</v>
      </c>
      <c r="H99" s="35">
        <v>113.20554633558262</v>
      </c>
      <c r="I99" s="35">
        <v>90.204940350638012</v>
      </c>
      <c r="J99" s="35">
        <v>97.143781916071717</v>
      </c>
      <c r="K99" s="35">
        <v>104.08262348150541</v>
      </c>
      <c r="M99" s="4" t="str">
        <f>'Library data'!$G$77</f>
        <v>%</v>
      </c>
    </row>
    <row r="100" spans="1:13" s="7" customFormat="1" x14ac:dyDescent="0.25">
      <c r="A100" s="4" t="str">
        <v>AF CH4</v>
      </c>
      <c r="B100" s="35">
        <v>102.30443186833253</v>
      </c>
      <c r="C100" s="35">
        <v>104.6331794149295</v>
      </c>
      <c r="D100" s="35">
        <v>127.40769376647137</v>
      </c>
      <c r="E100" s="35">
        <v>138.72396452809139</v>
      </c>
      <c r="F100" s="35">
        <v>150.20604877121053</v>
      </c>
      <c r="G100" s="35">
        <v>150.28970232534519</v>
      </c>
      <c r="H100" s="35">
        <v>137.19473229179786</v>
      </c>
      <c r="I100" s="35">
        <v>107.09396599810681</v>
      </c>
      <c r="J100" s="35">
        <v>115.33196338257657</v>
      </c>
      <c r="K100" s="35">
        <v>123.56996076704633</v>
      </c>
      <c r="M100" s="4" t="str">
        <f>'Library data'!$G$77</f>
        <v>%</v>
      </c>
    </row>
    <row r="101" spans="1:13" s="7" customFormat="1" ht="13" thickBot="1" x14ac:dyDescent="0.3">
      <c r="A101" s="4" t="str">
        <v>LA CH4</v>
      </c>
      <c r="B101" s="49">
        <v>102.30443186833253</v>
      </c>
      <c r="C101" s="49">
        <v>104.6331794149295</v>
      </c>
      <c r="D101" s="49">
        <v>127.40769376647137</v>
      </c>
      <c r="E101" s="49">
        <v>138.72396452809139</v>
      </c>
      <c r="F101" s="49">
        <v>150.20604877121053</v>
      </c>
      <c r="G101" s="49">
        <v>150.28970232534519</v>
      </c>
      <c r="H101" s="49">
        <v>137.19473229179786</v>
      </c>
      <c r="I101" s="49">
        <v>107.09396599810681</v>
      </c>
      <c r="J101" s="49">
        <v>115.33196338257657</v>
      </c>
      <c r="K101" s="49">
        <v>123.56996076704633</v>
      </c>
      <c r="M101" s="4" t="str">
        <f>'Library data'!$G$77</f>
        <v>%</v>
      </c>
    </row>
    <row r="102" spans="1:13" s="8" customFormat="1" ht="15.5" thickTop="1" x14ac:dyDescent="0.4">
      <c r="A102" s="8" t="s">
        <v>135</v>
      </c>
      <c r="B102" s="8" t="s">
        <v>162</v>
      </c>
    </row>
    <row r="103" spans="1:13" s="7" customFormat="1" x14ac:dyDescent="0.25">
      <c r="A103" s="4" t="str">
        <f t="array" ref="A103:A110">R_CODE&amp;" "&amp;'Base data'!$D$11</f>
        <v>EU N2O</v>
      </c>
      <c r="B103" s="39">
        <f t="array" ref="B103:B110">IF(ZC_N2O_1&lt;er_n2o_1_a,0,ZC_N2O_1-er_n2o_1_a)</f>
        <v>99.833509194992871</v>
      </c>
      <c r="C103" s="39">
        <f t="array" ref="C103:K110">IF(ZC_N2O_NOT_1-er_n2o_not_1_a&lt;0,0,ZC_N2O_NOT_1-er_n2o_not_1_a)</f>
        <v>99.667018389985728</v>
      </c>
      <c r="D103" s="39">
        <v>102.76504498212294</v>
      </c>
      <c r="E103" s="39">
        <v>100.69239064879683</v>
      </c>
      <c r="F103" s="39">
        <v>98.619736315470718</v>
      </c>
      <c r="G103" s="39">
        <v>96.290523882116133</v>
      </c>
      <c r="H103" s="39">
        <v>90.435125847484542</v>
      </c>
      <c r="I103" s="39">
        <v>85.774869065301957</v>
      </c>
      <c r="J103" s="39">
        <v>85.774869065301957</v>
      </c>
      <c r="K103" s="39">
        <v>85.774869065301957</v>
      </c>
      <c r="M103" s="4" t="str">
        <f>'Library data'!$G$77</f>
        <v>%</v>
      </c>
    </row>
    <row r="104" spans="1:13" s="7" customFormat="1" x14ac:dyDescent="0.25">
      <c r="A104" s="4" t="str">
        <v>US N2O</v>
      </c>
      <c r="B104" s="35">
        <v>99.833509194992871</v>
      </c>
      <c r="C104" s="35">
        <v>99.667018389985728</v>
      </c>
      <c r="D104" s="35">
        <v>102.76504498212294</v>
      </c>
      <c r="E104" s="35">
        <v>100.69239064879683</v>
      </c>
      <c r="F104" s="35">
        <v>98.619736315470718</v>
      </c>
      <c r="G104" s="35">
        <v>96.290523882116133</v>
      </c>
      <c r="H104" s="35">
        <v>90.435125847484542</v>
      </c>
      <c r="I104" s="35">
        <v>85.774869065301957</v>
      </c>
      <c r="J104" s="35">
        <v>85.774869065301957</v>
      </c>
      <c r="K104" s="35">
        <v>85.774869065301957</v>
      </c>
      <c r="M104" s="4" t="str">
        <f>'Library data'!$G$77</f>
        <v>%</v>
      </c>
    </row>
    <row r="105" spans="1:13" s="7" customFormat="1" x14ac:dyDescent="0.25">
      <c r="A105" s="4" t="str">
        <v>OT N2O</v>
      </c>
      <c r="B105" s="35">
        <v>99.833509194992871</v>
      </c>
      <c r="C105" s="35">
        <v>99.667018389985728</v>
      </c>
      <c r="D105" s="35">
        <v>102.76504498212294</v>
      </c>
      <c r="E105" s="35">
        <v>100.69239064879683</v>
      </c>
      <c r="F105" s="35">
        <v>98.619736315470718</v>
      </c>
      <c r="G105" s="35">
        <v>96.290523882116133</v>
      </c>
      <c r="H105" s="35">
        <v>90.435125847484542</v>
      </c>
      <c r="I105" s="35">
        <v>85.774869065301957</v>
      </c>
      <c r="J105" s="35">
        <v>85.774869065301957</v>
      </c>
      <c r="K105" s="35">
        <v>85.774869065301957</v>
      </c>
      <c r="M105" s="4" t="str">
        <f>'Library data'!$G$77</f>
        <v>%</v>
      </c>
    </row>
    <row r="106" spans="1:13" s="7" customFormat="1" x14ac:dyDescent="0.25">
      <c r="A106" s="4" t="str">
        <v>EE N2O</v>
      </c>
      <c r="B106" s="35">
        <v>100.191208470253</v>
      </c>
      <c r="C106" s="35">
        <v>100.38241694050602</v>
      </c>
      <c r="D106" s="35">
        <v>102.98338758736169</v>
      </c>
      <c r="E106" s="35">
        <v>102.78428091863782</v>
      </c>
      <c r="F106" s="35">
        <v>102.58517424991393</v>
      </c>
      <c r="G106" s="35">
        <v>99.686560807057987</v>
      </c>
      <c r="H106" s="35">
        <v>92.836335382981318</v>
      </c>
      <c r="I106" s="35">
        <v>89.452452419291191</v>
      </c>
      <c r="J106" s="35">
        <v>89.452452419291191</v>
      </c>
      <c r="K106" s="35">
        <v>89.452452419291191</v>
      </c>
      <c r="M106" s="4" t="str">
        <f>'Library data'!$G$77</f>
        <v>%</v>
      </c>
    </row>
    <row r="107" spans="1:13" s="7" customFormat="1" x14ac:dyDescent="0.25">
      <c r="A107" s="4" t="str">
        <v>CA N2O</v>
      </c>
      <c r="B107" s="35">
        <v>100.28713025991391</v>
      </c>
      <c r="C107" s="35">
        <v>100.5742605198278</v>
      </c>
      <c r="D107" s="35">
        <v>101.6249235885288</v>
      </c>
      <c r="E107" s="35">
        <v>106.08144944182257</v>
      </c>
      <c r="F107" s="35">
        <v>110.53797529511633</v>
      </c>
      <c r="G107" s="35">
        <v>111.05204261502043</v>
      </c>
      <c r="H107" s="35">
        <v>110.39658695559311</v>
      </c>
      <c r="I107" s="35">
        <v>110.47441305822622</v>
      </c>
      <c r="J107" s="35">
        <v>110.47441305822622</v>
      </c>
      <c r="K107" s="35">
        <v>110.47441305822622</v>
      </c>
      <c r="M107" s="4" t="str">
        <f>'Library data'!$G$77</f>
        <v>%</v>
      </c>
    </row>
    <row r="108" spans="1:13" s="7" customFormat="1" x14ac:dyDescent="0.25">
      <c r="A108" s="4" t="str">
        <v>IA N2O</v>
      </c>
      <c r="B108" s="35">
        <v>100.28713025991391</v>
      </c>
      <c r="C108" s="35">
        <v>100.5742605198278</v>
      </c>
      <c r="D108" s="35">
        <v>101.6249235885288</v>
      </c>
      <c r="E108" s="35">
        <v>106.08144944182257</v>
      </c>
      <c r="F108" s="35">
        <v>110.53797529511633</v>
      </c>
      <c r="G108" s="35">
        <v>111.05204261502043</v>
      </c>
      <c r="H108" s="35">
        <v>110.39658695559311</v>
      </c>
      <c r="I108" s="35">
        <v>110.47441305822622</v>
      </c>
      <c r="J108" s="35">
        <v>110.47441305822622</v>
      </c>
      <c r="K108" s="35">
        <v>110.47441305822622</v>
      </c>
      <c r="M108" s="4" t="str">
        <f>'Library data'!$G$77</f>
        <v>%</v>
      </c>
    </row>
    <row r="109" spans="1:13" s="7" customFormat="1" x14ac:dyDescent="0.25">
      <c r="A109" s="4" t="str">
        <v>AF N2O</v>
      </c>
      <c r="B109" s="35">
        <v>99.864866006912308</v>
      </c>
      <c r="C109" s="35">
        <v>99.729732013824616</v>
      </c>
      <c r="D109" s="35">
        <v>100.45374398066953</v>
      </c>
      <c r="E109" s="35">
        <v>103.70510067976102</v>
      </c>
      <c r="F109" s="35">
        <v>106.95645737885252</v>
      </c>
      <c r="G109" s="35">
        <v>108.9032967269227</v>
      </c>
      <c r="H109" s="35">
        <v>110.88057053055684</v>
      </c>
      <c r="I109" s="35">
        <v>111.76981889816032</v>
      </c>
      <c r="J109" s="35">
        <v>111.76981889816032</v>
      </c>
      <c r="K109" s="35">
        <v>111.76981889816032</v>
      </c>
      <c r="M109" s="4" t="str">
        <f>'Library data'!$G$77</f>
        <v>%</v>
      </c>
    </row>
    <row r="110" spans="1:13" s="7" customFormat="1" ht="13" thickBot="1" x14ac:dyDescent="0.3">
      <c r="A110" s="4" t="str">
        <v>LA N2O</v>
      </c>
      <c r="B110" s="49">
        <v>99.864866006912308</v>
      </c>
      <c r="C110" s="49">
        <v>99.729732013824616</v>
      </c>
      <c r="D110" s="49">
        <v>100.45374398066953</v>
      </c>
      <c r="E110" s="49">
        <v>103.70510067976102</v>
      </c>
      <c r="F110" s="49">
        <v>106.95645737885252</v>
      </c>
      <c r="G110" s="49">
        <v>108.9032967269227</v>
      </c>
      <c r="H110" s="49">
        <v>110.88057053055684</v>
      </c>
      <c r="I110" s="49">
        <v>111.76981889816032</v>
      </c>
      <c r="J110" s="49">
        <v>111.76981889816032</v>
      </c>
      <c r="K110" s="49">
        <v>111.76981889816032</v>
      </c>
      <c r="M110" s="4" t="str">
        <f>'Library data'!$G$77</f>
        <v>%</v>
      </c>
    </row>
    <row r="111" spans="1:13" s="8" customFormat="1" ht="15.5" thickTop="1" x14ac:dyDescent="0.4">
      <c r="A111" s="8" t="s">
        <v>135</v>
      </c>
      <c r="B111" s="8" t="s">
        <v>319</v>
      </c>
    </row>
    <row r="112" spans="1:13" s="7" customFormat="1" x14ac:dyDescent="0.25">
      <c r="A112" s="4" t="str">
        <f t="array" ref="A112:A119">R_CODE&amp;" "&amp;GLIN_NAME</f>
        <v>EU Lin</v>
      </c>
      <c r="B112" s="39">
        <f t="array" ref="B112:B119">IF(ZC_GLIN_1&lt;er_glin_1_a,0,ZC_GLIN_1-er_glin_1_a)</f>
        <v>103.34352169441709</v>
      </c>
      <c r="C112" s="39">
        <f t="array" ref="C112:K119">IF(ZC_GLIN_NOT_1-er_glin_not_1_a&lt;0,,ZC_GLIN_NOT_1-er_glin_not_1_a)</f>
        <v>106.68704338883418</v>
      </c>
      <c r="D112" s="39">
        <v>96.875896168722903</v>
      </c>
      <c r="E112" s="39">
        <v>100.85034234321378</v>
      </c>
      <c r="F112" s="39">
        <v>104.82478851770465</v>
      </c>
      <c r="G112" s="39">
        <v>108.75556191500952</v>
      </c>
      <c r="H112" s="39">
        <v>117.47684926713201</v>
      </c>
      <c r="I112" s="39">
        <v>126.29835263284434</v>
      </c>
      <c r="J112" s="39">
        <v>126.29835263284434</v>
      </c>
      <c r="K112" s="39">
        <v>126.29835263284434</v>
      </c>
      <c r="M112" s="4" t="str">
        <f>'Library data'!$G$77</f>
        <v>%</v>
      </c>
    </row>
    <row r="113" spans="1:13" s="7" customFormat="1" x14ac:dyDescent="0.25">
      <c r="A113" s="4" t="str">
        <v>US Lin</v>
      </c>
      <c r="B113" s="35">
        <v>103.34352169441709</v>
      </c>
      <c r="C113" s="35">
        <v>106.68704338883418</v>
      </c>
      <c r="D113" s="35">
        <v>96.875896168722903</v>
      </c>
      <c r="E113" s="35">
        <v>100.85034234321378</v>
      </c>
      <c r="F113" s="35">
        <v>104.82478851770465</v>
      </c>
      <c r="G113" s="35">
        <v>108.75556191500952</v>
      </c>
      <c r="H113" s="35">
        <v>117.47684926713201</v>
      </c>
      <c r="I113" s="35">
        <v>126.29835263284434</v>
      </c>
      <c r="J113" s="35">
        <v>126.29835263284434</v>
      </c>
      <c r="K113" s="35">
        <v>126.29835263284434</v>
      </c>
      <c r="M113" s="4" t="str">
        <f>'Library data'!$G$77</f>
        <v>%</v>
      </c>
    </row>
    <row r="114" spans="1:13" s="7" customFormat="1" x14ac:dyDescent="0.25">
      <c r="A114" s="4" t="str">
        <v>OT Lin</v>
      </c>
      <c r="B114" s="35">
        <v>103.34352169441709</v>
      </c>
      <c r="C114" s="35">
        <v>106.68704338883418</v>
      </c>
      <c r="D114" s="35">
        <v>96.875896168722903</v>
      </c>
      <c r="E114" s="35">
        <v>100.85034234321378</v>
      </c>
      <c r="F114" s="35">
        <v>104.82478851770465</v>
      </c>
      <c r="G114" s="35">
        <v>108.75556191500952</v>
      </c>
      <c r="H114" s="35">
        <v>117.47684926713201</v>
      </c>
      <c r="I114" s="35">
        <v>126.29835263284434</v>
      </c>
      <c r="J114" s="35">
        <v>126.29835263284434</v>
      </c>
      <c r="K114" s="35">
        <v>126.29835263284434</v>
      </c>
      <c r="M114" s="4" t="str">
        <f>'Library data'!$G$77</f>
        <v>%</v>
      </c>
    </row>
    <row r="115" spans="1:13" s="7" customFormat="1" x14ac:dyDescent="0.25">
      <c r="A115" s="4" t="str">
        <v>EE Lin</v>
      </c>
      <c r="B115" s="35">
        <v>103.6765487994021</v>
      </c>
      <c r="C115" s="35">
        <v>107.3530975988042</v>
      </c>
      <c r="D115" s="35">
        <v>184.17706299250798</v>
      </c>
      <c r="E115" s="35">
        <v>266.46567829543955</v>
      </c>
      <c r="F115" s="35">
        <v>348.75429359837113</v>
      </c>
      <c r="G115" s="35">
        <v>361.20122188912922</v>
      </c>
      <c r="H115" s="35">
        <v>368.18074777942832</v>
      </c>
      <c r="I115" s="35">
        <v>334.18264302438598</v>
      </c>
      <c r="J115" s="35">
        <v>334.18264302438598</v>
      </c>
      <c r="K115" s="35">
        <v>334.18264302438598</v>
      </c>
      <c r="M115" s="4" t="str">
        <f>'Library data'!$G$77</f>
        <v>%</v>
      </c>
    </row>
    <row r="116" spans="1:13" s="7" customFormat="1" x14ac:dyDescent="0.25">
      <c r="A116" s="4" t="str">
        <v>CA Lin</v>
      </c>
      <c r="B116" s="35">
        <v>106.35467939271511</v>
      </c>
      <c r="C116" s="35">
        <v>112.70935878543023</v>
      </c>
      <c r="D116" s="35">
        <v>234.43739996280388</v>
      </c>
      <c r="E116" s="35">
        <v>451.9110124172696</v>
      </c>
      <c r="F116" s="35">
        <v>669.38462487173535</v>
      </c>
      <c r="G116" s="35">
        <v>909.99452298125948</v>
      </c>
      <c r="H116" s="35">
        <v>1108.0138156849926</v>
      </c>
      <c r="I116" s="35">
        <v>1029.2620872302932</v>
      </c>
      <c r="J116" s="35">
        <v>1029.2620872302932</v>
      </c>
      <c r="K116" s="35">
        <v>1029.2620872302932</v>
      </c>
      <c r="M116" s="4" t="str">
        <f>'Library data'!$G$77</f>
        <v>%</v>
      </c>
    </row>
    <row r="117" spans="1:13" s="7" customFormat="1" x14ac:dyDescent="0.25">
      <c r="A117" s="4" t="str">
        <v>IA Lin</v>
      </c>
      <c r="B117" s="35">
        <v>106.35467939271511</v>
      </c>
      <c r="C117" s="35">
        <v>112.70935878543023</v>
      </c>
      <c r="D117" s="35">
        <v>234.43739996280388</v>
      </c>
      <c r="E117" s="35">
        <v>451.9110124172696</v>
      </c>
      <c r="F117" s="35">
        <v>669.38462487173535</v>
      </c>
      <c r="G117" s="35">
        <v>909.99452298125948</v>
      </c>
      <c r="H117" s="35">
        <v>1108.0138156849926</v>
      </c>
      <c r="I117" s="35">
        <v>1029.2620872302932</v>
      </c>
      <c r="J117" s="35">
        <v>1029.2620872302932</v>
      </c>
      <c r="K117" s="35">
        <v>1029.2620872302932</v>
      </c>
      <c r="M117" s="4" t="str">
        <f>'Library data'!$G$77</f>
        <v>%</v>
      </c>
    </row>
    <row r="118" spans="1:13" s="7" customFormat="1" x14ac:dyDescent="0.25">
      <c r="A118" s="4" t="str">
        <v>AF Lin</v>
      </c>
      <c r="B118" s="35">
        <v>107.61971843407929</v>
      </c>
      <c r="C118" s="35">
        <v>115.23943686815859</v>
      </c>
      <c r="D118" s="35">
        <v>236.19594623922265</v>
      </c>
      <c r="E118" s="35">
        <v>478.85717300527426</v>
      </c>
      <c r="F118" s="35">
        <v>721.5183997713259</v>
      </c>
      <c r="G118" s="35">
        <v>877.77616411943734</v>
      </c>
      <c r="H118" s="35">
        <v>1006.929628071476</v>
      </c>
      <c r="I118" s="35">
        <v>952.49948602985285</v>
      </c>
      <c r="J118" s="35">
        <v>952.49948602985285</v>
      </c>
      <c r="K118" s="35">
        <v>952.49948602985285</v>
      </c>
      <c r="M118" s="4" t="str">
        <f>'Library data'!$G$77</f>
        <v>%</v>
      </c>
    </row>
    <row r="119" spans="1:13" s="7" customFormat="1" ht="13" thickBot="1" x14ac:dyDescent="0.3">
      <c r="A119" s="4" t="str">
        <v>LA Lin</v>
      </c>
      <c r="B119" s="49">
        <v>107.61971843407929</v>
      </c>
      <c r="C119" s="49">
        <v>115.23943686815859</v>
      </c>
      <c r="D119" s="49">
        <v>236.19594623922265</v>
      </c>
      <c r="E119" s="49">
        <v>478.85717300527426</v>
      </c>
      <c r="F119" s="49">
        <v>721.5183997713259</v>
      </c>
      <c r="G119" s="49">
        <v>877.77616411943734</v>
      </c>
      <c r="H119" s="49">
        <v>1006.929628071476</v>
      </c>
      <c r="I119" s="49">
        <v>952.49948602985285</v>
      </c>
      <c r="J119" s="49">
        <v>952.49948602985285</v>
      </c>
      <c r="K119" s="49">
        <v>952.49948602985285</v>
      </c>
      <c r="M119" s="4" t="str">
        <f>'Library data'!$G$77</f>
        <v>%</v>
      </c>
    </row>
    <row r="120" spans="1:13" s="2" customFormat="1" ht="15.5" thickTop="1" x14ac:dyDescent="0.4">
      <c r="A120" s="2" t="s">
        <v>135</v>
      </c>
      <c r="B120" s="2" t="s">
        <v>348</v>
      </c>
    </row>
    <row r="121" spans="1:13" s="6" customFormat="1" x14ac:dyDescent="0.25">
      <c r="A121" s="4" t="str">
        <f t="array" ref="A121:A128">R_CODE&amp;" "&amp;'Base data'!$B$11</f>
        <v>EU CO2</v>
      </c>
      <c r="B121" s="39">
        <f t="array" ref="B121:K128">cb_co2*E_CO2_0/100</f>
        <v>0</v>
      </c>
      <c r="C121" s="39">
        <v>313.8380502756234</v>
      </c>
      <c r="D121" s="39">
        <v>1220.6013392136178</v>
      </c>
      <c r="E121" s="39">
        <v>2043.0185990859816</v>
      </c>
      <c r="F121" s="39">
        <v>2941.1060837782466</v>
      </c>
      <c r="G121" s="39">
        <v>3129.2533327687129</v>
      </c>
      <c r="H121" s="39">
        <v>3038.9665351489489</v>
      </c>
      <c r="I121" s="39">
        <v>2469.5823996753002</v>
      </c>
      <c r="J121" s="39">
        <v>2477.5552727748491</v>
      </c>
      <c r="K121" s="39">
        <v>2940.3844619538577</v>
      </c>
      <c r="M121" s="4" t="str">
        <f t="shared" ref="M121:M128" si="0">EMIT_NAME</f>
        <v>Mtonne</v>
      </c>
    </row>
    <row r="122" spans="1:13" s="6" customFormat="1" x14ac:dyDescent="0.25">
      <c r="A122" s="4" t="str">
        <v>US CO2</v>
      </c>
      <c r="B122" s="35">
        <v>765.13341300069249</v>
      </c>
      <c r="C122" s="35">
        <v>2804.7810052792101</v>
      </c>
      <c r="D122" s="35">
        <v>4164.0062105854167</v>
      </c>
      <c r="E122" s="35">
        <v>5571.0334225736597</v>
      </c>
      <c r="F122" s="35">
        <v>7019.1906520726861</v>
      </c>
      <c r="G122" s="35">
        <v>7190.9402128217162</v>
      </c>
      <c r="H122" s="35">
        <v>6825.1783854084151</v>
      </c>
      <c r="I122" s="35">
        <v>4957.003025569843</v>
      </c>
      <c r="J122" s="35">
        <v>5652.6349572350809</v>
      </c>
      <c r="K122" s="35">
        <v>6525.5409255437289</v>
      </c>
      <c r="M122" s="4" t="str">
        <f t="shared" si="0"/>
        <v>Mtonne</v>
      </c>
    </row>
    <row r="123" spans="1:13" s="6" customFormat="1" x14ac:dyDescent="0.25">
      <c r="A123" s="4" t="str">
        <v>OT CO2</v>
      </c>
      <c r="B123" s="35">
        <v>0</v>
      </c>
      <c r="C123" s="35">
        <v>0</v>
      </c>
      <c r="D123" s="35">
        <v>0</v>
      </c>
      <c r="E123" s="35">
        <v>0</v>
      </c>
      <c r="F123" s="35">
        <v>0</v>
      </c>
      <c r="G123" s="35">
        <v>156.5439200770152</v>
      </c>
      <c r="H123" s="35">
        <v>400.29765199905347</v>
      </c>
      <c r="I123" s="35">
        <v>246.03621460029618</v>
      </c>
      <c r="J123" s="35">
        <v>0</v>
      </c>
      <c r="K123" s="35">
        <v>516.24711007587507</v>
      </c>
      <c r="M123" s="4" t="str">
        <f t="shared" si="0"/>
        <v>Mtonne</v>
      </c>
    </row>
    <row r="124" spans="1:13" s="6" customFormat="1" x14ac:dyDescent="0.25">
      <c r="A124" s="4" t="str">
        <v>EE CO2</v>
      </c>
      <c r="B124" s="35">
        <v>0</v>
      </c>
      <c r="C124" s="35">
        <v>0</v>
      </c>
      <c r="D124" s="35">
        <v>0</v>
      </c>
      <c r="E124" s="35">
        <v>0</v>
      </c>
      <c r="F124" s="35">
        <v>0</v>
      </c>
      <c r="G124" s="35">
        <v>42.231521248566089</v>
      </c>
      <c r="H124" s="35">
        <v>359.99102462854188</v>
      </c>
      <c r="I124" s="35">
        <v>221.47458442053755</v>
      </c>
      <c r="J124" s="35">
        <v>0</v>
      </c>
      <c r="K124" s="35">
        <v>573.39166646330887</v>
      </c>
      <c r="M124" s="4" t="str">
        <f t="shared" si="0"/>
        <v>Mtonne</v>
      </c>
    </row>
    <row r="125" spans="1:13" s="6" customFormat="1" x14ac:dyDescent="0.25">
      <c r="A125" s="4" t="str">
        <v>CA CO2</v>
      </c>
      <c r="B125" s="35">
        <v>0</v>
      </c>
      <c r="C125" s="35">
        <v>0</v>
      </c>
      <c r="D125" s="35">
        <v>0</v>
      </c>
      <c r="E125" s="35">
        <v>486.00226765630958</v>
      </c>
      <c r="F125" s="35">
        <v>2062.4772008309201</v>
      </c>
      <c r="G125" s="35">
        <v>2728.0722423658176</v>
      </c>
      <c r="H125" s="35">
        <v>3599.7404773743074</v>
      </c>
      <c r="I125" s="35">
        <v>3270.5387632986262</v>
      </c>
      <c r="J125" s="35">
        <v>2733.7702862671863</v>
      </c>
      <c r="K125" s="35">
        <v>3829.6091636506303</v>
      </c>
      <c r="M125" s="4" t="str">
        <f t="shared" si="0"/>
        <v>Mtonne</v>
      </c>
    </row>
    <row r="126" spans="1:13" s="6" customFormat="1" x14ac:dyDescent="0.25">
      <c r="A126" s="4" t="str">
        <v>IA CO2</v>
      </c>
      <c r="B126" s="35">
        <v>0</v>
      </c>
      <c r="C126" s="35">
        <v>0</v>
      </c>
      <c r="D126" s="35">
        <v>0</v>
      </c>
      <c r="E126" s="35">
        <v>799.02953467365296</v>
      </c>
      <c r="F126" s="35">
        <v>3390.8899355596513</v>
      </c>
      <c r="G126" s="35">
        <v>4485.1854393304711</v>
      </c>
      <c r="H126" s="35">
        <v>5918.2829998981906</v>
      </c>
      <c r="I126" s="35">
        <v>5377.0470635307511</v>
      </c>
      <c r="J126" s="35">
        <v>4494.5535136586313</v>
      </c>
      <c r="K126" s="35">
        <v>6296.2068937868935</v>
      </c>
      <c r="M126" s="4" t="str">
        <f t="shared" si="0"/>
        <v>Mtonne</v>
      </c>
    </row>
    <row r="127" spans="1:13" s="6" customFormat="1" x14ac:dyDescent="0.25">
      <c r="A127" s="4" t="str">
        <v>AF CO2</v>
      </c>
      <c r="B127" s="35">
        <v>0</v>
      </c>
      <c r="C127" s="35">
        <v>0</v>
      </c>
      <c r="D127" s="35">
        <v>0</v>
      </c>
      <c r="E127" s="35">
        <v>522.17051711907652</v>
      </c>
      <c r="F127" s="35">
        <v>2002.4723976322855</v>
      </c>
      <c r="G127" s="35">
        <v>2787.4835043107</v>
      </c>
      <c r="H127" s="35">
        <v>3613.0210370435384</v>
      </c>
      <c r="I127" s="35">
        <v>3055.7523898966779</v>
      </c>
      <c r="J127" s="35">
        <v>2562.2506858648721</v>
      </c>
      <c r="K127" s="35">
        <v>3573.2054363852758</v>
      </c>
      <c r="M127" s="4" t="str">
        <f t="shared" si="0"/>
        <v>Mtonne</v>
      </c>
    </row>
    <row r="128" spans="1:13" s="6" customFormat="1" ht="13" thickBot="1" x14ac:dyDescent="0.3">
      <c r="A128" s="4" t="str">
        <v>LA CO2</v>
      </c>
      <c r="B128" s="49">
        <v>0</v>
      </c>
      <c r="C128" s="49">
        <v>0</v>
      </c>
      <c r="D128" s="49">
        <v>0</v>
      </c>
      <c r="E128" s="49">
        <v>445.39865579235033</v>
      </c>
      <c r="F128" s="49">
        <v>1708.0598864284714</v>
      </c>
      <c r="G128" s="49">
        <v>2377.6551244470484</v>
      </c>
      <c r="H128" s="49">
        <v>3081.8184108271007</v>
      </c>
      <c r="I128" s="49">
        <v>2606.4819101685775</v>
      </c>
      <c r="J128" s="49">
        <v>2185.5370494366634</v>
      </c>
      <c r="K128" s="49">
        <v>3047.8566791104258</v>
      </c>
      <c r="M128" s="4" t="str">
        <f t="shared" si="0"/>
        <v>Mtonne</v>
      </c>
    </row>
    <row r="129" spans="1:13" s="8" customFormat="1" ht="15.5" thickTop="1" x14ac:dyDescent="0.4">
      <c r="A129" s="8" t="s">
        <v>135</v>
      </c>
      <c r="B129" s="2" t="s">
        <v>349</v>
      </c>
      <c r="C129" s="2"/>
      <c r="D129" s="2"/>
      <c r="E129" s="2"/>
      <c r="F129" s="2"/>
      <c r="G129" s="2"/>
      <c r="H129" s="2"/>
      <c r="I129" s="2"/>
      <c r="J129" s="2"/>
      <c r="K129" s="2"/>
    </row>
    <row r="130" spans="1:13" s="7" customFormat="1" x14ac:dyDescent="0.25">
      <c r="A130" s="4" t="str">
        <f t="array" ref="A130:A137">R_CODE&amp;" "&amp;'Base data'!$C$11</f>
        <v>EU CH4</v>
      </c>
      <c r="B130" s="39">
        <f t="array" ref="B130:K137">cb_ch4*E_CH4_0/100</f>
        <v>1.0049883203454119E-3</v>
      </c>
      <c r="C130" s="39">
        <v>1.0099213512199492E-3</v>
      </c>
      <c r="D130" s="39">
        <v>9.8644676813831357E-4</v>
      </c>
      <c r="E130" s="39">
        <v>9.175654873698609E-4</v>
      </c>
      <c r="F130" s="39">
        <v>8.4744386509830541E-4</v>
      </c>
      <c r="G130" s="39">
        <v>7.8954511866888397E-4</v>
      </c>
      <c r="H130" s="39">
        <v>6.9365562309961438E-4</v>
      </c>
      <c r="I130" s="39">
        <v>6.4100265679912182E-4</v>
      </c>
      <c r="J130" s="39">
        <v>6.9031055347597747E-4</v>
      </c>
      <c r="K130" s="39">
        <v>7.3961845015283292E-4</v>
      </c>
      <c r="M130" s="4" t="str">
        <f t="shared" ref="M130:M137" si="1">EMIT_NAME</f>
        <v>Mtonne</v>
      </c>
    </row>
    <row r="131" spans="1:13" s="7" customFormat="1" x14ac:dyDescent="0.25">
      <c r="A131" s="4" t="str">
        <v>US CH4</v>
      </c>
      <c r="B131" s="35">
        <v>1.0049883203454119E-3</v>
      </c>
      <c r="C131" s="35">
        <v>1.0099213512199492E-3</v>
      </c>
      <c r="D131" s="35">
        <v>9.8644676813831357E-4</v>
      </c>
      <c r="E131" s="35">
        <v>9.175654873698609E-4</v>
      </c>
      <c r="F131" s="35">
        <v>8.4744386509830541E-4</v>
      </c>
      <c r="G131" s="35">
        <v>7.8954511866888397E-4</v>
      </c>
      <c r="H131" s="35">
        <v>6.9365562309961438E-4</v>
      </c>
      <c r="I131" s="35">
        <v>6.4100265679912182E-4</v>
      </c>
      <c r="J131" s="35">
        <v>6.9031055347597747E-4</v>
      </c>
      <c r="K131" s="35">
        <v>7.3961845015283292E-4</v>
      </c>
      <c r="M131" s="4" t="str">
        <f t="shared" si="1"/>
        <v>Mtonne</v>
      </c>
    </row>
    <row r="132" spans="1:13" s="7" customFormat="1" x14ac:dyDescent="0.25">
      <c r="A132" s="4" t="str">
        <v>OT CH4</v>
      </c>
      <c r="B132" s="35">
        <v>1.0049883203454119E-3</v>
      </c>
      <c r="C132" s="35">
        <v>1.0099213512199492E-3</v>
      </c>
      <c r="D132" s="35">
        <v>9.8644676813831357E-4</v>
      </c>
      <c r="E132" s="35">
        <v>9.175654873698609E-4</v>
      </c>
      <c r="F132" s="35">
        <v>8.4744386509830541E-4</v>
      </c>
      <c r="G132" s="35">
        <v>7.8954511866888397E-4</v>
      </c>
      <c r="H132" s="35">
        <v>6.9365562309961438E-4</v>
      </c>
      <c r="I132" s="35">
        <v>6.4100265679912182E-4</v>
      </c>
      <c r="J132" s="35">
        <v>6.9031055347597747E-4</v>
      </c>
      <c r="K132" s="35">
        <v>7.3961845015283292E-4</v>
      </c>
      <c r="M132" s="4" t="str">
        <f t="shared" si="1"/>
        <v>Mtonne</v>
      </c>
    </row>
    <row r="133" spans="1:13" s="7" customFormat="1" x14ac:dyDescent="0.25">
      <c r="A133" s="4" t="str">
        <v>EE CH4</v>
      </c>
      <c r="B133" s="35">
        <v>1.0437838286049357E-3</v>
      </c>
      <c r="C133" s="35">
        <v>1.0881536158094021E-3</v>
      </c>
      <c r="D133" s="35">
        <v>1.1618478739662597E-3</v>
      </c>
      <c r="E133" s="35">
        <v>1.068371140791775E-3</v>
      </c>
      <c r="F133" s="35">
        <v>9.7323436486166097E-4</v>
      </c>
      <c r="G133" s="35">
        <v>8.8724902834302064E-4</v>
      </c>
      <c r="H133" s="35">
        <v>7.5992969370322378E-4</v>
      </c>
      <c r="I133" s="35">
        <v>6.8447326429272291E-4</v>
      </c>
      <c r="J133" s="35">
        <v>7.371250538537016E-4</v>
      </c>
      <c r="K133" s="35">
        <v>7.8977684341468028E-4</v>
      </c>
      <c r="M133" s="4" t="str">
        <f t="shared" si="1"/>
        <v>Mtonne</v>
      </c>
    </row>
    <row r="134" spans="1:13" s="7" customFormat="1" x14ac:dyDescent="0.25">
      <c r="A134" s="4" t="str">
        <v>CA CH4</v>
      </c>
      <c r="B134" s="35">
        <v>1.0222229405970036E-3</v>
      </c>
      <c r="C134" s="35">
        <v>1.0446754614793574E-3</v>
      </c>
      <c r="D134" s="35">
        <v>1.2417404991024888E-3</v>
      </c>
      <c r="E134" s="35">
        <v>1.397185959199433E-3</v>
      </c>
      <c r="F134" s="35">
        <v>1.5549757742783885E-3</v>
      </c>
      <c r="G134" s="35">
        <v>1.4652620911181718E-3</v>
      </c>
      <c r="H134" s="35">
        <v>1.1320554633558262E-3</v>
      </c>
      <c r="I134" s="35">
        <v>9.0204940350638015E-4</v>
      </c>
      <c r="J134" s="35">
        <v>9.7143781916071714E-4</v>
      </c>
      <c r="K134" s="35">
        <v>1.040826234815054E-3</v>
      </c>
      <c r="M134" s="4" t="str">
        <f t="shared" si="1"/>
        <v>Mtonne</v>
      </c>
    </row>
    <row r="135" spans="1:13" s="7" customFormat="1" x14ac:dyDescent="0.25">
      <c r="A135" s="4" t="str">
        <v>IA CH4</v>
      </c>
      <c r="B135" s="35">
        <v>1.0222229405970036E-3</v>
      </c>
      <c r="C135" s="35">
        <v>1.0446754614793574E-3</v>
      </c>
      <c r="D135" s="35">
        <v>1.2417404991024888E-3</v>
      </c>
      <c r="E135" s="35">
        <v>1.397185959199433E-3</v>
      </c>
      <c r="F135" s="35">
        <v>1.5549757742783885E-3</v>
      </c>
      <c r="G135" s="35">
        <v>1.4652620911181718E-3</v>
      </c>
      <c r="H135" s="35">
        <v>1.1320554633558262E-3</v>
      </c>
      <c r="I135" s="35">
        <v>9.0204940350638015E-4</v>
      </c>
      <c r="J135" s="35">
        <v>9.7143781916071714E-4</v>
      </c>
      <c r="K135" s="35">
        <v>1.040826234815054E-3</v>
      </c>
      <c r="M135" s="4" t="str">
        <f t="shared" si="1"/>
        <v>Mtonne</v>
      </c>
    </row>
    <row r="136" spans="1:13" s="7" customFormat="1" x14ac:dyDescent="0.25">
      <c r="A136" s="4" t="str">
        <v>AF CH4</v>
      </c>
      <c r="B136" s="35">
        <v>1.0230443186833253E-3</v>
      </c>
      <c r="C136" s="35">
        <v>1.0463317941492951E-3</v>
      </c>
      <c r="D136" s="35">
        <v>1.2740769376647137E-3</v>
      </c>
      <c r="E136" s="35">
        <v>1.3872396452809137E-3</v>
      </c>
      <c r="F136" s="35">
        <v>1.5020604877121055E-3</v>
      </c>
      <c r="G136" s="35">
        <v>1.5028970232534519E-3</v>
      </c>
      <c r="H136" s="35">
        <v>1.3719473229179787E-3</v>
      </c>
      <c r="I136" s="35">
        <v>1.0709396599810682E-3</v>
      </c>
      <c r="J136" s="35">
        <v>1.1533196338257658E-3</v>
      </c>
      <c r="K136" s="35">
        <v>1.2356996076704633E-3</v>
      </c>
      <c r="M136" s="4" t="str">
        <f t="shared" si="1"/>
        <v>Mtonne</v>
      </c>
    </row>
    <row r="137" spans="1:13" s="7" customFormat="1" ht="13" thickBot="1" x14ac:dyDescent="0.3">
      <c r="A137" s="4" t="str">
        <v>LA CH4</v>
      </c>
      <c r="B137" s="49">
        <v>1.0230443186833253E-3</v>
      </c>
      <c r="C137" s="49">
        <v>1.0463317941492951E-3</v>
      </c>
      <c r="D137" s="49">
        <v>1.2740769376647137E-3</v>
      </c>
      <c r="E137" s="49">
        <v>1.3872396452809137E-3</v>
      </c>
      <c r="F137" s="49">
        <v>1.5020604877121055E-3</v>
      </c>
      <c r="G137" s="49">
        <v>1.5028970232534519E-3</v>
      </c>
      <c r="H137" s="49">
        <v>1.3719473229179787E-3</v>
      </c>
      <c r="I137" s="49">
        <v>1.0709396599810682E-3</v>
      </c>
      <c r="J137" s="49">
        <v>1.1533196338257658E-3</v>
      </c>
      <c r="K137" s="49">
        <v>1.2356996076704633E-3</v>
      </c>
      <c r="M137" s="4" t="str">
        <f t="shared" si="1"/>
        <v>Mtonne</v>
      </c>
    </row>
    <row r="138" spans="1:13" s="8" customFormat="1" ht="15.5" thickTop="1" x14ac:dyDescent="0.4">
      <c r="A138" s="8" t="s">
        <v>135</v>
      </c>
      <c r="B138" s="8" t="s">
        <v>350</v>
      </c>
    </row>
    <row r="139" spans="1:13" s="7" customFormat="1" x14ac:dyDescent="0.25">
      <c r="A139" s="4" t="str">
        <f t="array" ref="A139:A146">R_CODE&amp;" "&amp;'Base data'!$D$11</f>
        <v>EU N2O</v>
      </c>
      <c r="B139" s="39">
        <f t="array" ref="B139:K146">cb_n2o*E_N2O_0/100</f>
        <v>9.9833509194992873E-4</v>
      </c>
      <c r="C139" s="39">
        <v>9.9667018389985743E-4</v>
      </c>
      <c r="D139" s="39">
        <v>1.0276504498212295E-3</v>
      </c>
      <c r="E139" s="39">
        <v>1.0069239064879683E-3</v>
      </c>
      <c r="F139" s="39">
        <v>9.8619736315470712E-4</v>
      </c>
      <c r="G139" s="39">
        <v>9.6290523882116132E-4</v>
      </c>
      <c r="H139" s="39">
        <v>9.0435125847484544E-4</v>
      </c>
      <c r="I139" s="39">
        <v>8.5774869065301967E-4</v>
      </c>
      <c r="J139" s="39">
        <v>8.5774869065301967E-4</v>
      </c>
      <c r="K139" s="39">
        <v>8.5774869065301967E-4</v>
      </c>
      <c r="M139" s="4" t="str">
        <f t="shared" ref="M139:M146" si="2">EMIT_NAME</f>
        <v>Mtonne</v>
      </c>
    </row>
    <row r="140" spans="1:13" s="7" customFormat="1" x14ac:dyDescent="0.25">
      <c r="A140" s="4" t="str">
        <v>US N2O</v>
      </c>
      <c r="B140" s="35">
        <v>9.9833509194992873E-4</v>
      </c>
      <c r="C140" s="35">
        <v>9.9667018389985743E-4</v>
      </c>
      <c r="D140" s="35">
        <v>1.0276504498212295E-3</v>
      </c>
      <c r="E140" s="35">
        <v>1.0069239064879683E-3</v>
      </c>
      <c r="F140" s="35">
        <v>9.8619736315470712E-4</v>
      </c>
      <c r="G140" s="35">
        <v>9.6290523882116132E-4</v>
      </c>
      <c r="H140" s="35">
        <v>9.0435125847484544E-4</v>
      </c>
      <c r="I140" s="35">
        <v>8.5774869065301967E-4</v>
      </c>
      <c r="J140" s="35">
        <v>8.5774869065301967E-4</v>
      </c>
      <c r="K140" s="35">
        <v>8.5774869065301967E-4</v>
      </c>
      <c r="M140" s="4" t="str">
        <f t="shared" si="2"/>
        <v>Mtonne</v>
      </c>
    </row>
    <row r="141" spans="1:13" s="7" customFormat="1" x14ac:dyDescent="0.25">
      <c r="A141" s="4" t="str">
        <v>OT N2O</v>
      </c>
      <c r="B141" s="35">
        <v>9.9833509194992873E-4</v>
      </c>
      <c r="C141" s="35">
        <v>9.9667018389985743E-4</v>
      </c>
      <c r="D141" s="35">
        <v>1.0276504498212295E-3</v>
      </c>
      <c r="E141" s="35">
        <v>1.0069239064879683E-3</v>
      </c>
      <c r="F141" s="35">
        <v>9.8619736315470712E-4</v>
      </c>
      <c r="G141" s="35">
        <v>9.6290523882116132E-4</v>
      </c>
      <c r="H141" s="35">
        <v>9.0435125847484544E-4</v>
      </c>
      <c r="I141" s="35">
        <v>8.5774869065301967E-4</v>
      </c>
      <c r="J141" s="35">
        <v>8.5774869065301967E-4</v>
      </c>
      <c r="K141" s="35">
        <v>8.5774869065301967E-4</v>
      </c>
      <c r="M141" s="4" t="str">
        <f t="shared" si="2"/>
        <v>Mtonne</v>
      </c>
    </row>
    <row r="142" spans="1:13" s="7" customFormat="1" x14ac:dyDescent="0.25">
      <c r="A142" s="4" t="str">
        <v>EE N2O</v>
      </c>
      <c r="B142" s="35">
        <v>1.0019120847025301E-3</v>
      </c>
      <c r="C142" s="35">
        <v>1.0038241694050602E-3</v>
      </c>
      <c r="D142" s="35">
        <v>1.0298338758736169E-3</v>
      </c>
      <c r="E142" s="35">
        <v>1.0278428091863782E-3</v>
      </c>
      <c r="F142" s="35">
        <v>1.0258517424991394E-3</v>
      </c>
      <c r="G142" s="35">
        <v>9.9686560807057977E-4</v>
      </c>
      <c r="H142" s="35">
        <v>9.2836335382981319E-4</v>
      </c>
      <c r="I142" s="35">
        <v>8.945245241929119E-4</v>
      </c>
      <c r="J142" s="35">
        <v>8.945245241929119E-4</v>
      </c>
      <c r="K142" s="35">
        <v>8.945245241929119E-4</v>
      </c>
      <c r="M142" s="4" t="str">
        <f t="shared" si="2"/>
        <v>Mtonne</v>
      </c>
    </row>
    <row r="143" spans="1:13" s="7" customFormat="1" x14ac:dyDescent="0.25">
      <c r="A143" s="4" t="str">
        <v>CA N2O</v>
      </c>
      <c r="B143" s="35">
        <v>1.0028713025991391E-3</v>
      </c>
      <c r="C143" s="35">
        <v>1.005742605198278E-3</v>
      </c>
      <c r="D143" s="35">
        <v>1.016249235885288E-3</v>
      </c>
      <c r="E143" s="35">
        <v>1.0608144944182257E-3</v>
      </c>
      <c r="F143" s="35">
        <v>1.1053797529511633E-3</v>
      </c>
      <c r="G143" s="35">
        <v>1.1105204261502044E-3</v>
      </c>
      <c r="H143" s="35">
        <v>1.1039658695559311E-3</v>
      </c>
      <c r="I143" s="35">
        <v>1.1047441305822622E-3</v>
      </c>
      <c r="J143" s="35">
        <v>1.1047441305822622E-3</v>
      </c>
      <c r="K143" s="35">
        <v>1.1047441305822622E-3</v>
      </c>
      <c r="M143" s="4" t="str">
        <f t="shared" si="2"/>
        <v>Mtonne</v>
      </c>
    </row>
    <row r="144" spans="1:13" s="7" customFormat="1" x14ac:dyDescent="0.25">
      <c r="A144" s="4" t="str">
        <v>IA N2O</v>
      </c>
      <c r="B144" s="35">
        <v>1.0028713025991391E-3</v>
      </c>
      <c r="C144" s="35">
        <v>1.005742605198278E-3</v>
      </c>
      <c r="D144" s="35">
        <v>1.016249235885288E-3</v>
      </c>
      <c r="E144" s="35">
        <v>1.0608144944182257E-3</v>
      </c>
      <c r="F144" s="35">
        <v>1.1053797529511633E-3</v>
      </c>
      <c r="G144" s="35">
        <v>1.1105204261502044E-3</v>
      </c>
      <c r="H144" s="35">
        <v>1.1039658695559311E-3</v>
      </c>
      <c r="I144" s="35">
        <v>1.1047441305822622E-3</v>
      </c>
      <c r="J144" s="35">
        <v>1.1047441305822622E-3</v>
      </c>
      <c r="K144" s="35">
        <v>1.1047441305822622E-3</v>
      </c>
      <c r="M144" s="4" t="str">
        <f t="shared" si="2"/>
        <v>Mtonne</v>
      </c>
    </row>
    <row r="145" spans="1:13" s="7" customFormat="1" x14ac:dyDescent="0.25">
      <c r="A145" s="4" t="str">
        <v>AF N2O</v>
      </c>
      <c r="B145" s="35">
        <v>9.9864866006912304E-4</v>
      </c>
      <c r="C145" s="35">
        <v>9.9729732013824628E-4</v>
      </c>
      <c r="D145" s="35">
        <v>1.0045374398066952E-3</v>
      </c>
      <c r="E145" s="35">
        <v>1.0370510067976102E-3</v>
      </c>
      <c r="F145" s="35">
        <v>1.0695645737885252E-3</v>
      </c>
      <c r="G145" s="35">
        <v>1.0890329672692271E-3</v>
      </c>
      <c r="H145" s="35">
        <v>1.1088057053055685E-3</v>
      </c>
      <c r="I145" s="35">
        <v>1.1176981889816032E-3</v>
      </c>
      <c r="J145" s="35">
        <v>1.1176981889816032E-3</v>
      </c>
      <c r="K145" s="35">
        <v>1.1176981889816032E-3</v>
      </c>
      <c r="M145" s="4" t="str">
        <f t="shared" si="2"/>
        <v>Mtonne</v>
      </c>
    </row>
    <row r="146" spans="1:13" s="7" customFormat="1" ht="13" thickBot="1" x14ac:dyDescent="0.3">
      <c r="A146" s="4" t="str">
        <v>LA N2O</v>
      </c>
      <c r="B146" s="49">
        <v>9.9864866006912304E-4</v>
      </c>
      <c r="C146" s="49">
        <v>9.9729732013824628E-4</v>
      </c>
      <c r="D146" s="49">
        <v>1.0045374398066952E-3</v>
      </c>
      <c r="E146" s="49">
        <v>1.0370510067976102E-3</v>
      </c>
      <c r="F146" s="49">
        <v>1.0695645737885252E-3</v>
      </c>
      <c r="G146" s="49">
        <v>1.0890329672692271E-3</v>
      </c>
      <c r="H146" s="49">
        <v>1.1088057053055685E-3</v>
      </c>
      <c r="I146" s="49">
        <v>1.1176981889816032E-3</v>
      </c>
      <c r="J146" s="49">
        <v>1.1176981889816032E-3</v>
      </c>
      <c r="K146" s="49">
        <v>1.1176981889816032E-3</v>
      </c>
      <c r="M146" s="4" t="str">
        <f t="shared" si="2"/>
        <v>Mtonne</v>
      </c>
    </row>
    <row r="147" spans="1:13" s="8" customFormat="1" ht="15.5" thickTop="1" x14ac:dyDescent="0.4">
      <c r="A147" s="8" t="s">
        <v>135</v>
      </c>
      <c r="B147" s="8" t="s">
        <v>351</v>
      </c>
    </row>
    <row r="148" spans="1:13" s="7" customFormat="1" x14ac:dyDescent="0.25">
      <c r="A148" s="4" t="str">
        <f t="array" ref="A148:A155">R_CODE&amp;" "&amp;GLIN_NAME</f>
        <v>EU Lin</v>
      </c>
      <c r="B148" s="39">
        <f t="array" ref="B148:K155">cb_glin*E_GLIN_0/100</f>
        <v>1.0334352169441708E-3</v>
      </c>
      <c r="C148" s="39">
        <v>1.0668704338883418E-3</v>
      </c>
      <c r="D148" s="39">
        <v>9.6875896168722899E-4</v>
      </c>
      <c r="E148" s="39">
        <v>1.0085034234321379E-3</v>
      </c>
      <c r="F148" s="39">
        <v>1.0482478851770464E-3</v>
      </c>
      <c r="G148" s="39">
        <v>1.0875556191500954E-3</v>
      </c>
      <c r="H148" s="39">
        <v>1.1747684926713203E-3</v>
      </c>
      <c r="I148" s="39">
        <v>1.2629835263284434E-3</v>
      </c>
      <c r="J148" s="39">
        <v>1.2629835263284434E-3</v>
      </c>
      <c r="K148" s="39">
        <v>1.2629835263284434E-3</v>
      </c>
      <c r="M148" s="4" t="str">
        <f t="shared" ref="M148:M155" si="3">EMIT_NAME</f>
        <v>Mtonne</v>
      </c>
    </row>
    <row r="149" spans="1:13" s="7" customFormat="1" x14ac:dyDescent="0.25">
      <c r="A149" s="4" t="str">
        <v>US Lin</v>
      </c>
      <c r="B149" s="35">
        <v>1.0334352169441708E-3</v>
      </c>
      <c r="C149" s="35">
        <v>1.0668704338883418E-3</v>
      </c>
      <c r="D149" s="35">
        <v>9.6875896168722899E-4</v>
      </c>
      <c r="E149" s="35">
        <v>1.0085034234321379E-3</v>
      </c>
      <c r="F149" s="35">
        <v>1.0482478851770464E-3</v>
      </c>
      <c r="G149" s="35">
        <v>1.0875556191500954E-3</v>
      </c>
      <c r="H149" s="35">
        <v>1.1747684926713203E-3</v>
      </c>
      <c r="I149" s="35">
        <v>1.2629835263284434E-3</v>
      </c>
      <c r="J149" s="35">
        <v>1.2629835263284434E-3</v>
      </c>
      <c r="K149" s="35">
        <v>1.2629835263284434E-3</v>
      </c>
      <c r="M149" s="4" t="str">
        <f t="shared" si="3"/>
        <v>Mtonne</v>
      </c>
    </row>
    <row r="150" spans="1:13" s="7" customFormat="1" x14ac:dyDescent="0.25">
      <c r="A150" s="4" t="str">
        <v>OT Lin</v>
      </c>
      <c r="B150" s="35">
        <v>1.0334352169441708E-3</v>
      </c>
      <c r="C150" s="35">
        <v>1.0668704338883418E-3</v>
      </c>
      <c r="D150" s="35">
        <v>9.6875896168722899E-4</v>
      </c>
      <c r="E150" s="35">
        <v>1.0085034234321379E-3</v>
      </c>
      <c r="F150" s="35">
        <v>1.0482478851770464E-3</v>
      </c>
      <c r="G150" s="35">
        <v>1.0875556191500954E-3</v>
      </c>
      <c r="H150" s="35">
        <v>1.1747684926713203E-3</v>
      </c>
      <c r="I150" s="35">
        <v>1.2629835263284434E-3</v>
      </c>
      <c r="J150" s="35">
        <v>1.2629835263284434E-3</v>
      </c>
      <c r="K150" s="35">
        <v>1.2629835263284434E-3</v>
      </c>
      <c r="M150" s="4" t="str">
        <f t="shared" si="3"/>
        <v>Mtonne</v>
      </c>
    </row>
    <row r="151" spans="1:13" s="7" customFormat="1" x14ac:dyDescent="0.25">
      <c r="A151" s="4" t="str">
        <v>EE Lin</v>
      </c>
      <c r="B151" s="35">
        <v>1.0367654879940211E-3</v>
      </c>
      <c r="C151" s="35">
        <v>1.073530975988042E-3</v>
      </c>
      <c r="D151" s="35">
        <v>1.8417706299250799E-3</v>
      </c>
      <c r="E151" s="35">
        <v>2.6646567829543954E-3</v>
      </c>
      <c r="F151" s="35">
        <v>3.4875429359837113E-3</v>
      </c>
      <c r="G151" s="35">
        <v>3.6120122188912922E-3</v>
      </c>
      <c r="H151" s="35">
        <v>3.6818074777942834E-3</v>
      </c>
      <c r="I151" s="35">
        <v>3.3418264302438601E-3</v>
      </c>
      <c r="J151" s="35">
        <v>3.3418264302438601E-3</v>
      </c>
      <c r="K151" s="35">
        <v>3.3418264302438601E-3</v>
      </c>
      <c r="M151" s="4" t="str">
        <f t="shared" si="3"/>
        <v>Mtonne</v>
      </c>
    </row>
    <row r="152" spans="1:13" s="7" customFormat="1" x14ac:dyDescent="0.25">
      <c r="A152" s="4" t="str">
        <v>CA Lin</v>
      </c>
      <c r="B152" s="35">
        <v>1.0635467939271511E-3</v>
      </c>
      <c r="C152" s="35">
        <v>1.1270935878543024E-3</v>
      </c>
      <c r="D152" s="35">
        <v>2.3443739996280386E-3</v>
      </c>
      <c r="E152" s="35">
        <v>4.5191101241726962E-3</v>
      </c>
      <c r="F152" s="35">
        <v>6.693846248717353E-3</v>
      </c>
      <c r="G152" s="35">
        <v>9.0999452298125942E-3</v>
      </c>
      <c r="H152" s="35">
        <v>1.1080138156849925E-2</v>
      </c>
      <c r="I152" s="35">
        <v>1.0292620872302934E-2</v>
      </c>
      <c r="J152" s="35">
        <v>1.0292620872302934E-2</v>
      </c>
      <c r="K152" s="35">
        <v>1.0292620872302934E-2</v>
      </c>
      <c r="M152" s="4" t="str">
        <f t="shared" si="3"/>
        <v>Mtonne</v>
      </c>
    </row>
    <row r="153" spans="1:13" s="7" customFormat="1" x14ac:dyDescent="0.25">
      <c r="A153" s="4" t="str">
        <v>IA Lin</v>
      </c>
      <c r="B153" s="35">
        <v>1.0635467939271511E-3</v>
      </c>
      <c r="C153" s="35">
        <v>1.1270935878543024E-3</v>
      </c>
      <c r="D153" s="35">
        <v>2.3443739996280386E-3</v>
      </c>
      <c r="E153" s="35">
        <v>4.5191101241726962E-3</v>
      </c>
      <c r="F153" s="35">
        <v>6.693846248717353E-3</v>
      </c>
      <c r="G153" s="35">
        <v>9.0999452298125942E-3</v>
      </c>
      <c r="H153" s="35">
        <v>1.1080138156849925E-2</v>
      </c>
      <c r="I153" s="35">
        <v>1.0292620872302934E-2</v>
      </c>
      <c r="J153" s="35">
        <v>1.0292620872302934E-2</v>
      </c>
      <c r="K153" s="35">
        <v>1.0292620872302934E-2</v>
      </c>
      <c r="M153" s="4" t="str">
        <f t="shared" si="3"/>
        <v>Mtonne</v>
      </c>
    </row>
    <row r="154" spans="1:13" s="7" customFormat="1" x14ac:dyDescent="0.25">
      <c r="A154" s="4" t="str">
        <v>AF Lin</v>
      </c>
      <c r="B154" s="35">
        <v>1.0761971843407929E-3</v>
      </c>
      <c r="C154" s="35">
        <v>1.1523943686815859E-3</v>
      </c>
      <c r="D154" s="35">
        <v>2.3619594623922268E-3</v>
      </c>
      <c r="E154" s="35">
        <v>4.7885717300527424E-3</v>
      </c>
      <c r="F154" s="35">
        <v>7.2151839977132592E-3</v>
      </c>
      <c r="G154" s="35">
        <v>8.7777616411943739E-3</v>
      </c>
      <c r="H154" s="35">
        <v>1.0069296280714761E-2</v>
      </c>
      <c r="I154" s="35">
        <v>9.5249948602985288E-3</v>
      </c>
      <c r="J154" s="35">
        <v>9.5249948602985288E-3</v>
      </c>
      <c r="K154" s="35">
        <v>9.5249948602985288E-3</v>
      </c>
      <c r="M154" s="4" t="str">
        <f t="shared" si="3"/>
        <v>Mtonne</v>
      </c>
    </row>
    <row r="155" spans="1:13" s="7" customFormat="1" ht="13" thickBot="1" x14ac:dyDescent="0.3">
      <c r="A155" s="4" t="str">
        <v>LA Lin</v>
      </c>
      <c r="B155" s="49">
        <v>1.0761971843407929E-3</v>
      </c>
      <c r="C155" s="49">
        <v>1.1523943686815859E-3</v>
      </c>
      <c r="D155" s="49">
        <v>2.3619594623922268E-3</v>
      </c>
      <c r="E155" s="49">
        <v>4.7885717300527424E-3</v>
      </c>
      <c r="F155" s="49">
        <v>7.2151839977132592E-3</v>
      </c>
      <c r="G155" s="49">
        <v>8.7777616411943739E-3</v>
      </c>
      <c r="H155" s="49">
        <v>1.0069296280714761E-2</v>
      </c>
      <c r="I155" s="49">
        <v>9.5249948602985288E-3</v>
      </c>
      <c r="J155" s="49">
        <v>9.5249948602985288E-3</v>
      </c>
      <c r="K155" s="49">
        <v>9.5249948602985288E-3</v>
      </c>
      <c r="M155" s="4" t="str">
        <f t="shared" si="3"/>
        <v>Mtonne</v>
      </c>
    </row>
    <row r="156" spans="1:13" s="2" customFormat="1" ht="15.5" thickTop="1" x14ac:dyDescent="0.4">
      <c r="A156" s="2" t="s">
        <v>347</v>
      </c>
      <c r="B156" s="2" t="s">
        <v>352</v>
      </c>
    </row>
    <row r="157" spans="1:13" s="6" customFormat="1" x14ac:dyDescent="0.25">
      <c r="A157" s="4" t="str">
        <f t="array" ref="A157:A164">R_CODE&amp;" "&amp;'Base data'!$B$11</f>
        <v>EU CO2</v>
      </c>
      <c r="B157" s="37">
        <f t="array" ref="B157:B164">0</f>
        <v>0</v>
      </c>
      <c r="C157" s="37">
        <f t="array" ref="C157:K164">cumcbe_co2+cbe_co2*YAGG</f>
        <v>0</v>
      </c>
      <c r="D157" s="37">
        <v>3138.3805027562339</v>
      </c>
      <c r="E157" s="37">
        <v>15344.393894892411</v>
      </c>
      <c r="F157" s="37">
        <v>35774.579885752231</v>
      </c>
      <c r="G157" s="37">
        <v>65185.6407235347</v>
      </c>
      <c r="H157" s="37">
        <v>112124.4407150654</v>
      </c>
      <c r="I157" s="37">
        <v>172903.77141804437</v>
      </c>
      <c r="J157" s="37">
        <v>321078.71539856237</v>
      </c>
      <c r="K157" s="37">
        <v>568834.24267604726</v>
      </c>
      <c r="M157" s="4" t="str">
        <f t="shared" ref="M157:M165" si="4">EMIT_NAME</f>
        <v>Mtonne</v>
      </c>
    </row>
    <row r="158" spans="1:13" s="6" customFormat="1" x14ac:dyDescent="0.25">
      <c r="A158" s="4" t="str">
        <v>US CO2</v>
      </c>
      <c r="B158" s="38">
        <v>0</v>
      </c>
      <c r="C158" s="38">
        <v>11477.001195010387</v>
      </c>
      <c r="D158" s="38">
        <v>39524.811247802485</v>
      </c>
      <c r="E158" s="38">
        <v>81164.873353656643</v>
      </c>
      <c r="F158" s="38">
        <v>136875.20757939323</v>
      </c>
      <c r="G158" s="38">
        <v>207067.11410012009</v>
      </c>
      <c r="H158" s="38">
        <v>314931.21729244583</v>
      </c>
      <c r="I158" s="38">
        <v>451434.78500061412</v>
      </c>
      <c r="J158" s="38">
        <v>748854.96653480479</v>
      </c>
      <c r="K158" s="38">
        <v>1314118.4622583129</v>
      </c>
      <c r="M158" s="4" t="str">
        <f t="shared" si="4"/>
        <v>Mtonne</v>
      </c>
    </row>
    <row r="159" spans="1:13" s="6" customFormat="1" x14ac:dyDescent="0.25">
      <c r="A159" s="4" t="str">
        <v>OT CO2</v>
      </c>
      <c r="B159" s="38">
        <v>0</v>
      </c>
      <c r="C159" s="38">
        <v>0</v>
      </c>
      <c r="D159" s="38">
        <v>0</v>
      </c>
      <c r="E159" s="38">
        <v>0</v>
      </c>
      <c r="F159" s="38">
        <v>0</v>
      </c>
      <c r="G159" s="38">
        <v>0</v>
      </c>
      <c r="H159" s="38">
        <v>2348.158801155228</v>
      </c>
      <c r="I159" s="38">
        <v>10354.111841136297</v>
      </c>
      <c r="J159" s="38">
        <v>25116.284717154067</v>
      </c>
      <c r="K159" s="38">
        <v>25116.284717154067</v>
      </c>
      <c r="M159" s="4" t="str">
        <f t="shared" si="4"/>
        <v>Mtonne</v>
      </c>
    </row>
    <row r="160" spans="1:13" s="6" customFormat="1" x14ac:dyDescent="0.25">
      <c r="A160" s="4" t="str">
        <v>EE CO2</v>
      </c>
      <c r="B160" s="38">
        <v>0</v>
      </c>
      <c r="C160" s="38">
        <v>0</v>
      </c>
      <c r="D160" s="38">
        <v>0</v>
      </c>
      <c r="E160" s="38">
        <v>0</v>
      </c>
      <c r="F160" s="38">
        <v>0</v>
      </c>
      <c r="G160" s="38">
        <v>0</v>
      </c>
      <c r="H160" s="38">
        <v>633.47281872849135</v>
      </c>
      <c r="I160" s="38">
        <v>7833.2933112993287</v>
      </c>
      <c r="J160" s="38">
        <v>21121.768376531581</v>
      </c>
      <c r="K160" s="38">
        <v>21121.768376531581</v>
      </c>
      <c r="M160" s="4" t="str">
        <f t="shared" si="4"/>
        <v>Mtonne</v>
      </c>
    </row>
    <row r="161" spans="1:13" s="6" customFormat="1" x14ac:dyDescent="0.25">
      <c r="A161" s="4" t="str">
        <v>CA CO2</v>
      </c>
      <c r="B161" s="38">
        <v>0</v>
      </c>
      <c r="C161" s="38">
        <v>0</v>
      </c>
      <c r="D161" s="38">
        <v>0</v>
      </c>
      <c r="E161" s="38">
        <v>0</v>
      </c>
      <c r="F161" s="38">
        <v>4860.022676563096</v>
      </c>
      <c r="G161" s="38">
        <v>25484.794684872293</v>
      </c>
      <c r="H161" s="38">
        <v>66405.878320359567</v>
      </c>
      <c r="I161" s="38">
        <v>138400.6878678457</v>
      </c>
      <c r="J161" s="38">
        <v>334633.01366576331</v>
      </c>
      <c r="K161" s="38">
        <v>608010.04229248199</v>
      </c>
      <c r="M161" s="4" t="str">
        <f t="shared" si="4"/>
        <v>Mtonne</v>
      </c>
    </row>
    <row r="162" spans="1:13" s="6" customFormat="1" x14ac:dyDescent="0.25">
      <c r="A162" s="4" t="str">
        <v>IA CO2</v>
      </c>
      <c r="B162" s="38">
        <v>0</v>
      </c>
      <c r="C162" s="38">
        <v>0</v>
      </c>
      <c r="D162" s="38">
        <v>0</v>
      </c>
      <c r="E162" s="38">
        <v>0</v>
      </c>
      <c r="F162" s="38">
        <v>7990.2953467365296</v>
      </c>
      <c r="G162" s="38">
        <v>41899.194702333043</v>
      </c>
      <c r="H162" s="38">
        <v>109176.97629229011</v>
      </c>
      <c r="I162" s="38">
        <v>227542.63629025393</v>
      </c>
      <c r="J162" s="38">
        <v>550165.46010209899</v>
      </c>
      <c r="K162" s="38">
        <v>999620.81146796211</v>
      </c>
      <c r="M162" s="4" t="str">
        <f t="shared" si="4"/>
        <v>Mtonne</v>
      </c>
    </row>
    <row r="163" spans="1:13" s="6" customFormat="1" x14ac:dyDescent="0.25">
      <c r="A163" s="4" t="str">
        <v>AF CO2</v>
      </c>
      <c r="B163" s="38">
        <v>0</v>
      </c>
      <c r="C163" s="38">
        <v>0</v>
      </c>
      <c r="D163" s="38">
        <v>0</v>
      </c>
      <c r="E163" s="38">
        <v>0</v>
      </c>
      <c r="F163" s="38">
        <v>5221.7051711907652</v>
      </c>
      <c r="G163" s="38">
        <v>25246.42914751362</v>
      </c>
      <c r="H163" s="38">
        <v>67058.681712174119</v>
      </c>
      <c r="I163" s="38">
        <v>139319.10245304491</v>
      </c>
      <c r="J163" s="38">
        <v>322664.24584684556</v>
      </c>
      <c r="K163" s="38">
        <v>578889.31443333277</v>
      </c>
      <c r="M163" s="4" t="str">
        <f t="shared" si="4"/>
        <v>Mtonne</v>
      </c>
    </row>
    <row r="164" spans="1:13" s="6" customFormat="1" ht="13" thickBot="1" x14ac:dyDescent="0.3">
      <c r="A164" s="4" t="str">
        <v>LA CO2</v>
      </c>
      <c r="B164" s="50">
        <v>0</v>
      </c>
      <c r="C164" s="50">
        <v>0</v>
      </c>
      <c r="D164" s="50">
        <v>0</v>
      </c>
      <c r="E164" s="50">
        <v>0</v>
      </c>
      <c r="F164" s="50">
        <v>4453.9865579235029</v>
      </c>
      <c r="G164" s="50">
        <v>21534.58542220822</v>
      </c>
      <c r="H164" s="50">
        <v>57199.412288913947</v>
      </c>
      <c r="I164" s="50">
        <v>118835.78050545597</v>
      </c>
      <c r="J164" s="50">
        <v>275224.69511557062</v>
      </c>
      <c r="K164" s="50">
        <v>493778.40005923697</v>
      </c>
      <c r="M164" s="4" t="str">
        <f t="shared" si="4"/>
        <v>Mtonne</v>
      </c>
    </row>
    <row r="165" spans="1:13" s="6" customFormat="1" ht="13" thickTop="1" x14ac:dyDescent="0.25">
      <c r="A165" s="80" t="s">
        <v>257</v>
      </c>
      <c r="B165" s="38">
        <f>SUM(B157:B164)</f>
        <v>0</v>
      </c>
      <c r="C165" s="38">
        <f t="shared" ref="C165:K165" si="5">SUM(C157:C164)</f>
        <v>11477.001195010387</v>
      </c>
      <c r="D165" s="38">
        <f t="shared" si="5"/>
        <v>42663.191750558719</v>
      </c>
      <c r="E165" s="38">
        <f t="shared" si="5"/>
        <v>96509.267248549062</v>
      </c>
      <c r="F165" s="38">
        <f t="shared" si="5"/>
        <v>195175.79721755933</v>
      </c>
      <c r="G165" s="38">
        <f t="shared" si="5"/>
        <v>386417.75878058199</v>
      </c>
      <c r="H165" s="38">
        <f t="shared" si="5"/>
        <v>729878.2382411327</v>
      </c>
      <c r="I165" s="38">
        <f t="shared" si="5"/>
        <v>1266624.1686876947</v>
      </c>
      <c r="J165" s="38">
        <f t="shared" si="5"/>
        <v>2598859.1497573312</v>
      </c>
      <c r="K165" s="38">
        <f t="shared" si="5"/>
        <v>4609489.3262810595</v>
      </c>
      <c r="M165" s="4" t="str">
        <f t="shared" si="4"/>
        <v>Mtonne</v>
      </c>
    </row>
    <row r="166" spans="1:13" s="8" customFormat="1" ht="15" x14ac:dyDescent="0.4">
      <c r="A166" s="2" t="s">
        <v>347</v>
      </c>
      <c r="B166" s="2" t="s">
        <v>353</v>
      </c>
      <c r="C166" s="2"/>
      <c r="D166" s="2"/>
      <c r="E166" s="2"/>
      <c r="F166" s="2"/>
      <c r="G166" s="2"/>
      <c r="H166" s="2"/>
      <c r="I166" s="2"/>
      <c r="J166" s="2"/>
      <c r="K166" s="2"/>
    </row>
    <row r="167" spans="1:13" s="7" customFormat="1" x14ac:dyDescent="0.25">
      <c r="A167" s="4" t="str">
        <f t="array" ref="A167:A174">R_CODE&amp;" "&amp;'Base data'!$C$11</f>
        <v>EU CH4</v>
      </c>
      <c r="B167" s="39">
        <f t="array" ref="B167:B174">0</f>
        <v>0</v>
      </c>
      <c r="C167" s="39">
        <f t="array" ref="C167:K174">cumcbe_ch4+cbe_ch4*YAGG</f>
        <v>1.5074824805181179E-2</v>
      </c>
      <c r="D167" s="39">
        <v>2.5174038317380673E-2</v>
      </c>
      <c r="E167" s="39">
        <v>3.5038505998763805E-2</v>
      </c>
      <c r="F167" s="39">
        <v>4.421416087246241E-2</v>
      </c>
      <c r="G167" s="39">
        <v>5.2688599523445463E-2</v>
      </c>
      <c r="H167" s="39">
        <v>6.4531776303478727E-2</v>
      </c>
      <c r="I167" s="39">
        <v>7.8404888765471012E-2</v>
      </c>
      <c r="J167" s="39">
        <v>0.11686504817341832</v>
      </c>
      <c r="K167" s="39">
        <v>0.18589610352101607</v>
      </c>
      <c r="M167" s="4" t="str">
        <f t="shared" ref="M167:M175" si="6">EMIT_NAME</f>
        <v>Mtonne</v>
      </c>
    </row>
    <row r="168" spans="1:13" s="7" customFormat="1" x14ac:dyDescent="0.25">
      <c r="A168" s="4" t="str">
        <v>US CH4</v>
      </c>
      <c r="B168" s="35">
        <v>0</v>
      </c>
      <c r="C168" s="35">
        <v>1.5074824805181179E-2</v>
      </c>
      <c r="D168" s="35">
        <v>2.5174038317380673E-2</v>
      </c>
      <c r="E168" s="35">
        <v>3.5038505998763805E-2</v>
      </c>
      <c r="F168" s="35">
        <v>4.421416087246241E-2</v>
      </c>
      <c r="G168" s="35">
        <v>5.2688599523445463E-2</v>
      </c>
      <c r="H168" s="35">
        <v>6.4531776303478727E-2</v>
      </c>
      <c r="I168" s="35">
        <v>7.8404888765471012E-2</v>
      </c>
      <c r="J168" s="35">
        <v>0.11686504817341832</v>
      </c>
      <c r="K168" s="35">
        <v>0.18589610352101607</v>
      </c>
      <c r="M168" s="4" t="str">
        <f t="shared" si="6"/>
        <v>Mtonne</v>
      </c>
    </row>
    <row r="169" spans="1:13" s="7" customFormat="1" x14ac:dyDescent="0.25">
      <c r="A169" s="4" t="str">
        <v>OT CH4</v>
      </c>
      <c r="B169" s="35">
        <v>0</v>
      </c>
      <c r="C169" s="35">
        <v>1.5074824805181179E-2</v>
      </c>
      <c r="D169" s="35">
        <v>2.5174038317380673E-2</v>
      </c>
      <c r="E169" s="35">
        <v>3.5038505998763805E-2</v>
      </c>
      <c r="F169" s="35">
        <v>4.421416087246241E-2</v>
      </c>
      <c r="G169" s="35">
        <v>5.2688599523445463E-2</v>
      </c>
      <c r="H169" s="35">
        <v>6.4531776303478727E-2</v>
      </c>
      <c r="I169" s="35">
        <v>7.8404888765471012E-2</v>
      </c>
      <c r="J169" s="35">
        <v>0.11686504817341832</v>
      </c>
      <c r="K169" s="35">
        <v>0.18589610352101607</v>
      </c>
      <c r="M169" s="4" t="str">
        <f t="shared" si="6"/>
        <v>Mtonne</v>
      </c>
    </row>
    <row r="170" spans="1:13" s="7" customFormat="1" x14ac:dyDescent="0.25">
      <c r="A170" s="4" t="str">
        <v>EE CH4</v>
      </c>
      <c r="B170" s="35">
        <v>0</v>
      </c>
      <c r="C170" s="35">
        <v>1.5656757429074037E-2</v>
      </c>
      <c r="D170" s="35">
        <v>2.6538293587168058E-2</v>
      </c>
      <c r="E170" s="35">
        <v>3.8156772326830651E-2</v>
      </c>
      <c r="F170" s="35">
        <v>4.8840483734748405E-2</v>
      </c>
      <c r="G170" s="35">
        <v>5.8572827383365014E-2</v>
      </c>
      <c r="H170" s="35">
        <v>7.1881562808510324E-2</v>
      </c>
      <c r="I170" s="35">
        <v>8.7080156682574794E-2</v>
      </c>
      <c r="J170" s="35">
        <v>0.12814855254013818</v>
      </c>
      <c r="K170" s="35">
        <v>0.20186105792550835</v>
      </c>
      <c r="M170" s="4" t="str">
        <f t="shared" si="6"/>
        <v>Mtonne</v>
      </c>
    </row>
    <row r="171" spans="1:13" s="7" customFormat="1" x14ac:dyDescent="0.25">
      <c r="A171" s="4" t="str">
        <v>CA CH4</v>
      </c>
      <c r="B171" s="35">
        <v>0</v>
      </c>
      <c r="C171" s="35">
        <v>1.5333344108955056E-2</v>
      </c>
      <c r="D171" s="35">
        <v>2.5780098723748632E-2</v>
      </c>
      <c r="E171" s="35">
        <v>3.8197503714773519E-2</v>
      </c>
      <c r="F171" s="35">
        <v>5.2169363306767851E-2</v>
      </c>
      <c r="G171" s="35">
        <v>6.7719121049551731E-2</v>
      </c>
      <c r="H171" s="35">
        <v>8.9698052416324309E-2</v>
      </c>
      <c r="I171" s="35">
        <v>0.11233916168344082</v>
      </c>
      <c r="J171" s="35">
        <v>0.16646212589382364</v>
      </c>
      <c r="K171" s="35">
        <v>0.26360590780989535</v>
      </c>
      <c r="M171" s="4" t="str">
        <f t="shared" si="6"/>
        <v>Mtonne</v>
      </c>
    </row>
    <row r="172" spans="1:13" s="7" customFormat="1" x14ac:dyDescent="0.25">
      <c r="A172" s="4" t="str">
        <v>IA CH4</v>
      </c>
      <c r="B172" s="35">
        <v>0</v>
      </c>
      <c r="C172" s="35">
        <v>1.5333344108955056E-2</v>
      </c>
      <c r="D172" s="35">
        <v>2.5780098723748632E-2</v>
      </c>
      <c r="E172" s="35">
        <v>3.8197503714773519E-2</v>
      </c>
      <c r="F172" s="35">
        <v>5.2169363306767851E-2</v>
      </c>
      <c r="G172" s="35">
        <v>6.7719121049551731E-2</v>
      </c>
      <c r="H172" s="35">
        <v>8.9698052416324309E-2</v>
      </c>
      <c r="I172" s="35">
        <v>0.11233916168344082</v>
      </c>
      <c r="J172" s="35">
        <v>0.16646212589382364</v>
      </c>
      <c r="K172" s="35">
        <v>0.26360590780989535</v>
      </c>
      <c r="M172" s="4" t="str">
        <f t="shared" si="6"/>
        <v>Mtonne</v>
      </c>
    </row>
    <row r="173" spans="1:13" s="7" customFormat="1" x14ac:dyDescent="0.25">
      <c r="A173" s="4" t="str">
        <v>AF CH4</v>
      </c>
      <c r="B173" s="35">
        <v>0</v>
      </c>
      <c r="C173" s="35">
        <v>1.5345664780249879E-2</v>
      </c>
      <c r="D173" s="35">
        <v>2.580898272174283E-2</v>
      </c>
      <c r="E173" s="35">
        <v>3.8549752098389969E-2</v>
      </c>
      <c r="F173" s="35">
        <v>5.2422148551199109E-2</v>
      </c>
      <c r="G173" s="35">
        <v>6.7442753428320165E-2</v>
      </c>
      <c r="H173" s="35">
        <v>8.9986208777121948E-2</v>
      </c>
      <c r="I173" s="35">
        <v>0.11742515523548153</v>
      </c>
      <c r="J173" s="35">
        <v>0.18168153483434563</v>
      </c>
      <c r="K173" s="35">
        <v>0.29701349821692219</v>
      </c>
      <c r="M173" s="4" t="str">
        <f t="shared" si="6"/>
        <v>Mtonne</v>
      </c>
    </row>
    <row r="174" spans="1:13" s="7" customFormat="1" ht="13" thickBot="1" x14ac:dyDescent="0.3">
      <c r="A174" s="4" t="str">
        <v>LA CH4</v>
      </c>
      <c r="B174" s="49">
        <v>0</v>
      </c>
      <c r="C174" s="49">
        <v>1.5345664780249879E-2</v>
      </c>
      <c r="D174" s="49">
        <v>2.580898272174283E-2</v>
      </c>
      <c r="E174" s="49">
        <v>3.8549752098389969E-2</v>
      </c>
      <c r="F174" s="49">
        <v>5.2422148551199109E-2</v>
      </c>
      <c r="G174" s="49">
        <v>6.7442753428320165E-2</v>
      </c>
      <c r="H174" s="49">
        <v>8.9986208777121948E-2</v>
      </c>
      <c r="I174" s="49">
        <v>0.11742515523548153</v>
      </c>
      <c r="J174" s="49">
        <v>0.18168153483434563</v>
      </c>
      <c r="K174" s="49">
        <v>0.29701349821692219</v>
      </c>
      <c r="M174" s="4" t="str">
        <f t="shared" si="6"/>
        <v>Mtonne</v>
      </c>
    </row>
    <row r="175" spans="1:13" s="6" customFormat="1" ht="13" thickTop="1" x14ac:dyDescent="0.25">
      <c r="A175" s="80" t="s">
        <v>257</v>
      </c>
      <c r="B175" s="35">
        <f t="shared" ref="B175:K175" si="7">SUM(B167:B174)</f>
        <v>0</v>
      </c>
      <c r="C175" s="35">
        <f t="shared" si="7"/>
        <v>0.12223924962302743</v>
      </c>
      <c r="D175" s="35">
        <f t="shared" si="7"/>
        <v>0.205238571430293</v>
      </c>
      <c r="E175" s="35">
        <f t="shared" si="7"/>
        <v>0.29676680194944899</v>
      </c>
      <c r="F175" s="35">
        <f t="shared" si="7"/>
        <v>0.39066599006806951</v>
      </c>
      <c r="G175" s="35">
        <f t="shared" si="7"/>
        <v>0.48696237490944527</v>
      </c>
      <c r="H175" s="35">
        <f t="shared" si="7"/>
        <v>0.62484541410583905</v>
      </c>
      <c r="I175" s="35">
        <f t="shared" si="7"/>
        <v>0.78182345681683252</v>
      </c>
      <c r="J175" s="35">
        <f t="shared" si="7"/>
        <v>1.1750310185167319</v>
      </c>
      <c r="K175" s="35">
        <f t="shared" si="7"/>
        <v>1.8807881805421915</v>
      </c>
      <c r="M175" s="4" t="str">
        <f t="shared" si="6"/>
        <v>Mtonne</v>
      </c>
    </row>
    <row r="176" spans="1:13" s="8" customFormat="1" ht="15" x14ac:dyDescent="0.4">
      <c r="A176" s="2" t="s">
        <v>347</v>
      </c>
      <c r="B176" s="8" t="s">
        <v>354</v>
      </c>
    </row>
    <row r="177" spans="1:13" s="7" customFormat="1" x14ac:dyDescent="0.25">
      <c r="A177" s="4" t="str">
        <f t="array" ref="A177:A184">R_CODE&amp;" "&amp;'Base data'!$D$11</f>
        <v>EU N2O</v>
      </c>
      <c r="B177" s="39">
        <f t="array" ref="B177:B184">0</f>
        <v>0</v>
      </c>
      <c r="C177" s="39">
        <f t="array" ref="C177:K184">cumcbe_n2o+cbe_n2o*YAGG</f>
        <v>1.4975026379248932E-2</v>
      </c>
      <c r="D177" s="39">
        <v>2.4941728218247507E-2</v>
      </c>
      <c r="E177" s="39">
        <v>3.5218232716459803E-2</v>
      </c>
      <c r="F177" s="39">
        <v>4.5287471781339489E-2</v>
      </c>
      <c r="G177" s="39">
        <v>5.5149445412886564E-2</v>
      </c>
      <c r="H177" s="39">
        <v>6.9593023995203979E-2</v>
      </c>
      <c r="I177" s="39">
        <v>8.7680049164700888E-2</v>
      </c>
      <c r="J177" s="39">
        <v>0.13914497060388206</v>
      </c>
      <c r="K177" s="39">
        <v>0.22491983966918402</v>
      </c>
      <c r="M177" s="4" t="str">
        <f t="shared" ref="M177:M185" si="8">EMIT_NAME</f>
        <v>Mtonne</v>
      </c>
    </row>
    <row r="178" spans="1:13" s="7" customFormat="1" x14ac:dyDescent="0.25">
      <c r="A178" s="4" t="str">
        <v>US N2O</v>
      </c>
      <c r="B178" s="35">
        <v>0</v>
      </c>
      <c r="C178" s="35">
        <v>1.4975026379248932E-2</v>
      </c>
      <c r="D178" s="35">
        <v>2.4941728218247507E-2</v>
      </c>
      <c r="E178" s="35">
        <v>3.5218232716459803E-2</v>
      </c>
      <c r="F178" s="35">
        <v>4.5287471781339489E-2</v>
      </c>
      <c r="G178" s="35">
        <v>5.5149445412886564E-2</v>
      </c>
      <c r="H178" s="35">
        <v>6.9593023995203979E-2</v>
      </c>
      <c r="I178" s="35">
        <v>8.7680049164700888E-2</v>
      </c>
      <c r="J178" s="35">
        <v>0.13914497060388206</v>
      </c>
      <c r="K178" s="35">
        <v>0.22491983966918402</v>
      </c>
      <c r="M178" s="4" t="str">
        <f t="shared" si="8"/>
        <v>Mtonne</v>
      </c>
    </row>
    <row r="179" spans="1:13" s="7" customFormat="1" x14ac:dyDescent="0.25">
      <c r="A179" s="4" t="str">
        <v>OT N2O</v>
      </c>
      <c r="B179" s="35">
        <v>0</v>
      </c>
      <c r="C179" s="35">
        <v>1.4975026379248932E-2</v>
      </c>
      <c r="D179" s="35">
        <v>2.4941728218247507E-2</v>
      </c>
      <c r="E179" s="35">
        <v>3.5218232716459803E-2</v>
      </c>
      <c r="F179" s="35">
        <v>4.5287471781339489E-2</v>
      </c>
      <c r="G179" s="35">
        <v>5.5149445412886564E-2</v>
      </c>
      <c r="H179" s="35">
        <v>6.9593023995203979E-2</v>
      </c>
      <c r="I179" s="35">
        <v>8.7680049164700888E-2</v>
      </c>
      <c r="J179" s="35">
        <v>0.13914497060388206</v>
      </c>
      <c r="K179" s="35">
        <v>0.22491983966918402</v>
      </c>
      <c r="M179" s="4" t="str">
        <f t="shared" si="8"/>
        <v>Mtonne</v>
      </c>
    </row>
    <row r="180" spans="1:13" s="7" customFormat="1" x14ac:dyDescent="0.25">
      <c r="A180" s="4" t="str">
        <v>EE N2O</v>
      </c>
      <c r="B180" s="35">
        <v>0</v>
      </c>
      <c r="C180" s="35">
        <v>1.5028681270537952E-2</v>
      </c>
      <c r="D180" s="35">
        <v>2.5066922964588553E-2</v>
      </c>
      <c r="E180" s="35">
        <v>3.5365261723324722E-2</v>
      </c>
      <c r="F180" s="35">
        <v>4.5643689815188501E-2</v>
      </c>
      <c r="G180" s="35">
        <v>5.5902207240179899E-2</v>
      </c>
      <c r="H180" s="35">
        <v>7.0855191361238593E-2</v>
      </c>
      <c r="I180" s="35">
        <v>8.9422458437834862E-2</v>
      </c>
      <c r="J180" s="35">
        <v>0.14309392988940958</v>
      </c>
      <c r="K180" s="35">
        <v>0.23254638230870078</v>
      </c>
      <c r="M180" s="4" t="str">
        <f t="shared" si="8"/>
        <v>Mtonne</v>
      </c>
    </row>
    <row r="181" spans="1:13" s="7" customFormat="1" x14ac:dyDescent="0.25">
      <c r="A181" s="4" t="str">
        <v>CA N2O</v>
      </c>
      <c r="B181" s="35">
        <v>0</v>
      </c>
      <c r="C181" s="35">
        <v>1.5043069538987087E-2</v>
      </c>
      <c r="D181" s="35">
        <v>2.5100495590969867E-2</v>
      </c>
      <c r="E181" s="35">
        <v>3.5262987949822744E-2</v>
      </c>
      <c r="F181" s="35">
        <v>4.5871132894005004E-2</v>
      </c>
      <c r="G181" s="35">
        <v>5.6924930423516637E-2</v>
      </c>
      <c r="H181" s="35">
        <v>7.3582736815769698E-2</v>
      </c>
      <c r="I181" s="35">
        <v>9.5662054206888322E-2</v>
      </c>
      <c r="J181" s="35">
        <v>0.16194670204182404</v>
      </c>
      <c r="K181" s="35">
        <v>0.27242111510005029</v>
      </c>
      <c r="M181" s="4" t="str">
        <f t="shared" si="8"/>
        <v>Mtonne</v>
      </c>
    </row>
    <row r="182" spans="1:13" s="7" customFormat="1" x14ac:dyDescent="0.25">
      <c r="A182" s="4" t="str">
        <v>IA N2O</v>
      </c>
      <c r="B182" s="35">
        <v>0</v>
      </c>
      <c r="C182" s="35">
        <v>1.5043069538987087E-2</v>
      </c>
      <c r="D182" s="35">
        <v>2.5100495590969867E-2</v>
      </c>
      <c r="E182" s="35">
        <v>3.5262987949822744E-2</v>
      </c>
      <c r="F182" s="35">
        <v>4.5871132894005004E-2</v>
      </c>
      <c r="G182" s="35">
        <v>5.6924930423516637E-2</v>
      </c>
      <c r="H182" s="35">
        <v>7.3582736815769698E-2</v>
      </c>
      <c r="I182" s="35">
        <v>9.5662054206888322E-2</v>
      </c>
      <c r="J182" s="35">
        <v>0.16194670204182404</v>
      </c>
      <c r="K182" s="35">
        <v>0.27242111510005029</v>
      </c>
      <c r="M182" s="4" t="str">
        <f t="shared" si="8"/>
        <v>Mtonne</v>
      </c>
    </row>
    <row r="183" spans="1:13" s="7" customFormat="1" x14ac:dyDescent="0.25">
      <c r="A183" s="4" t="str">
        <v>AF N2O</v>
      </c>
      <c r="B183" s="35">
        <v>0</v>
      </c>
      <c r="C183" s="35">
        <v>1.4979729901036846E-2</v>
      </c>
      <c r="D183" s="35">
        <v>2.4952703102419309E-2</v>
      </c>
      <c r="E183" s="35">
        <v>3.4998077500486259E-2</v>
      </c>
      <c r="F183" s="35">
        <v>4.5368587568462362E-2</v>
      </c>
      <c r="G183" s="35">
        <v>5.6064233306347619E-2</v>
      </c>
      <c r="H183" s="35">
        <v>7.2399727815386034E-2</v>
      </c>
      <c r="I183" s="35">
        <v>9.45758419214974E-2</v>
      </c>
      <c r="J183" s="35">
        <v>0.1616377332603936</v>
      </c>
      <c r="K183" s="35">
        <v>0.27340755215855395</v>
      </c>
      <c r="M183" s="4" t="str">
        <f t="shared" si="8"/>
        <v>Mtonne</v>
      </c>
    </row>
    <row r="184" spans="1:13" s="7" customFormat="1" ht="13" thickBot="1" x14ac:dyDescent="0.3">
      <c r="A184" s="4" t="str">
        <v>LA N2O</v>
      </c>
      <c r="B184" s="49">
        <v>0</v>
      </c>
      <c r="C184" s="49">
        <v>1.4979729901036846E-2</v>
      </c>
      <c r="D184" s="49">
        <v>2.4952703102419309E-2</v>
      </c>
      <c r="E184" s="49">
        <v>3.4998077500486259E-2</v>
      </c>
      <c r="F184" s="49">
        <v>4.5368587568462362E-2</v>
      </c>
      <c r="G184" s="49">
        <v>5.6064233306347619E-2</v>
      </c>
      <c r="H184" s="49">
        <v>7.2399727815386034E-2</v>
      </c>
      <c r="I184" s="49">
        <v>9.45758419214974E-2</v>
      </c>
      <c r="J184" s="49">
        <v>0.1616377332603936</v>
      </c>
      <c r="K184" s="49">
        <v>0.27340755215855395</v>
      </c>
      <c r="M184" s="4" t="str">
        <f t="shared" si="8"/>
        <v>Mtonne</v>
      </c>
    </row>
    <row r="185" spans="1:13" s="6" customFormat="1" ht="13" thickTop="1" x14ac:dyDescent="0.25">
      <c r="A185" s="80" t="s">
        <v>257</v>
      </c>
      <c r="B185" s="35">
        <f t="shared" ref="B185:K185" si="9">SUM(B177:B184)</f>
        <v>0</v>
      </c>
      <c r="C185" s="35">
        <f t="shared" si="9"/>
        <v>0.11999935928833261</v>
      </c>
      <c r="D185" s="35">
        <f t="shared" si="9"/>
        <v>0.19999850500610944</v>
      </c>
      <c r="E185" s="35">
        <f t="shared" si="9"/>
        <v>0.28154209077332215</v>
      </c>
      <c r="F185" s="35">
        <f t="shared" si="9"/>
        <v>0.36398554608414169</v>
      </c>
      <c r="G185" s="35">
        <f t="shared" si="9"/>
        <v>0.44732887093856816</v>
      </c>
      <c r="H185" s="35">
        <f t="shared" si="9"/>
        <v>0.57159919260916203</v>
      </c>
      <c r="I185" s="35">
        <f t="shared" si="9"/>
        <v>0.73293839818870887</v>
      </c>
      <c r="J185" s="35">
        <f t="shared" si="9"/>
        <v>1.2076977123054911</v>
      </c>
      <c r="K185" s="35">
        <f t="shared" si="9"/>
        <v>1.9989632358334615</v>
      </c>
      <c r="M185" s="4" t="str">
        <f t="shared" si="8"/>
        <v>Mtonne</v>
      </c>
    </row>
    <row r="186" spans="1:13" s="8" customFormat="1" ht="15" x14ac:dyDescent="0.4">
      <c r="A186" s="2" t="s">
        <v>347</v>
      </c>
      <c r="B186" s="8" t="s">
        <v>355</v>
      </c>
    </row>
    <row r="187" spans="1:13" s="7" customFormat="1" x14ac:dyDescent="0.25">
      <c r="A187" s="4" t="str">
        <f t="array" ref="A187:A194">R_CODE&amp;" "&amp;GLIN_NAME</f>
        <v>EU Lin</v>
      </c>
      <c r="B187" s="39">
        <f t="array" ref="B187:B194">0</f>
        <v>0</v>
      </c>
      <c r="C187" s="39">
        <f t="array" ref="C187:K194">cumcbe_glin+cbe_glin*YAGG</f>
        <v>1.5501528254162563E-2</v>
      </c>
      <c r="D187" s="39">
        <v>2.6170232593045982E-2</v>
      </c>
      <c r="E187" s="39">
        <v>3.5857822209918275E-2</v>
      </c>
      <c r="F187" s="39">
        <v>4.5942856444239649E-2</v>
      </c>
      <c r="G187" s="39">
        <v>5.6425335296010112E-2</v>
      </c>
      <c r="H187" s="39">
        <v>7.2738669583261542E-2</v>
      </c>
      <c r="I187" s="39">
        <v>9.6234039436687943E-2</v>
      </c>
      <c r="J187" s="39">
        <v>0.17201305101639452</v>
      </c>
      <c r="K187" s="39">
        <v>0.29831140364923886</v>
      </c>
      <c r="M187" s="4" t="str">
        <f t="shared" ref="M187:M195" si="10">EMIT_NAME</f>
        <v>Mtonne</v>
      </c>
    </row>
    <row r="188" spans="1:13" s="7" customFormat="1" x14ac:dyDescent="0.25">
      <c r="A188" s="4" t="str">
        <v>US Lin</v>
      </c>
      <c r="B188" s="35">
        <v>0</v>
      </c>
      <c r="C188" s="35">
        <v>1.5501528254162563E-2</v>
      </c>
      <c r="D188" s="35">
        <v>2.6170232593045982E-2</v>
      </c>
      <c r="E188" s="35">
        <v>3.5857822209918275E-2</v>
      </c>
      <c r="F188" s="35">
        <v>4.5942856444239649E-2</v>
      </c>
      <c r="G188" s="35">
        <v>5.6425335296010112E-2</v>
      </c>
      <c r="H188" s="35">
        <v>7.2738669583261542E-2</v>
      </c>
      <c r="I188" s="35">
        <v>9.6234039436687943E-2</v>
      </c>
      <c r="J188" s="35">
        <v>0.17201305101639452</v>
      </c>
      <c r="K188" s="35">
        <v>0.29831140364923886</v>
      </c>
      <c r="M188" s="4" t="str">
        <f t="shared" si="10"/>
        <v>Mtonne</v>
      </c>
    </row>
    <row r="189" spans="1:13" s="7" customFormat="1" x14ac:dyDescent="0.25">
      <c r="A189" s="4" t="str">
        <v>OT Lin</v>
      </c>
      <c r="B189" s="35">
        <v>0</v>
      </c>
      <c r="C189" s="35">
        <v>1.5501528254162563E-2</v>
      </c>
      <c r="D189" s="35">
        <v>2.6170232593045982E-2</v>
      </c>
      <c r="E189" s="35">
        <v>3.5857822209918275E-2</v>
      </c>
      <c r="F189" s="35">
        <v>4.5942856444239649E-2</v>
      </c>
      <c r="G189" s="35">
        <v>5.6425335296010112E-2</v>
      </c>
      <c r="H189" s="35">
        <v>7.2738669583261542E-2</v>
      </c>
      <c r="I189" s="35">
        <v>9.6234039436687943E-2</v>
      </c>
      <c r="J189" s="35">
        <v>0.17201305101639452</v>
      </c>
      <c r="K189" s="35">
        <v>0.29831140364923886</v>
      </c>
      <c r="M189" s="4" t="str">
        <f t="shared" si="10"/>
        <v>Mtonne</v>
      </c>
    </row>
    <row r="190" spans="1:13" s="7" customFormat="1" x14ac:dyDescent="0.25">
      <c r="A190" s="4" t="str">
        <v>EE Lin</v>
      </c>
      <c r="B190" s="35">
        <v>0</v>
      </c>
      <c r="C190" s="35">
        <v>1.5551482319910317E-2</v>
      </c>
      <c r="D190" s="35">
        <v>2.6286792079790736E-2</v>
      </c>
      <c r="E190" s="35">
        <v>4.4704498379041537E-2</v>
      </c>
      <c r="F190" s="35">
        <v>7.1351066208585487E-2</v>
      </c>
      <c r="G190" s="35">
        <v>0.10622649556842259</v>
      </c>
      <c r="H190" s="35">
        <v>0.16040667885179197</v>
      </c>
      <c r="I190" s="35">
        <v>0.23404282840767765</v>
      </c>
      <c r="J190" s="35">
        <v>0.43455241422230928</v>
      </c>
      <c r="K190" s="35">
        <v>0.76873505724669533</v>
      </c>
      <c r="M190" s="4" t="str">
        <f t="shared" si="10"/>
        <v>Mtonne</v>
      </c>
    </row>
    <row r="191" spans="1:13" s="7" customFormat="1" x14ac:dyDescent="0.25">
      <c r="A191" s="4" t="str">
        <v>CA Lin</v>
      </c>
      <c r="B191" s="35">
        <v>0</v>
      </c>
      <c r="C191" s="35">
        <v>1.5953201908907266E-2</v>
      </c>
      <c r="D191" s="35">
        <v>2.7224137787450288E-2</v>
      </c>
      <c r="E191" s="35">
        <v>5.0667877783730678E-2</v>
      </c>
      <c r="F191" s="35">
        <v>9.5858979025457647E-2</v>
      </c>
      <c r="G191" s="35">
        <v>0.16279744151263117</v>
      </c>
      <c r="H191" s="35">
        <v>0.2992966199598201</v>
      </c>
      <c r="I191" s="35">
        <v>0.5208993830968186</v>
      </c>
      <c r="J191" s="35">
        <v>1.1384566354349945</v>
      </c>
      <c r="K191" s="35">
        <v>2.1677187226652879</v>
      </c>
      <c r="M191" s="4" t="str">
        <f t="shared" si="10"/>
        <v>Mtonne</v>
      </c>
    </row>
    <row r="192" spans="1:13" s="7" customFormat="1" x14ac:dyDescent="0.25">
      <c r="A192" s="4" t="str">
        <v>IA Lin</v>
      </c>
      <c r="B192" s="35">
        <v>0</v>
      </c>
      <c r="C192" s="35">
        <v>1.5953201908907266E-2</v>
      </c>
      <c r="D192" s="35">
        <v>2.7224137787450288E-2</v>
      </c>
      <c r="E192" s="35">
        <v>5.0667877783730678E-2</v>
      </c>
      <c r="F192" s="35">
        <v>9.5858979025457647E-2</v>
      </c>
      <c r="G192" s="35">
        <v>0.16279744151263117</v>
      </c>
      <c r="H192" s="35">
        <v>0.2992966199598201</v>
      </c>
      <c r="I192" s="35">
        <v>0.5208993830968186</v>
      </c>
      <c r="J192" s="35">
        <v>1.1384566354349945</v>
      </c>
      <c r="K192" s="35">
        <v>2.1677187226652879</v>
      </c>
      <c r="M192" s="4" t="str">
        <f t="shared" si="10"/>
        <v>Mtonne</v>
      </c>
    </row>
    <row r="193" spans="1:13" s="7" customFormat="1" x14ac:dyDescent="0.25">
      <c r="A193" s="4" t="str">
        <v>AF Lin</v>
      </c>
      <c r="B193" s="35">
        <v>0</v>
      </c>
      <c r="C193" s="35">
        <v>1.6142957765111893E-2</v>
      </c>
      <c r="D193" s="35">
        <v>2.7666901451927753E-2</v>
      </c>
      <c r="E193" s="35">
        <v>5.1286496075850022E-2</v>
      </c>
      <c r="F193" s="35">
        <v>9.9172213376377438E-2</v>
      </c>
      <c r="G193" s="35">
        <v>0.17132405335351003</v>
      </c>
      <c r="H193" s="35">
        <v>0.30299047797142564</v>
      </c>
      <c r="I193" s="35">
        <v>0.50437640358572089</v>
      </c>
      <c r="J193" s="35">
        <v>1.0758760952036326</v>
      </c>
      <c r="K193" s="35">
        <v>2.0283755812334854</v>
      </c>
      <c r="M193" s="4" t="str">
        <f t="shared" si="10"/>
        <v>Mtonne</v>
      </c>
    </row>
    <row r="194" spans="1:13" s="7" customFormat="1" ht="13" thickBot="1" x14ac:dyDescent="0.3">
      <c r="A194" s="4" t="str">
        <v>LA Lin</v>
      </c>
      <c r="B194" s="49">
        <v>0</v>
      </c>
      <c r="C194" s="49">
        <v>1.6142957765111893E-2</v>
      </c>
      <c r="D194" s="49">
        <v>2.7666901451927753E-2</v>
      </c>
      <c r="E194" s="49">
        <v>5.1286496075850022E-2</v>
      </c>
      <c r="F194" s="49">
        <v>9.9172213376377438E-2</v>
      </c>
      <c r="G194" s="49">
        <v>0.17132405335351003</v>
      </c>
      <c r="H194" s="49">
        <v>0.30299047797142564</v>
      </c>
      <c r="I194" s="49">
        <v>0.50437640358572089</v>
      </c>
      <c r="J194" s="49">
        <v>1.0758760952036326</v>
      </c>
      <c r="K194" s="49">
        <v>2.0283755812334854</v>
      </c>
      <c r="M194" s="4" t="str">
        <f t="shared" si="10"/>
        <v>Mtonne</v>
      </c>
    </row>
    <row r="195" spans="1:13" s="6" customFormat="1" ht="13" thickTop="1" x14ac:dyDescent="0.25">
      <c r="A195" s="80" t="s">
        <v>257</v>
      </c>
      <c r="B195" s="35">
        <f t="shared" ref="B195:K195" si="11">SUM(B187:B194)</f>
        <v>0</v>
      </c>
      <c r="C195" s="35">
        <f t="shared" si="11"/>
        <v>0.12624838643043632</v>
      </c>
      <c r="D195" s="35">
        <f t="shared" si="11"/>
        <v>0.21457956833768471</v>
      </c>
      <c r="E195" s="35">
        <f t="shared" si="11"/>
        <v>0.35618671272795771</v>
      </c>
      <c r="F195" s="35">
        <f t="shared" si="11"/>
        <v>0.59924202034497465</v>
      </c>
      <c r="G195" s="35">
        <f t="shared" si="11"/>
        <v>0.94374549118873552</v>
      </c>
      <c r="H195" s="35">
        <f t="shared" si="11"/>
        <v>1.5831968834640682</v>
      </c>
      <c r="I195" s="35">
        <f t="shared" si="11"/>
        <v>2.5732965200828208</v>
      </c>
      <c r="J195" s="35">
        <f t="shared" si="11"/>
        <v>5.3792570285487464</v>
      </c>
      <c r="K195" s="35">
        <f t="shared" si="11"/>
        <v>10.055857875991958</v>
      </c>
      <c r="M195" s="4" t="str">
        <f t="shared" si="10"/>
        <v>Mtonne</v>
      </c>
    </row>
    <row r="196" spans="1:13" s="2" customFormat="1" ht="15" x14ac:dyDescent="0.4">
      <c r="A196" s="2" t="s">
        <v>356</v>
      </c>
      <c r="B196" s="2" t="s">
        <v>357</v>
      </c>
    </row>
    <row r="197" spans="1:13" s="6" customFormat="1" x14ac:dyDescent="0.25">
      <c r="A197" s="4" t="str">
        <f t="array" ref="A197:A204">R_CODE&amp;" "&amp;'Base data'!$B$11</f>
        <v>EU CO2</v>
      </c>
      <c r="B197" s="45">
        <f t="array" ref="B197:K204">((CROSS*cumcbe_co2_g+(1-CROSS)*cumcbe_co2+IES_CO2)/IES_CO2)^-(LN(1/(1-LEARN))/LN(2))</f>
        <v>1</v>
      </c>
      <c r="C197" s="45">
        <v>0.99512288613125544</v>
      </c>
      <c r="D197" s="45">
        <v>0.97739031156523803</v>
      </c>
      <c r="E197" s="45">
        <v>0.94034989029442029</v>
      </c>
      <c r="F197" s="45">
        <v>0.88705718831517533</v>
      </c>
      <c r="G197" s="45">
        <v>0.81850222454877042</v>
      </c>
      <c r="H197" s="45">
        <v>0.73784898483739858</v>
      </c>
      <c r="I197" s="45">
        <v>0.66143108243849691</v>
      </c>
      <c r="J197" s="45">
        <v>0.55643402394762775</v>
      </c>
      <c r="K197" s="45">
        <v>0.4737845109401968</v>
      </c>
      <c r="M197" s="4"/>
    </row>
    <row r="198" spans="1:13" s="6" customFormat="1" x14ac:dyDescent="0.25">
      <c r="A198" s="4" t="str">
        <v>US CO2</v>
      </c>
      <c r="B198" s="46">
        <v>1</v>
      </c>
      <c r="C198" s="46">
        <v>0.97654452675332204</v>
      </c>
      <c r="D198" s="46">
        <v>0.92648404551670371</v>
      </c>
      <c r="E198" s="46">
        <v>0.86633961182480357</v>
      </c>
      <c r="F198" s="46">
        <v>0.80126145928653436</v>
      </c>
      <c r="G198" s="46">
        <v>0.73343121563085345</v>
      </c>
      <c r="H198" s="46">
        <v>0.65898383163656082</v>
      </c>
      <c r="I198" s="46">
        <v>0.59198362111777669</v>
      </c>
      <c r="J198" s="46">
        <v>0.50288573156098504</v>
      </c>
      <c r="K198" s="46">
        <v>0.42608235980183801</v>
      </c>
      <c r="M198" s="4"/>
    </row>
    <row r="199" spans="1:13" s="6" customFormat="1" x14ac:dyDescent="0.25">
      <c r="A199" s="4" t="str">
        <v>OT CO2</v>
      </c>
      <c r="B199" s="46">
        <v>1</v>
      </c>
      <c r="C199" s="46">
        <v>0.99512288613125544</v>
      </c>
      <c r="D199" s="46">
        <v>0.98234693801017436</v>
      </c>
      <c r="E199" s="46">
        <v>0.96178078011255785</v>
      </c>
      <c r="F199" s="46">
        <v>0.9282434535966767</v>
      </c>
      <c r="G199" s="46">
        <v>0.87478124673759683</v>
      </c>
      <c r="H199" s="46">
        <v>0.80185089480651228</v>
      </c>
      <c r="I199" s="46">
        <v>0.7225519548422985</v>
      </c>
      <c r="J199" s="46">
        <v>0.61188107332364861</v>
      </c>
      <c r="K199" s="46">
        <v>0.52778476956911258</v>
      </c>
      <c r="M199" s="4"/>
    </row>
    <row r="200" spans="1:13" s="6" customFormat="1" x14ac:dyDescent="0.25">
      <c r="A200" s="4" t="str">
        <v>EE CO2</v>
      </c>
      <c r="B200" s="46">
        <v>1</v>
      </c>
      <c r="C200" s="46">
        <v>0.99512288613125544</v>
      </c>
      <c r="D200" s="46">
        <v>0.98234693801017436</v>
      </c>
      <c r="E200" s="46">
        <v>0.96178078011255785</v>
      </c>
      <c r="F200" s="46">
        <v>0.9282434535966767</v>
      </c>
      <c r="G200" s="46">
        <v>0.87478124673759683</v>
      </c>
      <c r="H200" s="46">
        <v>0.80304336656809328</v>
      </c>
      <c r="I200" s="46">
        <v>0.72369532028167194</v>
      </c>
      <c r="J200" s="46">
        <v>0.61279634179375564</v>
      </c>
      <c r="K200" s="46">
        <v>0.52828295615863796</v>
      </c>
      <c r="M200" s="4"/>
    </row>
    <row r="201" spans="1:13" s="6" customFormat="1" x14ac:dyDescent="0.25">
      <c r="A201" s="4" t="str">
        <v>CA CO2</v>
      </c>
      <c r="B201" s="46">
        <v>1</v>
      </c>
      <c r="C201" s="46">
        <v>0.99512288613125544</v>
      </c>
      <c r="D201" s="46">
        <v>0.98234693801017436</v>
      </c>
      <c r="E201" s="46">
        <v>0.96178078011255785</v>
      </c>
      <c r="F201" s="46">
        <v>0.92217950345209665</v>
      </c>
      <c r="G201" s="46">
        <v>0.85092057653468889</v>
      </c>
      <c r="H201" s="46">
        <v>0.76189964779719777</v>
      </c>
      <c r="I201" s="46">
        <v>0.67266274758280764</v>
      </c>
      <c r="J201" s="46">
        <v>0.55435390006676488</v>
      </c>
      <c r="K201" s="46">
        <v>0.470695782776344</v>
      </c>
      <c r="M201" s="4"/>
    </row>
    <row r="202" spans="1:13" s="6" customFormat="1" x14ac:dyDescent="0.25">
      <c r="A202" s="4" t="str">
        <v>IA CO2</v>
      </c>
      <c r="B202" s="46">
        <v>1</v>
      </c>
      <c r="C202" s="46">
        <v>0.99512288613125544</v>
      </c>
      <c r="D202" s="46">
        <v>0.98234693801017436</v>
      </c>
      <c r="E202" s="46">
        <v>0.96178078011255785</v>
      </c>
      <c r="F202" s="46">
        <v>0.91835867699762086</v>
      </c>
      <c r="G202" s="46">
        <v>0.83688552546600536</v>
      </c>
      <c r="H202" s="46">
        <v>0.7393071374928234</v>
      </c>
      <c r="I202" s="46">
        <v>0.6451102438066616</v>
      </c>
      <c r="J202" s="46">
        <v>0.52502738427422346</v>
      </c>
      <c r="K202" s="46">
        <v>0.4437394228786678</v>
      </c>
      <c r="M202" s="4"/>
    </row>
    <row r="203" spans="1:13" s="6" customFormat="1" x14ac:dyDescent="0.25">
      <c r="A203" s="4" t="str">
        <v>AF CO2</v>
      </c>
      <c r="B203" s="46">
        <v>1</v>
      </c>
      <c r="C203" s="46">
        <v>0.99512288613125544</v>
      </c>
      <c r="D203" s="46">
        <v>0.98234693801017436</v>
      </c>
      <c r="E203" s="46">
        <v>0.96178078011255785</v>
      </c>
      <c r="F203" s="46">
        <v>0.92173469075147885</v>
      </c>
      <c r="G203" s="46">
        <v>0.85113159798827853</v>
      </c>
      <c r="H203" s="46">
        <v>0.76153308395868291</v>
      </c>
      <c r="I203" s="46">
        <v>0.67235352334832377</v>
      </c>
      <c r="J203" s="46">
        <v>0.55618904101499334</v>
      </c>
      <c r="K203" s="46">
        <v>0.47298379759249132</v>
      </c>
      <c r="M203" s="4"/>
    </row>
    <row r="204" spans="1:13" s="6" customFormat="1" ht="13" thickBot="1" x14ac:dyDescent="0.3">
      <c r="A204" s="4" t="str">
        <v>LA CO2</v>
      </c>
      <c r="B204" s="47">
        <v>1</v>
      </c>
      <c r="C204" s="47">
        <v>0.99512288613125544</v>
      </c>
      <c r="D204" s="47">
        <v>0.98234693801017436</v>
      </c>
      <c r="E204" s="47">
        <v>0.96178078011255785</v>
      </c>
      <c r="F204" s="47">
        <v>0.92267991609272038</v>
      </c>
      <c r="G204" s="47">
        <v>0.85444563000519969</v>
      </c>
      <c r="H204" s="47">
        <v>0.7671477569270384</v>
      </c>
      <c r="I204" s="47">
        <v>0.67939225442783291</v>
      </c>
      <c r="J204" s="47">
        <v>0.56371684556382695</v>
      </c>
      <c r="K204" s="47">
        <v>0.47994300676198381</v>
      </c>
      <c r="M204" s="4"/>
    </row>
    <row r="205" spans="1:13" s="2" customFormat="1" ht="15.5" thickTop="1" x14ac:dyDescent="0.4">
      <c r="A205" s="2" t="s">
        <v>356</v>
      </c>
      <c r="B205" s="2" t="s">
        <v>358</v>
      </c>
    </row>
    <row r="206" spans="1:13" s="7" customFormat="1" x14ac:dyDescent="0.25">
      <c r="A206" s="4" t="str">
        <f t="array" ref="A206:A213">R_CODE&amp;" "&amp;'Base data'!$C$11</f>
        <v>EU CH4</v>
      </c>
      <c r="B206" s="39">
        <f t="array" ref="B206:K213">((CROSS*cumcbe_ch4_g+(1-CROSS)*cumcbe_ch4+IES_CH4)/IES_CH4)^-(LN(1/(1-LEARN))/LN(2))</f>
        <v>1</v>
      </c>
      <c r="C206" s="39">
        <v>0.99999412364217177</v>
      </c>
      <c r="D206" s="39">
        <v>0.99999015130084346</v>
      </c>
      <c r="E206" s="39">
        <v>0.99998593469727703</v>
      </c>
      <c r="F206" s="39">
        <v>0.99998173053728256</v>
      </c>
      <c r="G206" s="39">
        <v>0.99997753957263924</v>
      </c>
      <c r="H206" s="39">
        <v>0.99997157629272981</v>
      </c>
      <c r="I206" s="39">
        <v>0.99996473716498124</v>
      </c>
      <c r="J206" s="39">
        <v>0.99994712933302976</v>
      </c>
      <c r="K206" s="39">
        <v>0.99991552872512102</v>
      </c>
      <c r="M206" s="4"/>
    </row>
    <row r="207" spans="1:13" s="7" customFormat="1" x14ac:dyDescent="0.25">
      <c r="A207" s="4" t="str">
        <v>US CH4</v>
      </c>
      <c r="B207" s="35">
        <v>1</v>
      </c>
      <c r="C207" s="35">
        <v>0.99999412364217177</v>
      </c>
      <c r="D207" s="35">
        <v>0.99999015130084346</v>
      </c>
      <c r="E207" s="35">
        <v>0.99998593469727703</v>
      </c>
      <c r="F207" s="35">
        <v>0.99998173053728256</v>
      </c>
      <c r="G207" s="35">
        <v>0.99997753957263924</v>
      </c>
      <c r="H207" s="35">
        <v>0.99997157629272981</v>
      </c>
      <c r="I207" s="35">
        <v>0.99996473716498124</v>
      </c>
      <c r="J207" s="35">
        <v>0.99994712933302976</v>
      </c>
      <c r="K207" s="35">
        <v>0.99991552872512102</v>
      </c>
      <c r="M207" s="4"/>
    </row>
    <row r="208" spans="1:13" s="7" customFormat="1" x14ac:dyDescent="0.25">
      <c r="A208" s="4" t="str">
        <v>OT CH4</v>
      </c>
      <c r="B208" s="35">
        <v>1</v>
      </c>
      <c r="C208" s="35">
        <v>0.99999412364217177</v>
      </c>
      <c r="D208" s="35">
        <v>0.99999015130084346</v>
      </c>
      <c r="E208" s="35">
        <v>0.99998593469727703</v>
      </c>
      <c r="F208" s="35">
        <v>0.99998173053728256</v>
      </c>
      <c r="G208" s="35">
        <v>0.99997753957263924</v>
      </c>
      <c r="H208" s="35">
        <v>0.99997157629272981</v>
      </c>
      <c r="I208" s="35">
        <v>0.99996473716498124</v>
      </c>
      <c r="J208" s="35">
        <v>0.99994712933302976</v>
      </c>
      <c r="K208" s="35">
        <v>0.99991552872512102</v>
      </c>
      <c r="M208" s="4"/>
    </row>
    <row r="209" spans="1:13" s="7" customFormat="1" x14ac:dyDescent="0.25">
      <c r="A209" s="4" t="str">
        <v>EE CH4</v>
      </c>
      <c r="B209" s="35">
        <v>1</v>
      </c>
      <c r="C209" s="35">
        <v>0.99999404870780695</v>
      </c>
      <c r="D209" s="35">
        <v>0.9999899756311712</v>
      </c>
      <c r="E209" s="35">
        <v>0.99998553317778394</v>
      </c>
      <c r="F209" s="35">
        <v>0.99998113484537965</v>
      </c>
      <c r="G209" s="35">
        <v>0.9999767819243931</v>
      </c>
      <c r="H209" s="35">
        <v>0.99997062996392139</v>
      </c>
      <c r="I209" s="35">
        <v>0.99996362020430363</v>
      </c>
      <c r="J209" s="35">
        <v>0.99994567666195822</v>
      </c>
      <c r="K209" s="35">
        <v>0.9999134736198475</v>
      </c>
      <c r="M209" s="4"/>
    </row>
    <row r="210" spans="1:13" s="7" customFormat="1" x14ac:dyDescent="0.25">
      <c r="A210" s="4" t="str">
        <v>CA CH4</v>
      </c>
      <c r="B210" s="35">
        <v>1</v>
      </c>
      <c r="C210" s="35">
        <v>0.99999409035312647</v>
      </c>
      <c r="D210" s="35">
        <v>0.99999007326086331</v>
      </c>
      <c r="E210" s="35">
        <v>0.99998552793306428</v>
      </c>
      <c r="F210" s="35">
        <v>0.99998070621501922</v>
      </c>
      <c r="G210" s="35">
        <v>0.99997560425996823</v>
      </c>
      <c r="H210" s="35">
        <v>0.99996833599998114</v>
      </c>
      <c r="I210" s="35">
        <v>0.99996036807854527</v>
      </c>
      <c r="J210" s="35">
        <v>0.9999407441260928</v>
      </c>
      <c r="K210" s="35">
        <v>0.99990552561341373</v>
      </c>
      <c r="M210" s="4"/>
    </row>
    <row r="211" spans="1:13" s="7" customFormat="1" x14ac:dyDescent="0.25">
      <c r="A211" s="4" t="str">
        <v>IA CH4</v>
      </c>
      <c r="B211" s="35">
        <v>1</v>
      </c>
      <c r="C211" s="35">
        <v>0.99999409035312647</v>
      </c>
      <c r="D211" s="35">
        <v>0.99999007326086331</v>
      </c>
      <c r="E211" s="35">
        <v>0.99998552793306428</v>
      </c>
      <c r="F211" s="35">
        <v>0.99998070621501922</v>
      </c>
      <c r="G211" s="35">
        <v>0.99997560425996823</v>
      </c>
      <c r="H211" s="35">
        <v>0.99996833599998114</v>
      </c>
      <c r="I211" s="35">
        <v>0.99996036807854527</v>
      </c>
      <c r="J211" s="35">
        <v>0.9999407441260928</v>
      </c>
      <c r="K211" s="35">
        <v>0.99990552561341373</v>
      </c>
      <c r="M211" s="4"/>
    </row>
    <row r="212" spans="1:13" s="7" customFormat="1" x14ac:dyDescent="0.25">
      <c r="A212" s="4" t="str">
        <v>AF CH4</v>
      </c>
      <c r="B212" s="35">
        <v>1</v>
      </c>
      <c r="C212" s="35">
        <v>0.99999408876661677</v>
      </c>
      <c r="D212" s="35">
        <v>0.99999006954158676</v>
      </c>
      <c r="E212" s="35">
        <v>0.99998548257630337</v>
      </c>
      <c r="F212" s="35">
        <v>0.9999806736661313</v>
      </c>
      <c r="G212" s="35">
        <v>0.99997563984460636</v>
      </c>
      <c r="H212" s="35">
        <v>0.99996829889855698</v>
      </c>
      <c r="I212" s="35">
        <v>0.99995971325631638</v>
      </c>
      <c r="J212" s="35">
        <v>0.99993878478866793</v>
      </c>
      <c r="K212" s="35">
        <v>0.9999012253832531</v>
      </c>
      <c r="M212" s="4"/>
    </row>
    <row r="213" spans="1:13" s="7" customFormat="1" ht="13" thickBot="1" x14ac:dyDescent="0.3">
      <c r="A213" s="4" t="str">
        <v>LA CH4</v>
      </c>
      <c r="B213" s="49">
        <v>1</v>
      </c>
      <c r="C213" s="49">
        <v>0.99999408876661677</v>
      </c>
      <c r="D213" s="49">
        <v>0.99999006954158676</v>
      </c>
      <c r="E213" s="49">
        <v>0.99998548257630337</v>
      </c>
      <c r="F213" s="49">
        <v>0.9999806736661313</v>
      </c>
      <c r="G213" s="49">
        <v>0.99997563984460636</v>
      </c>
      <c r="H213" s="49">
        <v>0.99996829889855698</v>
      </c>
      <c r="I213" s="49">
        <v>0.99995971325631638</v>
      </c>
      <c r="J213" s="49">
        <v>0.99993878478866793</v>
      </c>
      <c r="K213" s="49">
        <v>0.9999012253832531</v>
      </c>
      <c r="M213" s="4"/>
    </row>
    <row r="214" spans="1:13" s="2" customFormat="1" ht="15.5" thickTop="1" x14ac:dyDescent="0.4">
      <c r="A214" s="2" t="s">
        <v>356</v>
      </c>
      <c r="B214" s="2" t="s">
        <v>359</v>
      </c>
    </row>
    <row r="215" spans="1:13" s="7" customFormat="1" x14ac:dyDescent="0.25">
      <c r="A215" s="4" t="str">
        <f t="array" ref="A215:A222">R_CODE&amp;" "&amp;'Base data'!$D$11</f>
        <v>EU N2O</v>
      </c>
      <c r="B215" s="39">
        <f t="array" ref="B215:K222">((CROSS*cumcbe_n2o_g+(1-CROSS)*cumcbe_n2o+IES_N2O)/IES_N2O)^-(LN(1/(1-LEARN))/LN(2))</f>
        <v>1</v>
      </c>
      <c r="C215" s="39">
        <v>0.99978291669547947</v>
      </c>
      <c r="D215" s="39">
        <v>0.99963838273652539</v>
      </c>
      <c r="E215" s="39">
        <v>0.99949058103152433</v>
      </c>
      <c r="F215" s="39">
        <v>0.99934278377006147</v>
      </c>
      <c r="G215" s="39">
        <v>0.99919499101176068</v>
      </c>
      <c r="H215" s="39">
        <v>0.99897604530128481</v>
      </c>
      <c r="I215" s="39">
        <v>0.99869527729220875</v>
      </c>
      <c r="J215" s="39">
        <v>0.99787937703109797</v>
      </c>
      <c r="K215" s="39">
        <v>0.99652560239506249</v>
      </c>
      <c r="M215" s="4"/>
    </row>
    <row r="216" spans="1:13" s="7" customFormat="1" x14ac:dyDescent="0.25">
      <c r="A216" s="4" t="str">
        <v>US N2O</v>
      </c>
      <c r="B216" s="35">
        <v>1</v>
      </c>
      <c r="C216" s="35">
        <v>0.99978291669547947</v>
      </c>
      <c r="D216" s="35">
        <v>0.99963838273652539</v>
      </c>
      <c r="E216" s="35">
        <v>0.99949058103152433</v>
      </c>
      <c r="F216" s="35">
        <v>0.99934278377006147</v>
      </c>
      <c r="G216" s="35">
        <v>0.99919499101176068</v>
      </c>
      <c r="H216" s="35">
        <v>0.99897604530128481</v>
      </c>
      <c r="I216" s="35">
        <v>0.99869527729220875</v>
      </c>
      <c r="J216" s="35">
        <v>0.99787937703109797</v>
      </c>
      <c r="K216" s="35">
        <v>0.99652560239506249</v>
      </c>
      <c r="M216" s="4"/>
    </row>
    <row r="217" spans="1:13" s="7" customFormat="1" x14ac:dyDescent="0.25">
      <c r="A217" s="4" t="str">
        <v>OT N2O</v>
      </c>
      <c r="B217" s="35">
        <v>1</v>
      </c>
      <c r="C217" s="35">
        <v>0.99978291669547947</v>
      </c>
      <c r="D217" s="35">
        <v>0.99963838273652539</v>
      </c>
      <c r="E217" s="35">
        <v>0.99949058103152433</v>
      </c>
      <c r="F217" s="35">
        <v>0.99934278377006147</v>
      </c>
      <c r="G217" s="35">
        <v>0.99919499101176068</v>
      </c>
      <c r="H217" s="35">
        <v>0.99897604530128481</v>
      </c>
      <c r="I217" s="35">
        <v>0.99869527729220875</v>
      </c>
      <c r="J217" s="35">
        <v>0.99787937703109797</v>
      </c>
      <c r="K217" s="35">
        <v>0.99652560239506249</v>
      </c>
      <c r="M217" s="4"/>
    </row>
    <row r="218" spans="1:13" s="7" customFormat="1" x14ac:dyDescent="0.25">
      <c r="A218" s="4" t="str">
        <v>EE N2O</v>
      </c>
      <c r="B218" s="35">
        <v>1</v>
      </c>
      <c r="C218" s="35">
        <v>0.9997826578312442</v>
      </c>
      <c r="D218" s="35">
        <v>0.99963777907888363</v>
      </c>
      <c r="E218" s="35">
        <v>0.9994898725250333</v>
      </c>
      <c r="F218" s="35">
        <v>0.99934106826467006</v>
      </c>
      <c r="G218" s="35">
        <v>0.99919136801193331</v>
      </c>
      <c r="H218" s="35">
        <v>0.99896997605617333</v>
      </c>
      <c r="I218" s="35">
        <v>0.99868690846575914</v>
      </c>
      <c r="J218" s="35">
        <v>0.99786047405853828</v>
      </c>
      <c r="K218" s="35">
        <v>0.99648929972660083</v>
      </c>
      <c r="M218" s="4"/>
    </row>
    <row r="219" spans="1:13" s="7" customFormat="1" x14ac:dyDescent="0.25">
      <c r="A219" s="4" t="str">
        <v>CA N2O</v>
      </c>
      <c r="B219" s="35">
        <v>1</v>
      </c>
      <c r="C219" s="35">
        <v>0.99978258841342393</v>
      </c>
      <c r="D219" s="35">
        <v>0.99963761720036071</v>
      </c>
      <c r="E219" s="35">
        <v>0.99949036536383995</v>
      </c>
      <c r="F219" s="35">
        <v>0.99933997293108889</v>
      </c>
      <c r="G219" s="35">
        <v>0.99918644578989424</v>
      </c>
      <c r="H219" s="35">
        <v>0.99895686092607228</v>
      </c>
      <c r="I219" s="35">
        <v>0.9986569419248138</v>
      </c>
      <c r="J219" s="35">
        <v>0.99777024942065984</v>
      </c>
      <c r="K219" s="35">
        <v>0.99629958267491292</v>
      </c>
      <c r="M219" s="4"/>
    </row>
    <row r="220" spans="1:13" s="7" customFormat="1" x14ac:dyDescent="0.25">
      <c r="A220" s="4" t="str">
        <v>IA N2O</v>
      </c>
      <c r="B220" s="35">
        <v>1</v>
      </c>
      <c r="C220" s="35">
        <v>0.99978258841342393</v>
      </c>
      <c r="D220" s="35">
        <v>0.99963761720036071</v>
      </c>
      <c r="E220" s="35">
        <v>0.99949036536383995</v>
      </c>
      <c r="F220" s="35">
        <v>0.99933997293108889</v>
      </c>
      <c r="G220" s="35">
        <v>0.99918644578989424</v>
      </c>
      <c r="H220" s="35">
        <v>0.99895686092607228</v>
      </c>
      <c r="I220" s="35">
        <v>0.9986569419248138</v>
      </c>
      <c r="J220" s="35">
        <v>0.99777024942065984</v>
      </c>
      <c r="K220" s="35">
        <v>0.99629958267491292</v>
      </c>
      <c r="M220" s="4"/>
    </row>
    <row r="221" spans="1:13" s="7" customFormat="1" x14ac:dyDescent="0.25">
      <c r="A221" s="4" t="str">
        <v>AF N2O</v>
      </c>
      <c r="B221" s="35">
        <v>1</v>
      </c>
      <c r="C221" s="35">
        <v>0.9997828940027832</v>
      </c>
      <c r="D221" s="35">
        <v>0.9996383298183289</v>
      </c>
      <c r="E221" s="35">
        <v>0.99949164192399587</v>
      </c>
      <c r="F221" s="35">
        <v>0.99934239312462614</v>
      </c>
      <c r="G221" s="35">
        <v>0.99919058819675421</v>
      </c>
      <c r="H221" s="35">
        <v>0.99896254921995553</v>
      </c>
      <c r="I221" s="35">
        <v>0.99866215834747019</v>
      </c>
      <c r="J221" s="35">
        <v>0.99777172779775303</v>
      </c>
      <c r="K221" s="35">
        <v>0.99629489125841575</v>
      </c>
      <c r="M221" s="4"/>
    </row>
    <row r="222" spans="1:13" s="7" customFormat="1" ht="13" thickBot="1" x14ac:dyDescent="0.3">
      <c r="A222" s="4" t="str">
        <v>LA N2O</v>
      </c>
      <c r="B222" s="49">
        <v>1</v>
      </c>
      <c r="C222" s="49">
        <v>0.9997828940027832</v>
      </c>
      <c r="D222" s="49">
        <v>0.9996383298183289</v>
      </c>
      <c r="E222" s="49">
        <v>0.99949164192399587</v>
      </c>
      <c r="F222" s="49">
        <v>0.99934239312462614</v>
      </c>
      <c r="G222" s="49">
        <v>0.99919058819675421</v>
      </c>
      <c r="H222" s="49">
        <v>0.99896254921995553</v>
      </c>
      <c r="I222" s="49">
        <v>0.99866215834747019</v>
      </c>
      <c r="J222" s="49">
        <v>0.99777172779775303</v>
      </c>
      <c r="K222" s="49">
        <v>0.99629489125841575</v>
      </c>
      <c r="M222" s="4"/>
    </row>
    <row r="223" spans="1:13" s="2" customFormat="1" ht="15.5" thickTop="1" x14ac:dyDescent="0.4">
      <c r="A223" s="2" t="s">
        <v>356</v>
      </c>
      <c r="B223" s="2" t="s">
        <v>360</v>
      </c>
    </row>
    <row r="224" spans="1:13" s="7" customFormat="1" x14ac:dyDescent="0.25">
      <c r="A224" s="4" t="str">
        <f t="array" ref="A224:A231">R_CODE&amp;" "&amp;GLIN_NAME</f>
        <v>EU Lin</v>
      </c>
      <c r="B224" s="39">
        <f t="array" ref="B224:K231">((CROSS*cumcbe_glin_g+(1-CROSS)*cumcbe_glin+IES_GLIN)/IES_GLIN)^-(LN(1/(1-LEARN))/LN(2))</f>
        <v>1</v>
      </c>
      <c r="C224" s="39">
        <v>0.99999393963417249</v>
      </c>
      <c r="D224" s="39">
        <v>0.99998972232446626</v>
      </c>
      <c r="E224" s="39">
        <v>0.99998391642398265</v>
      </c>
      <c r="F224" s="39">
        <v>0.99997479390181609</v>
      </c>
      <c r="G224" s="39">
        <v>0.99996235513068632</v>
      </c>
      <c r="H224" s="39">
        <v>0.99993967326861444</v>
      </c>
      <c r="I224" s="39">
        <v>0.99990478479564726</v>
      </c>
      <c r="J224" s="39">
        <v>0.99980475456315365</v>
      </c>
      <c r="K224" s="39">
        <v>0.99963812878062841</v>
      </c>
      <c r="M224" s="4"/>
    </row>
    <row r="225" spans="1:13" s="7" customFormat="1" x14ac:dyDescent="0.25">
      <c r="A225" s="4" t="str">
        <v>US Lin</v>
      </c>
      <c r="B225" s="35">
        <v>1</v>
      </c>
      <c r="C225" s="35">
        <v>0.99999393963417249</v>
      </c>
      <c r="D225" s="35">
        <v>0.99998972232446626</v>
      </c>
      <c r="E225" s="35">
        <v>0.99998391642398265</v>
      </c>
      <c r="F225" s="35">
        <v>0.99997479390181609</v>
      </c>
      <c r="G225" s="35">
        <v>0.99996235513068632</v>
      </c>
      <c r="H225" s="35">
        <v>0.99993967326861444</v>
      </c>
      <c r="I225" s="35">
        <v>0.99990478479564726</v>
      </c>
      <c r="J225" s="35">
        <v>0.99980475456315365</v>
      </c>
      <c r="K225" s="35">
        <v>0.99963812878062841</v>
      </c>
      <c r="M225" s="4"/>
    </row>
    <row r="226" spans="1:13" s="7" customFormat="1" x14ac:dyDescent="0.25">
      <c r="A226" s="4" t="str">
        <v>OT Lin</v>
      </c>
      <c r="B226" s="35">
        <v>1</v>
      </c>
      <c r="C226" s="35">
        <v>0.99999393963417249</v>
      </c>
      <c r="D226" s="35">
        <v>0.99998972232446626</v>
      </c>
      <c r="E226" s="35">
        <v>0.99998391642398265</v>
      </c>
      <c r="F226" s="35">
        <v>0.99997479390181609</v>
      </c>
      <c r="G226" s="35">
        <v>0.99996235513068632</v>
      </c>
      <c r="H226" s="35">
        <v>0.99993967326861444</v>
      </c>
      <c r="I226" s="35">
        <v>0.99990478479564726</v>
      </c>
      <c r="J226" s="35">
        <v>0.99980475456315365</v>
      </c>
      <c r="K226" s="35">
        <v>0.99963812878062841</v>
      </c>
      <c r="M226" s="4"/>
    </row>
    <row r="227" spans="1:13" s="7" customFormat="1" x14ac:dyDescent="0.25">
      <c r="A227" s="4" t="str">
        <v>EE Lin</v>
      </c>
      <c r="B227" s="35">
        <v>1</v>
      </c>
      <c r="C227" s="35">
        <v>0.99999393320168573</v>
      </c>
      <c r="D227" s="35">
        <v>0.99998970731559067</v>
      </c>
      <c r="E227" s="35">
        <v>0.99998277730443974</v>
      </c>
      <c r="F227" s="35">
        <v>0.99997152241579923</v>
      </c>
      <c r="G227" s="35">
        <v>0.99995594324929993</v>
      </c>
      <c r="H227" s="35">
        <v>0.9999283872083351</v>
      </c>
      <c r="I227" s="35">
        <v>0.99988704657062311</v>
      </c>
      <c r="J227" s="35">
        <v>0.99977097648387447</v>
      </c>
      <c r="K227" s="35">
        <v>0.99957764922143877</v>
      </c>
      <c r="M227" s="4"/>
    </row>
    <row r="228" spans="1:13" s="7" customFormat="1" x14ac:dyDescent="0.25">
      <c r="A228" s="4" t="str">
        <v>CA Lin</v>
      </c>
      <c r="B228" s="35">
        <v>1</v>
      </c>
      <c r="C228" s="35">
        <v>0.99999388147305124</v>
      </c>
      <c r="D228" s="35">
        <v>0.99998958661755499</v>
      </c>
      <c r="E228" s="35">
        <v>0.99998200944820814</v>
      </c>
      <c r="F228" s="35">
        <v>0.99996836689099744</v>
      </c>
      <c r="G228" s="35">
        <v>0.99994865996525928</v>
      </c>
      <c r="H228" s="35">
        <v>0.99991050809378967</v>
      </c>
      <c r="I228" s="35">
        <v>0.99985012762584169</v>
      </c>
      <c r="J228" s="35">
        <v>0.99968043591640443</v>
      </c>
      <c r="K228" s="35">
        <v>0.99939787898926358</v>
      </c>
      <c r="M228" s="4"/>
    </row>
    <row r="229" spans="1:13" s="7" customFormat="1" x14ac:dyDescent="0.25">
      <c r="A229" s="4" t="str">
        <v>IA Lin</v>
      </c>
      <c r="B229" s="35">
        <v>1</v>
      </c>
      <c r="C229" s="35">
        <v>0.99999388147305124</v>
      </c>
      <c r="D229" s="35">
        <v>0.99998958661755499</v>
      </c>
      <c r="E229" s="35">
        <v>0.99998200944820814</v>
      </c>
      <c r="F229" s="35">
        <v>0.99996836689099744</v>
      </c>
      <c r="G229" s="35">
        <v>0.99994865996525928</v>
      </c>
      <c r="H229" s="35">
        <v>0.99991050809378967</v>
      </c>
      <c r="I229" s="35">
        <v>0.99985012762584169</v>
      </c>
      <c r="J229" s="35">
        <v>0.99968043591640443</v>
      </c>
      <c r="K229" s="35">
        <v>0.99939787898926358</v>
      </c>
      <c r="M229" s="4"/>
    </row>
    <row r="230" spans="1:13" s="7" customFormat="1" x14ac:dyDescent="0.25">
      <c r="A230" s="4" t="str">
        <v>AF Lin</v>
      </c>
      <c r="B230" s="35">
        <v>1</v>
      </c>
      <c r="C230" s="35">
        <v>0.9999938570385698</v>
      </c>
      <c r="D230" s="35">
        <v>0.99998952960477427</v>
      </c>
      <c r="E230" s="35">
        <v>0.99998192979386247</v>
      </c>
      <c r="F230" s="35">
        <v>0.99996794029749891</v>
      </c>
      <c r="G230" s="35">
        <v>0.99994756221682601</v>
      </c>
      <c r="H230" s="35">
        <v>0.99991003260635669</v>
      </c>
      <c r="I230" s="35">
        <v>0.99985225401054123</v>
      </c>
      <c r="J230" s="35">
        <v>0.99968848405368915</v>
      </c>
      <c r="K230" s="35">
        <v>0.99941577871309606</v>
      </c>
      <c r="M230" s="4"/>
    </row>
    <row r="231" spans="1:13" s="7" customFormat="1" ht="13" thickBot="1" x14ac:dyDescent="0.3">
      <c r="A231" s="4" t="str">
        <v>LA Lin</v>
      </c>
      <c r="B231" s="49">
        <v>1</v>
      </c>
      <c r="C231" s="49">
        <v>0.9999938570385698</v>
      </c>
      <c r="D231" s="49">
        <v>0.99998952960477427</v>
      </c>
      <c r="E231" s="49">
        <v>0.99998192979386247</v>
      </c>
      <c r="F231" s="49">
        <v>0.99996794029749891</v>
      </c>
      <c r="G231" s="49">
        <v>0.99994756221682601</v>
      </c>
      <c r="H231" s="49">
        <v>0.99991003260635669</v>
      </c>
      <c r="I231" s="49">
        <v>0.99985225401054123</v>
      </c>
      <c r="J231" s="49">
        <v>0.99968848405368915</v>
      </c>
      <c r="K231" s="49">
        <v>0.99941577871309606</v>
      </c>
      <c r="M231" s="4"/>
    </row>
    <row r="232" spans="1:13" s="2" customFormat="1" ht="13.5" thickTop="1" x14ac:dyDescent="0.3">
      <c r="A232" s="2" t="s">
        <v>361</v>
      </c>
      <c r="B232" s="2" t="s">
        <v>362</v>
      </c>
    </row>
    <row r="233" spans="1:13" s="7" customFormat="1" ht="13" thickBot="1" x14ac:dyDescent="0.3">
      <c r="A233" s="4"/>
      <c r="B233" s="47">
        <f t="array" ref="B233:K233">(1-AUTO/100)^YMINUSY0</f>
        <v>0.98574317438306291</v>
      </c>
      <c r="C233" s="47">
        <v>0.97168960584279762</v>
      </c>
      <c r="D233" s="47">
        <v>0.95783639657850661</v>
      </c>
      <c r="E233" s="47">
        <v>0.94418069010293137</v>
      </c>
      <c r="F233" s="47">
        <v>0.93071967065325456</v>
      </c>
      <c r="G233" s="47">
        <v>0.91745056261049807</v>
      </c>
      <c r="H233" s="47">
        <v>0.89147717556324768</v>
      </c>
      <c r="I233" s="47">
        <v>0.86623910534090265</v>
      </c>
      <c r="J233" s="47">
        <v>0.75037018762180752</v>
      </c>
      <c r="K233" s="47">
        <v>0.6499999999999998</v>
      </c>
      <c r="M233" s="4"/>
    </row>
    <row r="234" spans="1:13" s="2" customFormat="1" ht="13.5" thickTop="1" x14ac:dyDescent="0.3">
      <c r="A234" s="2" t="s">
        <v>372</v>
      </c>
      <c r="B234" s="2" t="s">
        <v>373</v>
      </c>
    </row>
    <row r="235" spans="1:13" s="7" customFormat="1" x14ac:dyDescent="0.25">
      <c r="A235" s="80" t="s">
        <v>14</v>
      </c>
      <c r="B235" s="35">
        <f t="array" ref="B235:K235">C0_INIT_CO2*(1+C0G/100)^YMINUSY0</f>
        <v>-231.91957706904191</v>
      </c>
      <c r="C235" s="35">
        <v>-230.51438672385891</v>
      </c>
      <c r="D235" s="35">
        <v>-229.11771036413222</v>
      </c>
      <c r="E235" s="35">
        <v>-227.72949640400472</v>
      </c>
      <c r="F235" s="35">
        <v>-226.3496935701757</v>
      </c>
      <c r="G235" s="35">
        <v>-224.97825090000708</v>
      </c>
      <c r="H235" s="35">
        <v>-222.26024374212977</v>
      </c>
      <c r="I235" s="35">
        <v>-219.57507337127834</v>
      </c>
      <c r="J235" s="35">
        <v>-206.62805508381373</v>
      </c>
      <c r="K235" s="35">
        <v>-194.4444444088904</v>
      </c>
      <c r="M235" s="43" t="str">
        <f>CURRENCY_NAME&amp;" per "&amp;EMIT_NAME</f>
        <v>$million per Mtonne</v>
      </c>
    </row>
    <row r="236" spans="1:13" s="7" customFormat="1" x14ac:dyDescent="0.25">
      <c r="A236" s="80" t="s">
        <v>15</v>
      </c>
      <c r="B236" s="35">
        <f t="array" ref="B236:K236">C0_INIT_CH4*(1+C0G/100)^YMINUSY0</f>
        <v>-4307.0778601376187</v>
      </c>
      <c r="C236" s="35">
        <v>-4280.9814680110703</v>
      </c>
      <c r="D236" s="35">
        <v>-4255.0431927572936</v>
      </c>
      <c r="E236" s="35">
        <v>-4229.2620763532259</v>
      </c>
      <c r="F236" s="35">
        <v>-4203.6371665804254</v>
      </c>
      <c r="G236" s="35">
        <v>-4178.1675169899008</v>
      </c>
      <c r="H236" s="35">
        <v>-4127.6902411974224</v>
      </c>
      <c r="I236" s="35">
        <v>-4077.8227914497506</v>
      </c>
      <c r="J236" s="35">
        <v>-3837.3781660952691</v>
      </c>
      <c r="K236" s="35">
        <v>-3611.1111106889171</v>
      </c>
      <c r="M236" s="43" t="str">
        <f>CURRENCY_NAME&amp;" per "&amp;EMIT_NAME</f>
        <v>$million per Mtonne</v>
      </c>
    </row>
    <row r="237" spans="1:13" s="7" customFormat="1" x14ac:dyDescent="0.25">
      <c r="A237" s="80" t="s">
        <v>182</v>
      </c>
      <c r="B237" s="35">
        <f t="array" ref="B237:K237">C0_INIT_N2O*(1+C0G/100)^YMINUSY0</f>
        <v>-7288.9009943084175</v>
      </c>
      <c r="C237" s="35">
        <v>-7244.7378691697932</v>
      </c>
      <c r="D237" s="35">
        <v>-7200.8423264312505</v>
      </c>
      <c r="E237" s="35">
        <v>-7157.212744822994</v>
      </c>
      <c r="F237" s="35">
        <v>-7113.8475128984292</v>
      </c>
      <c r="G237" s="35">
        <v>-7070.7450289746457</v>
      </c>
      <c r="H237" s="35">
        <v>-6985.3219468616098</v>
      </c>
      <c r="I237" s="35">
        <v>-6900.9308780552019</v>
      </c>
      <c r="J237" s="35">
        <v>-6494.0245889809667</v>
      </c>
      <c r="K237" s="35">
        <v>-6111.1111105889368</v>
      </c>
      <c r="M237" s="43" t="str">
        <f>CURRENCY_NAME&amp;" per "&amp;EMIT_NAME</f>
        <v>$million per Mtonne</v>
      </c>
    </row>
    <row r="238" spans="1:13" s="7" customFormat="1" x14ac:dyDescent="0.25">
      <c r="A238" s="4" t="str">
        <f>GLIN_NAME</f>
        <v>Lin</v>
      </c>
      <c r="B238" s="35">
        <f t="array" ref="B238:K238">C0_INIT_GLIN*(1+C0G/100)^YMINUSY0</f>
        <v>-231.91957706904191</v>
      </c>
      <c r="C238" s="35">
        <v>-230.51438672385891</v>
      </c>
      <c r="D238" s="35">
        <v>-229.11771036413222</v>
      </c>
      <c r="E238" s="35">
        <v>-227.72949640400472</v>
      </c>
      <c r="F238" s="35">
        <v>-226.3496935701757</v>
      </c>
      <c r="G238" s="35">
        <v>-224.97825090000708</v>
      </c>
      <c r="H238" s="35">
        <v>-222.26024374212977</v>
      </c>
      <c r="I238" s="35">
        <v>-219.57507337127834</v>
      </c>
      <c r="J238" s="35">
        <v>-206.62805508381373</v>
      </c>
      <c r="K238" s="35">
        <v>-194.4444444088904</v>
      </c>
      <c r="M238" s="43" t="str">
        <f>CURRENCY_NAME&amp;" per "&amp;EMIT_NAME</f>
        <v>$million per Mtonne</v>
      </c>
    </row>
    <row r="239" spans="1:13" s="2" customFormat="1" ht="15" x14ac:dyDescent="0.4">
      <c r="A239" s="2" t="s">
        <v>374</v>
      </c>
      <c r="B239" s="2" t="s">
        <v>375</v>
      </c>
    </row>
    <row r="240" spans="1:13" s="7" customFormat="1" x14ac:dyDescent="0.25">
      <c r="A240" s="80" t="s">
        <v>14</v>
      </c>
      <c r="B240" s="39">
        <f t="array" ref="B240:K240">QMAX_MINUS_Q0_PROP_INIT_CO2*(1+QMAX_MINUS_Q0_PROPG/100)^YMINUSY0</f>
        <v>70.553752632766773</v>
      </c>
      <c r="C240" s="39">
        <v>71.111885865223485</v>
      </c>
      <c r="D240" s="39">
        <v>71.674434351207438</v>
      </c>
      <c r="E240" s="39">
        <v>72.241433018693868</v>
      </c>
      <c r="F240" s="39">
        <v>72.812917071964534</v>
      </c>
      <c r="G240" s="39">
        <v>73.388921993793517</v>
      </c>
      <c r="H240" s="39">
        <v>74.554637779920483</v>
      </c>
      <c r="I240" s="39">
        <v>75.738869893268344</v>
      </c>
      <c r="J240" s="39">
        <v>81.948234467277558</v>
      </c>
      <c r="K240" s="39">
        <v>88.666666690002629</v>
      </c>
      <c r="M240" s="4" t="str">
        <f>'Library data'!$G$77</f>
        <v>%</v>
      </c>
    </row>
    <row r="241" spans="1:15" s="7" customFormat="1" x14ac:dyDescent="0.25">
      <c r="A241" s="80" t="s">
        <v>15</v>
      </c>
      <c r="B241" s="35">
        <f t="array" ref="B241:K241">QMAX_MINUS_Q0_PROP_INIT_CH4*(1+QMAX_MINUS_Q0_PROPG/100)^YMINUSY0</f>
        <v>52.075388851354219</v>
      </c>
      <c r="C241" s="35">
        <v>52.4873443324798</v>
      </c>
      <c r="D241" s="35">
        <v>52.902558691209038</v>
      </c>
      <c r="E241" s="35">
        <v>53.321057707714111</v>
      </c>
      <c r="F241" s="35">
        <v>53.742867366107774</v>
      </c>
      <c r="G241" s="35">
        <v>54.168013856056589</v>
      </c>
      <c r="H241" s="35">
        <v>55.028423126824862</v>
      </c>
      <c r="I241" s="35">
        <v>55.902499210542764</v>
      </c>
      <c r="J241" s="35">
        <v>60.485601634511916</v>
      </c>
      <c r="K241" s="35">
        <v>65.444444465890825</v>
      </c>
      <c r="M241" s="4" t="str">
        <f>'Library data'!$G$77</f>
        <v>%</v>
      </c>
    </row>
    <row r="242" spans="1:15" s="7" customFormat="1" x14ac:dyDescent="0.25">
      <c r="A242" s="80" t="s">
        <v>182</v>
      </c>
      <c r="B242" s="35">
        <f t="array" ref="B242:K242">QMAX_MINUS_Q0_PROP_INIT_N2O*(1+QMAX_MINUS_Q0_PROPG/100)^YMINUSY0</f>
        <v>52.075388851354219</v>
      </c>
      <c r="C242" s="35">
        <v>52.4873443324798</v>
      </c>
      <c r="D242" s="35">
        <v>52.902558691209038</v>
      </c>
      <c r="E242" s="35">
        <v>53.321057707714111</v>
      </c>
      <c r="F242" s="35">
        <v>53.742867366107774</v>
      </c>
      <c r="G242" s="35">
        <v>54.168013856056589</v>
      </c>
      <c r="H242" s="35">
        <v>55.028423126824862</v>
      </c>
      <c r="I242" s="35">
        <v>55.902499210542764</v>
      </c>
      <c r="J242" s="35">
        <v>60.485601634511916</v>
      </c>
      <c r="K242" s="35">
        <v>65.444444465890825</v>
      </c>
      <c r="M242" s="4" t="str">
        <f>'Library data'!$G$77</f>
        <v>%</v>
      </c>
    </row>
    <row r="243" spans="1:15" s="7" customFormat="1" x14ac:dyDescent="0.25">
      <c r="A243" s="4" t="str">
        <f>GLIN_NAME</f>
        <v>Lin</v>
      </c>
      <c r="B243" s="35">
        <f t="array" ref="B243:K243">QMAX_MINUS_Q0_PROP_INIT_GLIN*(1+QMAX_MINUS_Q0_PROPG/100)^YMINUSY0</f>
        <v>70.553752632766773</v>
      </c>
      <c r="C243" s="35">
        <v>71.111885865223485</v>
      </c>
      <c r="D243" s="35">
        <v>71.674434351207438</v>
      </c>
      <c r="E243" s="35">
        <v>72.241433018693868</v>
      </c>
      <c r="F243" s="35">
        <v>72.812917071964534</v>
      </c>
      <c r="G243" s="35">
        <v>73.388921993793517</v>
      </c>
      <c r="H243" s="35">
        <v>74.554637779920483</v>
      </c>
      <c r="I243" s="35">
        <v>75.738869893268344</v>
      </c>
      <c r="J243" s="35">
        <v>81.948234467277558</v>
      </c>
      <c r="K243" s="35">
        <v>88.666666690002629</v>
      </c>
      <c r="M243" s="4" t="str">
        <f>'Library data'!$G$77</f>
        <v>%</v>
      </c>
    </row>
    <row r="244" spans="1:15" s="2" customFormat="1" ht="15" x14ac:dyDescent="0.4">
      <c r="A244" s="2" t="s">
        <v>363</v>
      </c>
      <c r="B244" s="2" t="s">
        <v>364</v>
      </c>
    </row>
    <row r="245" spans="1:15" s="6" customFormat="1" x14ac:dyDescent="0.25">
      <c r="A245" s="4" t="str">
        <f t="array" ref="A245:A252">R_CODE&amp;" "&amp;'Base data'!$B$11</f>
        <v>EU CO2</v>
      </c>
      <c r="B245" s="39">
        <f t="array" ref="B245:K252">Q0_PROP_INIT_CO2*(1+Q0PROPG/100)^YMINUSY0</f>
        <v>19.794295219178107</v>
      </c>
      <c r="C245" s="39">
        <v>19.590706161198863</v>
      </c>
      <c r="D245" s="39">
        <v>19.389211065347087</v>
      </c>
      <c r="E245" s="39">
        <v>19.189788394721756</v>
      </c>
      <c r="F245" s="39">
        <v>18.992416833934019</v>
      </c>
      <c r="G245" s="39">
        <v>18.7970752868289</v>
      </c>
      <c r="H245" s="39">
        <v>18.412398931709888</v>
      </c>
      <c r="I245" s="39">
        <v>18.035594859695014</v>
      </c>
      <c r="J245" s="39">
        <v>16.264134097152862</v>
      </c>
      <c r="K245" s="39">
        <v>14.666666666000028</v>
      </c>
      <c r="M245" s="4" t="str">
        <f>'Library data'!$G$77</f>
        <v>%</v>
      </c>
    </row>
    <row r="246" spans="1:15" s="6" customFormat="1" x14ac:dyDescent="0.25">
      <c r="A246" s="4" t="str">
        <v>US CO2</v>
      </c>
      <c r="B246" s="35">
        <v>21.44381981417818</v>
      </c>
      <c r="C246" s="35">
        <v>21.223265001435198</v>
      </c>
      <c r="D246" s="35">
        <v>21.004978647662938</v>
      </c>
      <c r="E246" s="35">
        <v>20.788937421218638</v>
      </c>
      <c r="F246" s="35">
        <v>20.575118230431045</v>
      </c>
      <c r="G246" s="35">
        <v>20.363498221132279</v>
      </c>
      <c r="H246" s="35">
        <v>19.946765503214909</v>
      </c>
      <c r="I246" s="35">
        <v>19.538561091991063</v>
      </c>
      <c r="J246" s="35">
        <v>17.619478599827552</v>
      </c>
      <c r="K246" s="35">
        <v>15.888888883277806</v>
      </c>
      <c r="M246" s="4" t="str">
        <f>'Library data'!$G$77</f>
        <v>%</v>
      </c>
    </row>
    <row r="247" spans="1:15" s="6" customFormat="1" x14ac:dyDescent="0.25">
      <c r="A247" s="4" t="str">
        <v>OT CO2</v>
      </c>
      <c r="B247" s="35">
        <v>19.794295219178107</v>
      </c>
      <c r="C247" s="35">
        <v>19.590706161198863</v>
      </c>
      <c r="D247" s="35">
        <v>19.389211065347087</v>
      </c>
      <c r="E247" s="35">
        <v>19.189788394721756</v>
      </c>
      <c r="F247" s="35">
        <v>18.992416833934019</v>
      </c>
      <c r="G247" s="35">
        <v>18.7970752868289</v>
      </c>
      <c r="H247" s="35">
        <v>18.412398931709888</v>
      </c>
      <c r="I247" s="35">
        <v>18.035594859695014</v>
      </c>
      <c r="J247" s="35">
        <v>16.264134097152862</v>
      </c>
      <c r="K247" s="35">
        <v>14.666666666000028</v>
      </c>
      <c r="M247" s="4" t="str">
        <f>'Library data'!$G$77</f>
        <v>%</v>
      </c>
    </row>
    <row r="248" spans="1:15" s="6" customFormat="1" x14ac:dyDescent="0.25">
      <c r="A248" s="4" t="str">
        <v>EE CO2</v>
      </c>
      <c r="B248" s="35">
        <v>13.856006653424675</v>
      </c>
      <c r="C248" s="35">
        <v>13.713494312839204</v>
      </c>
      <c r="D248" s="35">
        <v>13.572447745742961</v>
      </c>
      <c r="E248" s="35">
        <v>13.432851876305229</v>
      </c>
      <c r="F248" s="35">
        <v>13.294691783753812</v>
      </c>
      <c r="G248" s="35">
        <v>13.15795270078023</v>
      </c>
      <c r="H248" s="35">
        <v>12.888679252196921</v>
      </c>
      <c r="I248" s="35">
        <v>12.624916401786511</v>
      </c>
      <c r="J248" s="35">
        <v>11.384893868007001</v>
      </c>
      <c r="K248" s="35">
        <v>10.26666666620002</v>
      </c>
      <c r="M248" s="4" t="str">
        <f>'Library data'!$G$77</f>
        <v>%</v>
      </c>
    </row>
    <row r="249" spans="1:15" s="6" customFormat="1" x14ac:dyDescent="0.25">
      <c r="A249" s="4" t="str">
        <v>CA CO2</v>
      </c>
      <c r="B249" s="35">
        <v>13.856006653424675</v>
      </c>
      <c r="C249" s="35">
        <v>13.713494312839204</v>
      </c>
      <c r="D249" s="35">
        <v>13.572447745742961</v>
      </c>
      <c r="E249" s="35">
        <v>13.432851876305229</v>
      </c>
      <c r="F249" s="35">
        <v>13.294691783753812</v>
      </c>
      <c r="G249" s="35">
        <v>13.15795270078023</v>
      </c>
      <c r="H249" s="35">
        <v>12.888679252196921</v>
      </c>
      <c r="I249" s="35">
        <v>12.624916401786511</v>
      </c>
      <c r="J249" s="35">
        <v>11.384893868007001</v>
      </c>
      <c r="K249" s="35">
        <v>10.26666666620002</v>
      </c>
      <c r="M249" s="4" t="str">
        <f>'Library data'!$G$77</f>
        <v>%</v>
      </c>
    </row>
    <row r="250" spans="1:15" s="6" customFormat="1" x14ac:dyDescent="0.25">
      <c r="A250" s="4" t="str">
        <v>IA CO2</v>
      </c>
      <c r="B250" s="35">
        <v>13.856006653424675</v>
      </c>
      <c r="C250" s="35">
        <v>13.713494312839204</v>
      </c>
      <c r="D250" s="35">
        <v>13.572447745742961</v>
      </c>
      <c r="E250" s="35">
        <v>13.432851876305229</v>
      </c>
      <c r="F250" s="35">
        <v>13.294691783753812</v>
      </c>
      <c r="G250" s="35">
        <v>13.15795270078023</v>
      </c>
      <c r="H250" s="35">
        <v>12.888679252196921</v>
      </c>
      <c r="I250" s="35">
        <v>12.624916401786511</v>
      </c>
      <c r="J250" s="35">
        <v>11.384893868007001</v>
      </c>
      <c r="K250" s="35">
        <v>10.26666666620002</v>
      </c>
      <c r="M250" s="4" t="str">
        <f>'Library data'!$G$77</f>
        <v>%</v>
      </c>
    </row>
    <row r="251" spans="1:15" s="6" customFormat="1" x14ac:dyDescent="0.25">
      <c r="A251" s="4" t="str">
        <v>AF CO2</v>
      </c>
      <c r="B251" s="35">
        <v>13.856006653424675</v>
      </c>
      <c r="C251" s="35">
        <v>13.713494312839204</v>
      </c>
      <c r="D251" s="35">
        <v>13.572447745742961</v>
      </c>
      <c r="E251" s="35">
        <v>13.432851876305229</v>
      </c>
      <c r="F251" s="35">
        <v>13.294691783753812</v>
      </c>
      <c r="G251" s="35">
        <v>13.15795270078023</v>
      </c>
      <c r="H251" s="35">
        <v>12.888679252196921</v>
      </c>
      <c r="I251" s="35">
        <v>12.624916401786511</v>
      </c>
      <c r="J251" s="35">
        <v>11.384893868007001</v>
      </c>
      <c r="K251" s="35">
        <v>10.26666666620002</v>
      </c>
      <c r="M251" s="4" t="str">
        <f>'Library data'!$G$77</f>
        <v>%</v>
      </c>
    </row>
    <row r="252" spans="1:15" s="6" customFormat="1" ht="13" thickBot="1" x14ac:dyDescent="0.3">
      <c r="A252" s="4" t="str">
        <v>LA CO2</v>
      </c>
      <c r="B252" s="49">
        <v>13.856006653424675</v>
      </c>
      <c r="C252" s="49">
        <v>13.713494312839204</v>
      </c>
      <c r="D252" s="49">
        <v>13.572447745742961</v>
      </c>
      <c r="E252" s="49">
        <v>13.432851876305229</v>
      </c>
      <c r="F252" s="49">
        <v>13.294691783753812</v>
      </c>
      <c r="G252" s="49">
        <v>13.15795270078023</v>
      </c>
      <c r="H252" s="49">
        <v>12.888679252196921</v>
      </c>
      <c r="I252" s="49">
        <v>12.624916401786511</v>
      </c>
      <c r="J252" s="49">
        <v>11.384893868007001</v>
      </c>
      <c r="K252" s="49">
        <v>10.26666666620002</v>
      </c>
      <c r="M252" s="4" t="str">
        <f>'Library data'!$G$77</f>
        <v>%</v>
      </c>
      <c r="O252" s="92"/>
    </row>
    <row r="253" spans="1:15" s="8" customFormat="1" ht="15.5" thickTop="1" x14ac:dyDescent="0.4">
      <c r="A253" s="2" t="s">
        <v>363</v>
      </c>
      <c r="B253" s="2" t="s">
        <v>365</v>
      </c>
    </row>
    <row r="254" spans="1:15" s="7" customFormat="1" x14ac:dyDescent="0.25">
      <c r="A254" s="4" t="str">
        <f t="array" ref="A254:A261">R_CODE&amp;" "&amp;'Base data'!$C$11</f>
        <v>EU CH4</v>
      </c>
      <c r="B254" s="39">
        <f t="array" ref="B254:K261">Q0_PROP_INIT_CH4*(1+Q0PROPG/100)^YMINUSY0</f>
        <v>9.8971476095890534</v>
      </c>
      <c r="C254" s="39">
        <v>9.7953530805994316</v>
      </c>
      <c r="D254" s="39">
        <v>9.6946055326735436</v>
      </c>
      <c r="E254" s="39">
        <v>9.5948941973608779</v>
      </c>
      <c r="F254" s="39">
        <v>9.4962084169670096</v>
      </c>
      <c r="G254" s="39">
        <v>9.3985376434144499</v>
      </c>
      <c r="H254" s="39">
        <v>9.2061994658549438</v>
      </c>
      <c r="I254" s="39">
        <v>9.0177974298475068</v>
      </c>
      <c r="J254" s="39">
        <v>8.132067048576431</v>
      </c>
      <c r="K254" s="39">
        <v>7.3333333330000139</v>
      </c>
      <c r="M254" s="4" t="str">
        <f>'Library data'!$G$77</f>
        <v>%</v>
      </c>
    </row>
    <row r="255" spans="1:15" s="7" customFormat="1" x14ac:dyDescent="0.25">
      <c r="A255" s="4" t="str">
        <v>US CH4</v>
      </c>
      <c r="B255" s="35">
        <v>10.72190990708909</v>
      </c>
      <c r="C255" s="35">
        <v>10.611632500717599</v>
      </c>
      <c r="D255" s="35">
        <v>10.502489323831469</v>
      </c>
      <c r="E255" s="35">
        <v>10.394468710609319</v>
      </c>
      <c r="F255" s="35">
        <v>10.287559115215522</v>
      </c>
      <c r="G255" s="35">
        <v>10.181749110566139</v>
      </c>
      <c r="H255" s="35">
        <v>9.9733827516074545</v>
      </c>
      <c r="I255" s="35">
        <v>9.7692805459955316</v>
      </c>
      <c r="J255" s="35">
        <v>8.809739299913776</v>
      </c>
      <c r="K255" s="35">
        <v>7.9444444416389031</v>
      </c>
      <c r="M255" s="4" t="str">
        <f>'Library data'!$G$77</f>
        <v>%</v>
      </c>
    </row>
    <row r="256" spans="1:15" s="7" customFormat="1" x14ac:dyDescent="0.25">
      <c r="A256" s="4" t="str">
        <v>OT CH4</v>
      </c>
      <c r="B256" s="35">
        <v>9.8971476095890534</v>
      </c>
      <c r="C256" s="35">
        <v>9.7953530805994316</v>
      </c>
      <c r="D256" s="35">
        <v>9.6946055326735436</v>
      </c>
      <c r="E256" s="35">
        <v>9.5948941973608779</v>
      </c>
      <c r="F256" s="35">
        <v>9.4962084169670096</v>
      </c>
      <c r="G256" s="35">
        <v>9.3985376434144499</v>
      </c>
      <c r="H256" s="35">
        <v>9.2061994658549438</v>
      </c>
      <c r="I256" s="35">
        <v>9.0177974298475068</v>
      </c>
      <c r="J256" s="35">
        <v>8.132067048576431</v>
      </c>
      <c r="K256" s="35">
        <v>7.3333333330000139</v>
      </c>
      <c r="M256" s="4" t="str">
        <f>'Library data'!$G$77</f>
        <v>%</v>
      </c>
    </row>
    <row r="257" spans="1:13" s="7" customFormat="1" x14ac:dyDescent="0.25">
      <c r="A257" s="4" t="str">
        <v>EE CH4</v>
      </c>
      <c r="B257" s="35">
        <v>6.9280033267123375</v>
      </c>
      <c r="C257" s="35">
        <v>6.8567471564196021</v>
      </c>
      <c r="D257" s="35">
        <v>6.7862238728714805</v>
      </c>
      <c r="E257" s="35">
        <v>6.7164259381526143</v>
      </c>
      <c r="F257" s="35">
        <v>6.6473458918769062</v>
      </c>
      <c r="G257" s="35">
        <v>6.5789763503901151</v>
      </c>
      <c r="H257" s="35">
        <v>6.4443396260984604</v>
      </c>
      <c r="I257" s="35">
        <v>6.3124582008932553</v>
      </c>
      <c r="J257" s="35">
        <v>5.6924469340035007</v>
      </c>
      <c r="K257" s="35">
        <v>5.1333333331000102</v>
      </c>
      <c r="M257" s="4" t="str">
        <f>'Library data'!$G$77</f>
        <v>%</v>
      </c>
    </row>
    <row r="258" spans="1:13" s="7" customFormat="1" x14ac:dyDescent="0.25">
      <c r="A258" s="4" t="str">
        <v>CA CH4</v>
      </c>
      <c r="B258" s="35">
        <v>6.9280033267123375</v>
      </c>
      <c r="C258" s="35">
        <v>6.8567471564196021</v>
      </c>
      <c r="D258" s="35">
        <v>6.7862238728714805</v>
      </c>
      <c r="E258" s="35">
        <v>6.7164259381526143</v>
      </c>
      <c r="F258" s="35">
        <v>6.6473458918769062</v>
      </c>
      <c r="G258" s="35">
        <v>6.5789763503901151</v>
      </c>
      <c r="H258" s="35">
        <v>6.4443396260984604</v>
      </c>
      <c r="I258" s="35">
        <v>6.3124582008932553</v>
      </c>
      <c r="J258" s="35">
        <v>5.6924469340035007</v>
      </c>
      <c r="K258" s="35">
        <v>5.1333333331000102</v>
      </c>
      <c r="M258" s="4" t="str">
        <f>'Library data'!$G$77</f>
        <v>%</v>
      </c>
    </row>
    <row r="259" spans="1:13" s="7" customFormat="1" x14ac:dyDescent="0.25">
      <c r="A259" s="4" t="str">
        <v>IA CH4</v>
      </c>
      <c r="B259" s="35">
        <v>6.9280033267123375</v>
      </c>
      <c r="C259" s="35">
        <v>6.8567471564196021</v>
      </c>
      <c r="D259" s="35">
        <v>6.7862238728714805</v>
      </c>
      <c r="E259" s="35">
        <v>6.7164259381526143</v>
      </c>
      <c r="F259" s="35">
        <v>6.6473458918769062</v>
      </c>
      <c r="G259" s="35">
        <v>6.5789763503901151</v>
      </c>
      <c r="H259" s="35">
        <v>6.4443396260984604</v>
      </c>
      <c r="I259" s="35">
        <v>6.3124582008932553</v>
      </c>
      <c r="J259" s="35">
        <v>5.6924469340035007</v>
      </c>
      <c r="K259" s="35">
        <v>5.1333333331000102</v>
      </c>
      <c r="M259" s="4" t="str">
        <f>'Library data'!$G$77</f>
        <v>%</v>
      </c>
    </row>
    <row r="260" spans="1:13" s="7" customFormat="1" x14ac:dyDescent="0.25">
      <c r="A260" s="4" t="str">
        <v>AF CH4</v>
      </c>
      <c r="B260" s="35">
        <v>6.9280033267123375</v>
      </c>
      <c r="C260" s="35">
        <v>6.8567471564196021</v>
      </c>
      <c r="D260" s="35">
        <v>6.7862238728714805</v>
      </c>
      <c r="E260" s="35">
        <v>6.7164259381526143</v>
      </c>
      <c r="F260" s="35">
        <v>6.6473458918769062</v>
      </c>
      <c r="G260" s="35">
        <v>6.5789763503901151</v>
      </c>
      <c r="H260" s="35">
        <v>6.4443396260984604</v>
      </c>
      <c r="I260" s="35">
        <v>6.3124582008932553</v>
      </c>
      <c r="J260" s="35">
        <v>5.6924469340035007</v>
      </c>
      <c r="K260" s="35">
        <v>5.1333333331000102</v>
      </c>
      <c r="M260" s="4" t="str">
        <f>'Library data'!$G$77</f>
        <v>%</v>
      </c>
    </row>
    <row r="261" spans="1:13" s="7" customFormat="1" ht="13" thickBot="1" x14ac:dyDescent="0.3">
      <c r="A261" s="4" t="str">
        <v>LA CH4</v>
      </c>
      <c r="B261" s="49">
        <v>6.9280033267123375</v>
      </c>
      <c r="C261" s="49">
        <v>6.8567471564196021</v>
      </c>
      <c r="D261" s="49">
        <v>6.7862238728714805</v>
      </c>
      <c r="E261" s="49">
        <v>6.7164259381526143</v>
      </c>
      <c r="F261" s="49">
        <v>6.6473458918769062</v>
      </c>
      <c r="G261" s="49">
        <v>6.5789763503901151</v>
      </c>
      <c r="H261" s="49">
        <v>6.4443396260984604</v>
      </c>
      <c r="I261" s="49">
        <v>6.3124582008932553</v>
      </c>
      <c r="J261" s="49">
        <v>5.6924469340035007</v>
      </c>
      <c r="K261" s="49">
        <v>5.1333333331000102</v>
      </c>
      <c r="M261" s="4" t="str">
        <f>'Library data'!$G$77</f>
        <v>%</v>
      </c>
    </row>
    <row r="262" spans="1:13" s="8" customFormat="1" ht="15.5" thickTop="1" x14ac:dyDescent="0.4">
      <c r="A262" s="2" t="s">
        <v>363</v>
      </c>
      <c r="B262" s="2" t="s">
        <v>366</v>
      </c>
    </row>
    <row r="263" spans="1:13" s="7" customFormat="1" x14ac:dyDescent="0.25">
      <c r="A263" s="4" t="str">
        <f t="array" ref="A263:A270">R_CODE&amp;" "&amp;'Base data'!$D$11</f>
        <v>EU N2O</v>
      </c>
      <c r="B263" s="39">
        <f t="array" ref="B263:K270">Q0_PROP_INIT_N2O*(1+Q0PROPG/100)^YMINUSY0</f>
        <v>9.8971476095890534</v>
      </c>
      <c r="C263" s="39">
        <v>9.7953530805994316</v>
      </c>
      <c r="D263" s="39">
        <v>9.6946055326735436</v>
      </c>
      <c r="E263" s="39">
        <v>9.5948941973608779</v>
      </c>
      <c r="F263" s="39">
        <v>9.4962084169670096</v>
      </c>
      <c r="G263" s="39">
        <v>9.3985376434144499</v>
      </c>
      <c r="H263" s="39">
        <v>9.2061994658549438</v>
      </c>
      <c r="I263" s="39">
        <v>9.0177974298475068</v>
      </c>
      <c r="J263" s="39">
        <v>8.132067048576431</v>
      </c>
      <c r="K263" s="39">
        <v>7.3333333330000139</v>
      </c>
      <c r="M263" s="4" t="str">
        <f>'Library data'!$G$77</f>
        <v>%</v>
      </c>
    </row>
    <row r="264" spans="1:13" s="7" customFormat="1" x14ac:dyDescent="0.25">
      <c r="A264" s="4" t="str">
        <v>US N2O</v>
      </c>
      <c r="B264" s="35">
        <v>10.72190990708909</v>
      </c>
      <c r="C264" s="35">
        <v>10.611632500717599</v>
      </c>
      <c r="D264" s="35">
        <v>10.502489323831469</v>
      </c>
      <c r="E264" s="35">
        <v>10.394468710609319</v>
      </c>
      <c r="F264" s="35">
        <v>10.287559115215522</v>
      </c>
      <c r="G264" s="35">
        <v>10.181749110566139</v>
      </c>
      <c r="H264" s="35">
        <v>9.9733827516074545</v>
      </c>
      <c r="I264" s="35">
        <v>9.7692805459955316</v>
      </c>
      <c r="J264" s="35">
        <v>8.809739299913776</v>
      </c>
      <c r="K264" s="35">
        <v>7.9444444416389031</v>
      </c>
      <c r="M264" s="4" t="str">
        <f>'Library data'!$G$77</f>
        <v>%</v>
      </c>
    </row>
    <row r="265" spans="1:13" s="7" customFormat="1" x14ac:dyDescent="0.25">
      <c r="A265" s="4" t="str">
        <v>OT N2O</v>
      </c>
      <c r="B265" s="35">
        <v>9.8971476095890534</v>
      </c>
      <c r="C265" s="35">
        <v>9.7953530805994316</v>
      </c>
      <c r="D265" s="35">
        <v>9.6946055326735436</v>
      </c>
      <c r="E265" s="35">
        <v>9.5948941973608779</v>
      </c>
      <c r="F265" s="35">
        <v>9.4962084169670096</v>
      </c>
      <c r="G265" s="35">
        <v>9.3985376434144499</v>
      </c>
      <c r="H265" s="35">
        <v>9.2061994658549438</v>
      </c>
      <c r="I265" s="35">
        <v>9.0177974298475068</v>
      </c>
      <c r="J265" s="35">
        <v>8.132067048576431</v>
      </c>
      <c r="K265" s="35">
        <v>7.3333333330000139</v>
      </c>
      <c r="M265" s="4" t="str">
        <f>'Library data'!$G$77</f>
        <v>%</v>
      </c>
    </row>
    <row r="266" spans="1:13" s="7" customFormat="1" x14ac:dyDescent="0.25">
      <c r="A266" s="4" t="str">
        <v>EE N2O</v>
      </c>
      <c r="B266" s="35">
        <v>6.9280033267123375</v>
      </c>
      <c r="C266" s="35">
        <v>6.8567471564196021</v>
      </c>
      <c r="D266" s="35">
        <v>6.7862238728714805</v>
      </c>
      <c r="E266" s="35">
        <v>6.7164259381526143</v>
      </c>
      <c r="F266" s="35">
        <v>6.6473458918769062</v>
      </c>
      <c r="G266" s="35">
        <v>6.5789763503901151</v>
      </c>
      <c r="H266" s="35">
        <v>6.4443396260984604</v>
      </c>
      <c r="I266" s="35">
        <v>6.3124582008932553</v>
      </c>
      <c r="J266" s="35">
        <v>5.6924469340035007</v>
      </c>
      <c r="K266" s="35">
        <v>5.1333333331000102</v>
      </c>
      <c r="M266" s="4" t="str">
        <f>'Library data'!$G$77</f>
        <v>%</v>
      </c>
    </row>
    <row r="267" spans="1:13" s="7" customFormat="1" x14ac:dyDescent="0.25">
      <c r="A267" s="4" t="str">
        <v>CA N2O</v>
      </c>
      <c r="B267" s="35">
        <v>6.9280033267123375</v>
      </c>
      <c r="C267" s="35">
        <v>6.8567471564196021</v>
      </c>
      <c r="D267" s="35">
        <v>6.7862238728714805</v>
      </c>
      <c r="E267" s="35">
        <v>6.7164259381526143</v>
      </c>
      <c r="F267" s="35">
        <v>6.6473458918769062</v>
      </c>
      <c r="G267" s="35">
        <v>6.5789763503901151</v>
      </c>
      <c r="H267" s="35">
        <v>6.4443396260984604</v>
      </c>
      <c r="I267" s="35">
        <v>6.3124582008932553</v>
      </c>
      <c r="J267" s="35">
        <v>5.6924469340035007</v>
      </c>
      <c r="K267" s="35">
        <v>5.1333333331000102</v>
      </c>
      <c r="M267" s="4" t="str">
        <f>'Library data'!$G$77</f>
        <v>%</v>
      </c>
    </row>
    <row r="268" spans="1:13" s="7" customFormat="1" x14ac:dyDescent="0.25">
      <c r="A268" s="4" t="str">
        <v>IA N2O</v>
      </c>
      <c r="B268" s="35">
        <v>6.9280033267123375</v>
      </c>
      <c r="C268" s="35">
        <v>6.8567471564196021</v>
      </c>
      <c r="D268" s="35">
        <v>6.7862238728714805</v>
      </c>
      <c r="E268" s="35">
        <v>6.7164259381526143</v>
      </c>
      <c r="F268" s="35">
        <v>6.6473458918769062</v>
      </c>
      <c r="G268" s="35">
        <v>6.5789763503901151</v>
      </c>
      <c r="H268" s="35">
        <v>6.4443396260984604</v>
      </c>
      <c r="I268" s="35">
        <v>6.3124582008932553</v>
      </c>
      <c r="J268" s="35">
        <v>5.6924469340035007</v>
      </c>
      <c r="K268" s="35">
        <v>5.1333333331000102</v>
      </c>
      <c r="M268" s="4" t="str">
        <f>'Library data'!$G$77</f>
        <v>%</v>
      </c>
    </row>
    <row r="269" spans="1:13" s="7" customFormat="1" x14ac:dyDescent="0.25">
      <c r="A269" s="4" t="str">
        <v>AF N2O</v>
      </c>
      <c r="B269" s="35">
        <v>6.9280033267123375</v>
      </c>
      <c r="C269" s="35">
        <v>6.8567471564196021</v>
      </c>
      <c r="D269" s="35">
        <v>6.7862238728714805</v>
      </c>
      <c r="E269" s="35">
        <v>6.7164259381526143</v>
      </c>
      <c r="F269" s="35">
        <v>6.6473458918769062</v>
      </c>
      <c r="G269" s="35">
        <v>6.5789763503901151</v>
      </c>
      <c r="H269" s="35">
        <v>6.4443396260984604</v>
      </c>
      <c r="I269" s="35">
        <v>6.3124582008932553</v>
      </c>
      <c r="J269" s="35">
        <v>5.6924469340035007</v>
      </c>
      <c r="K269" s="35">
        <v>5.1333333331000102</v>
      </c>
      <c r="M269" s="4" t="str">
        <f>'Library data'!$G$77</f>
        <v>%</v>
      </c>
    </row>
    <row r="270" spans="1:13" s="7" customFormat="1" ht="13" thickBot="1" x14ac:dyDescent="0.3">
      <c r="A270" s="4" t="str">
        <v>LA N2O</v>
      </c>
      <c r="B270" s="49">
        <v>6.9280033267123375</v>
      </c>
      <c r="C270" s="49">
        <v>6.8567471564196021</v>
      </c>
      <c r="D270" s="49">
        <v>6.7862238728714805</v>
      </c>
      <c r="E270" s="49">
        <v>6.7164259381526143</v>
      </c>
      <c r="F270" s="49">
        <v>6.6473458918769062</v>
      </c>
      <c r="G270" s="49">
        <v>6.5789763503901151</v>
      </c>
      <c r="H270" s="49">
        <v>6.4443396260984604</v>
      </c>
      <c r="I270" s="49">
        <v>6.3124582008932553</v>
      </c>
      <c r="J270" s="49">
        <v>5.6924469340035007</v>
      </c>
      <c r="K270" s="49">
        <v>5.1333333331000102</v>
      </c>
      <c r="M270" s="4" t="str">
        <f>'Library data'!$G$77</f>
        <v>%</v>
      </c>
    </row>
    <row r="271" spans="1:13" s="8" customFormat="1" ht="15.5" thickTop="1" x14ac:dyDescent="0.4">
      <c r="A271" s="2" t="s">
        <v>363</v>
      </c>
      <c r="B271" s="2" t="s">
        <v>367</v>
      </c>
    </row>
    <row r="272" spans="1:13" s="7" customFormat="1" x14ac:dyDescent="0.25">
      <c r="A272" s="4" t="str">
        <f t="array" ref="A272:A279">R_CODE&amp;" "&amp;GLIN_NAME</f>
        <v>EU Lin</v>
      </c>
      <c r="B272" s="39">
        <f t="array" ref="B272:K279">Q0_PROP_INIT_GLIN*(1+Q0PROPG/100)^YMINUSY0</f>
        <v>9.8971476095890534</v>
      </c>
      <c r="C272" s="39">
        <v>9.7953530805994316</v>
      </c>
      <c r="D272" s="39">
        <v>9.6946055326735436</v>
      </c>
      <c r="E272" s="39">
        <v>9.5948941973608779</v>
      </c>
      <c r="F272" s="39">
        <v>9.4962084169670096</v>
      </c>
      <c r="G272" s="39">
        <v>9.3985376434144499</v>
      </c>
      <c r="H272" s="39">
        <v>9.2061994658549438</v>
      </c>
      <c r="I272" s="39">
        <v>9.0177974298475068</v>
      </c>
      <c r="J272" s="39">
        <v>8.132067048576431</v>
      </c>
      <c r="K272" s="39">
        <v>7.3333333330000139</v>
      </c>
      <c r="M272" s="4" t="str">
        <f>'Library data'!$G$77</f>
        <v>%</v>
      </c>
    </row>
    <row r="273" spans="1:13" s="7" customFormat="1" x14ac:dyDescent="0.25">
      <c r="A273" s="4" t="str">
        <v>US Lin</v>
      </c>
      <c r="B273" s="35">
        <v>10.72190990708909</v>
      </c>
      <c r="C273" s="35">
        <v>10.611632500717599</v>
      </c>
      <c r="D273" s="35">
        <v>10.502489323831469</v>
      </c>
      <c r="E273" s="35">
        <v>10.394468710609319</v>
      </c>
      <c r="F273" s="35">
        <v>10.287559115215522</v>
      </c>
      <c r="G273" s="35">
        <v>10.181749110566139</v>
      </c>
      <c r="H273" s="35">
        <v>9.9733827516074545</v>
      </c>
      <c r="I273" s="35">
        <v>9.7692805459955316</v>
      </c>
      <c r="J273" s="35">
        <v>8.809739299913776</v>
      </c>
      <c r="K273" s="35">
        <v>7.9444444416389031</v>
      </c>
      <c r="M273" s="4" t="str">
        <f>'Library data'!$G$77</f>
        <v>%</v>
      </c>
    </row>
    <row r="274" spans="1:13" s="7" customFormat="1" x14ac:dyDescent="0.25">
      <c r="A274" s="4" t="str">
        <v>OT Lin</v>
      </c>
      <c r="B274" s="35">
        <v>9.8971476095890534</v>
      </c>
      <c r="C274" s="35">
        <v>9.7953530805994316</v>
      </c>
      <c r="D274" s="35">
        <v>9.6946055326735436</v>
      </c>
      <c r="E274" s="35">
        <v>9.5948941973608779</v>
      </c>
      <c r="F274" s="35">
        <v>9.4962084169670096</v>
      </c>
      <c r="G274" s="35">
        <v>9.3985376434144499</v>
      </c>
      <c r="H274" s="35">
        <v>9.2061994658549438</v>
      </c>
      <c r="I274" s="35">
        <v>9.0177974298475068</v>
      </c>
      <c r="J274" s="35">
        <v>8.132067048576431</v>
      </c>
      <c r="K274" s="35">
        <v>7.3333333330000139</v>
      </c>
      <c r="M274" s="4" t="str">
        <f>'Library data'!$G$77</f>
        <v>%</v>
      </c>
    </row>
    <row r="275" spans="1:13" s="7" customFormat="1" x14ac:dyDescent="0.25">
      <c r="A275" s="4" t="str">
        <v>EE Lin</v>
      </c>
      <c r="B275" s="35">
        <v>6.9280033267123375</v>
      </c>
      <c r="C275" s="35">
        <v>6.8567471564196021</v>
      </c>
      <c r="D275" s="35">
        <v>6.7862238728714805</v>
      </c>
      <c r="E275" s="35">
        <v>6.7164259381526143</v>
      </c>
      <c r="F275" s="35">
        <v>6.6473458918769062</v>
      </c>
      <c r="G275" s="35">
        <v>6.5789763503901151</v>
      </c>
      <c r="H275" s="35">
        <v>6.4443396260984604</v>
      </c>
      <c r="I275" s="35">
        <v>6.3124582008932553</v>
      </c>
      <c r="J275" s="35">
        <v>5.6924469340035007</v>
      </c>
      <c r="K275" s="35">
        <v>5.1333333331000102</v>
      </c>
      <c r="M275" s="4" t="str">
        <f>'Library data'!$G$77</f>
        <v>%</v>
      </c>
    </row>
    <row r="276" spans="1:13" s="7" customFormat="1" x14ac:dyDescent="0.25">
      <c r="A276" s="4" t="str">
        <v>CA Lin</v>
      </c>
      <c r="B276" s="35">
        <v>6.9280033267123375</v>
      </c>
      <c r="C276" s="35">
        <v>6.8567471564196021</v>
      </c>
      <c r="D276" s="35">
        <v>6.7862238728714805</v>
      </c>
      <c r="E276" s="35">
        <v>6.7164259381526143</v>
      </c>
      <c r="F276" s="35">
        <v>6.6473458918769062</v>
      </c>
      <c r="G276" s="35">
        <v>6.5789763503901151</v>
      </c>
      <c r="H276" s="35">
        <v>6.4443396260984604</v>
      </c>
      <c r="I276" s="35">
        <v>6.3124582008932553</v>
      </c>
      <c r="J276" s="35">
        <v>5.6924469340035007</v>
      </c>
      <c r="K276" s="35">
        <v>5.1333333331000102</v>
      </c>
      <c r="M276" s="4" t="str">
        <f>'Library data'!$G$77</f>
        <v>%</v>
      </c>
    </row>
    <row r="277" spans="1:13" s="7" customFormat="1" x14ac:dyDescent="0.25">
      <c r="A277" s="4" t="str">
        <v>IA Lin</v>
      </c>
      <c r="B277" s="35">
        <v>6.9280033267123375</v>
      </c>
      <c r="C277" s="35">
        <v>6.8567471564196021</v>
      </c>
      <c r="D277" s="35">
        <v>6.7862238728714805</v>
      </c>
      <c r="E277" s="35">
        <v>6.7164259381526143</v>
      </c>
      <c r="F277" s="35">
        <v>6.6473458918769062</v>
      </c>
      <c r="G277" s="35">
        <v>6.5789763503901151</v>
      </c>
      <c r="H277" s="35">
        <v>6.4443396260984604</v>
      </c>
      <c r="I277" s="35">
        <v>6.3124582008932553</v>
      </c>
      <c r="J277" s="35">
        <v>5.6924469340035007</v>
      </c>
      <c r="K277" s="35">
        <v>5.1333333331000102</v>
      </c>
      <c r="M277" s="4" t="str">
        <f>'Library data'!$G$77</f>
        <v>%</v>
      </c>
    </row>
    <row r="278" spans="1:13" s="7" customFormat="1" x14ac:dyDescent="0.25">
      <c r="A278" s="4" t="str">
        <v>AF Lin</v>
      </c>
      <c r="B278" s="35">
        <v>6.9280033267123375</v>
      </c>
      <c r="C278" s="35">
        <v>6.8567471564196021</v>
      </c>
      <c r="D278" s="35">
        <v>6.7862238728714805</v>
      </c>
      <c r="E278" s="35">
        <v>6.7164259381526143</v>
      </c>
      <c r="F278" s="35">
        <v>6.6473458918769062</v>
      </c>
      <c r="G278" s="35">
        <v>6.5789763503901151</v>
      </c>
      <c r="H278" s="35">
        <v>6.4443396260984604</v>
      </c>
      <c r="I278" s="35">
        <v>6.3124582008932553</v>
      </c>
      <c r="J278" s="35">
        <v>5.6924469340035007</v>
      </c>
      <c r="K278" s="35">
        <v>5.1333333331000102</v>
      </c>
      <c r="M278" s="4" t="str">
        <f>'Library data'!$G$77</f>
        <v>%</v>
      </c>
    </row>
    <row r="279" spans="1:13" s="7" customFormat="1" ht="13" thickBot="1" x14ac:dyDescent="0.3">
      <c r="A279" s="4" t="str">
        <v>LA Lin</v>
      </c>
      <c r="B279" s="49">
        <v>6.9280033267123375</v>
      </c>
      <c r="C279" s="49">
        <v>6.8567471564196021</v>
      </c>
      <c r="D279" s="49">
        <v>6.7862238728714805</v>
      </c>
      <c r="E279" s="49">
        <v>6.7164259381526143</v>
      </c>
      <c r="F279" s="49">
        <v>6.6473458918769062</v>
      </c>
      <c r="G279" s="49">
        <v>6.5789763503901151</v>
      </c>
      <c r="H279" s="49">
        <v>6.4443396260984604</v>
      </c>
      <c r="I279" s="49">
        <v>6.3124582008932553</v>
      </c>
      <c r="J279" s="49">
        <v>5.6924469340035007</v>
      </c>
      <c r="K279" s="49">
        <v>5.1333333331000102</v>
      </c>
      <c r="M279" s="4" t="str">
        <f>'Library data'!$G$77</f>
        <v>%</v>
      </c>
    </row>
    <row r="280" spans="1:13" s="2" customFormat="1" ht="15.5" thickTop="1" x14ac:dyDescent="0.4">
      <c r="A280" s="2" t="s">
        <v>363</v>
      </c>
      <c r="B280" s="2" t="s">
        <v>368</v>
      </c>
    </row>
    <row r="281" spans="1:13" s="6" customFormat="1" x14ac:dyDescent="0.25">
      <c r="A281" s="4" t="str">
        <f t="array" ref="A281:A288">R_CODE&amp;" "&amp;'Base data'!$B$11</f>
        <v>EU CO2</v>
      </c>
      <c r="B281" s="39">
        <f t="array" ref="B281:K288">(Q0_PROP_CO2/100)*(ZC_CO2/100)*E_CO2_0</f>
        <v>910.77986700931115</v>
      </c>
      <c r="C281" s="39">
        <v>910.64881668248779</v>
      </c>
      <c r="D281" s="39">
        <v>927.06818896360448</v>
      </c>
      <c r="E281" s="39">
        <v>903.5815085165425</v>
      </c>
      <c r="F281" s="39">
        <v>880.39027556027588</v>
      </c>
      <c r="G281" s="39">
        <v>828.64584135004645</v>
      </c>
      <c r="H281" s="39">
        <v>697.68591156606931</v>
      </c>
      <c r="I281" s="39">
        <v>573.73808107180832</v>
      </c>
      <c r="J281" s="39">
        <v>531.36876791840143</v>
      </c>
      <c r="K281" s="39">
        <v>491.78752756740636</v>
      </c>
      <c r="M281" s="4" t="str">
        <f t="shared" ref="M281:M288" si="12">EMIT_NAME</f>
        <v>Mtonne</v>
      </c>
    </row>
    <row r="282" spans="1:13" s="6" customFormat="1" x14ac:dyDescent="0.25">
      <c r="A282" s="4" t="str">
        <v>US CO2</v>
      </c>
      <c r="B282" s="35">
        <v>2141.3683101897836</v>
      </c>
      <c r="C282" s="35">
        <v>2141.0601929080299</v>
      </c>
      <c r="D282" s="35">
        <v>2179.6643877849374</v>
      </c>
      <c r="E282" s="35">
        <v>2124.4439826764674</v>
      </c>
      <c r="F282" s="35">
        <v>2069.918215116576</v>
      </c>
      <c r="G282" s="35">
        <v>1948.2599575506429</v>
      </c>
      <c r="H282" s="35">
        <v>1640.3552116267622</v>
      </c>
      <c r="I282" s="35">
        <v>1348.9368722988113</v>
      </c>
      <c r="J282" s="35">
        <v>1249.3208094085173</v>
      </c>
      <c r="K282" s="35">
        <v>1156.259887844735</v>
      </c>
      <c r="M282" s="4" t="str">
        <f t="shared" si="12"/>
        <v>Mtonne</v>
      </c>
    </row>
    <row r="283" spans="1:13" s="6" customFormat="1" x14ac:dyDescent="0.25">
      <c r="A283" s="4" t="str">
        <v>OT CO2</v>
      </c>
      <c r="B283" s="35">
        <v>334.21906639342126</v>
      </c>
      <c r="C283" s="35">
        <v>334.17097626816928</v>
      </c>
      <c r="D283" s="35">
        <v>340.19621625572023</v>
      </c>
      <c r="E283" s="35">
        <v>331.57756240089429</v>
      </c>
      <c r="F283" s="35">
        <v>323.06732572580478</v>
      </c>
      <c r="G283" s="35">
        <v>304.07922869025418</v>
      </c>
      <c r="H283" s="35">
        <v>256.02227546502286</v>
      </c>
      <c r="I283" s="35">
        <v>210.53847670110221</v>
      </c>
      <c r="J283" s="35">
        <v>194.99066674307048</v>
      </c>
      <c r="K283" s="35">
        <v>180.46596579613143</v>
      </c>
      <c r="M283" s="4" t="str">
        <f t="shared" si="12"/>
        <v>Mtonne</v>
      </c>
    </row>
    <row r="284" spans="1:13" s="6" customFormat="1" x14ac:dyDescent="0.25">
      <c r="A284" s="4" t="str">
        <v>EE CO2</v>
      </c>
      <c r="B284" s="35">
        <v>315.97460677958946</v>
      </c>
      <c r="C284" s="35">
        <v>322.24093008599755</v>
      </c>
      <c r="D284" s="35">
        <v>293.54873728172964</v>
      </c>
      <c r="E284" s="35">
        <v>285.79081263609214</v>
      </c>
      <c r="F284" s="35">
        <v>278.13129743666468</v>
      </c>
      <c r="G284" s="35">
        <v>259.95190790611758</v>
      </c>
      <c r="H284" s="35">
        <v>215.26819691573994</v>
      </c>
      <c r="I284" s="35">
        <v>181.86907815835158</v>
      </c>
      <c r="J284" s="35">
        <v>168.43844111397479</v>
      </c>
      <c r="K284" s="35">
        <v>155.89159450837428</v>
      </c>
      <c r="M284" s="4" t="str">
        <f t="shared" si="12"/>
        <v>Mtonne</v>
      </c>
    </row>
    <row r="285" spans="1:13" s="6" customFormat="1" x14ac:dyDescent="0.25">
      <c r="A285" s="4" t="str">
        <v>CA CO2</v>
      </c>
      <c r="B285" s="35">
        <v>359.49499399898787</v>
      </c>
      <c r="C285" s="35">
        <v>370.64573881007288</v>
      </c>
      <c r="D285" s="35">
        <v>470.28972506322867</v>
      </c>
      <c r="E285" s="35">
        <v>549.9646006980231</v>
      </c>
      <c r="F285" s="35">
        <v>628.40337834237016</v>
      </c>
      <c r="G285" s="35">
        <v>645.03759315737238</v>
      </c>
      <c r="H285" s="35">
        <v>653.86130249933728</v>
      </c>
      <c r="I285" s="35">
        <v>585.97960486616762</v>
      </c>
      <c r="J285" s="35">
        <v>542.70628172592262</v>
      </c>
      <c r="K285" s="35">
        <v>502.28051891502446</v>
      </c>
      <c r="M285" s="4" t="str">
        <f t="shared" si="12"/>
        <v>Mtonne</v>
      </c>
    </row>
    <row r="286" spans="1:13" s="6" customFormat="1" x14ac:dyDescent="0.25">
      <c r="A286" s="4" t="str">
        <v>IA CO2</v>
      </c>
      <c r="B286" s="35">
        <v>591.04069443489504</v>
      </c>
      <c r="C286" s="35">
        <v>609.37347810817346</v>
      </c>
      <c r="D286" s="35">
        <v>773.19676303406072</v>
      </c>
      <c r="E286" s="35">
        <v>904.18911233040558</v>
      </c>
      <c r="F286" s="35">
        <v>1033.1492101994452</v>
      </c>
      <c r="G286" s="35">
        <v>1060.4972902555085</v>
      </c>
      <c r="H286" s="35">
        <v>1075.0042274424588</v>
      </c>
      <c r="I286" s="35">
        <v>963.4008772477099</v>
      </c>
      <c r="J286" s="35">
        <v>892.25581156874796</v>
      </c>
      <c r="K286" s="35">
        <v>825.79238002265845</v>
      </c>
      <c r="M286" s="4" t="str">
        <f t="shared" si="12"/>
        <v>Mtonne</v>
      </c>
    </row>
    <row r="287" spans="1:13" s="6" customFormat="1" x14ac:dyDescent="0.25">
      <c r="A287" s="4" t="str">
        <v>AF CO2</v>
      </c>
      <c r="B287" s="35">
        <v>331.3421436675726</v>
      </c>
      <c r="C287" s="35">
        <v>341.6821995568194</v>
      </c>
      <c r="D287" s="35">
        <v>439.73931217234195</v>
      </c>
      <c r="E287" s="35">
        <v>516.77820396097115</v>
      </c>
      <c r="F287" s="35">
        <v>592.62286279750833</v>
      </c>
      <c r="G287" s="35">
        <v>630.39922464059237</v>
      </c>
      <c r="H287" s="35">
        <v>640.66668178906411</v>
      </c>
      <c r="I287" s="35">
        <v>545.27740492351313</v>
      </c>
      <c r="J287" s="35">
        <v>505.00985098753853</v>
      </c>
      <c r="K287" s="35">
        <v>467.39206556544275</v>
      </c>
      <c r="M287" s="4" t="str">
        <f t="shared" si="12"/>
        <v>Mtonne</v>
      </c>
    </row>
    <row r="288" spans="1:13" s="6" customFormat="1" ht="13" thickBot="1" x14ac:dyDescent="0.3">
      <c r="A288" s="4" t="str">
        <v>LA CO2</v>
      </c>
      <c r="B288" s="49">
        <v>282.62672931271351</v>
      </c>
      <c r="C288" s="49">
        <v>291.44654361264281</v>
      </c>
      <c r="D288" s="49">
        <v>375.0868578739578</v>
      </c>
      <c r="E288" s="49">
        <v>440.79914480218179</v>
      </c>
      <c r="F288" s="49">
        <v>505.49278028585582</v>
      </c>
      <c r="G288" s="49">
        <v>537.71509126286207</v>
      </c>
      <c r="H288" s="49">
        <v>546.47298061587594</v>
      </c>
      <c r="I288" s="49">
        <v>465.10826487641532</v>
      </c>
      <c r="J288" s="49">
        <v>430.7610280885537</v>
      </c>
      <c r="K288" s="49">
        <v>398.67397891288039</v>
      </c>
      <c r="M288" s="4" t="str">
        <f t="shared" si="12"/>
        <v>Mtonne</v>
      </c>
    </row>
    <row r="289" spans="1:13" s="8" customFormat="1" ht="15.5" thickTop="1" x14ac:dyDescent="0.4">
      <c r="A289" s="2" t="s">
        <v>363</v>
      </c>
      <c r="B289" s="2" t="s">
        <v>369</v>
      </c>
    </row>
    <row r="290" spans="1:13" s="7" customFormat="1" x14ac:dyDescent="0.25">
      <c r="A290" s="4" t="str">
        <f t="array" ref="A290:A297">R_CODE&amp;" "&amp;'Base data'!$C$11</f>
        <v>EU CH4</v>
      </c>
      <c r="B290" s="39">
        <f t="array" ref="B290:K297">(Q0_PROP_CH4/100)*(ZC_CH4/100)*E_CH4_0</f>
        <v>9.9465177523715113E-5</v>
      </c>
      <c r="C290" s="39">
        <v>9.8925362188354699E-5</v>
      </c>
      <c r="D290" s="39">
        <v>9.5632122960816315E-5</v>
      </c>
      <c r="E290" s="39">
        <v>8.8039437704636833E-5</v>
      </c>
      <c r="F290" s="39">
        <v>8.0475035646535844E-5</v>
      </c>
      <c r="G290" s="39">
        <v>7.4205695189836346E-5</v>
      </c>
      <c r="H290" s="39">
        <v>6.3859320268669467E-5</v>
      </c>
      <c r="I290" s="39">
        <v>5.7804321110085446E-5</v>
      </c>
      <c r="J290" s="39">
        <v>5.613651705206555E-5</v>
      </c>
      <c r="K290" s="39">
        <v>5.4238686342075789E-5</v>
      </c>
      <c r="M290" s="4" t="str">
        <f t="shared" ref="M290:M297" si="13">EMIT_NAME</f>
        <v>Mtonne</v>
      </c>
    </row>
    <row r="291" spans="1:13" s="7" customFormat="1" x14ac:dyDescent="0.25">
      <c r="A291" s="4" t="str">
        <v>US CH4</v>
      </c>
      <c r="B291" s="35">
        <v>1.0775394228420297E-4</v>
      </c>
      <c r="C291" s="35">
        <v>1.0716914233774247E-4</v>
      </c>
      <c r="D291" s="35">
        <v>1.0360146650900696E-4</v>
      </c>
      <c r="E291" s="35">
        <v>9.5376057484010082E-5</v>
      </c>
      <c r="F291" s="35">
        <v>8.718128859025547E-5</v>
      </c>
      <c r="G291" s="35">
        <v>8.0389503097587467E-5</v>
      </c>
      <c r="H291" s="35">
        <v>6.9180930269772156E-5</v>
      </c>
      <c r="I291" s="35">
        <v>6.2621347849991117E-5</v>
      </c>
      <c r="J291" s="35">
        <v>6.0814560121025486E-5</v>
      </c>
      <c r="K291" s="35">
        <v>5.8758576852502542E-5</v>
      </c>
      <c r="M291" s="4" t="str">
        <f t="shared" si="13"/>
        <v>Mtonne</v>
      </c>
    </row>
    <row r="292" spans="1:13" s="7" customFormat="1" x14ac:dyDescent="0.25">
      <c r="A292" s="4" t="str">
        <v>OT CH4</v>
      </c>
      <c r="B292" s="35">
        <v>9.9465177523715113E-5</v>
      </c>
      <c r="C292" s="35">
        <v>9.8925362188354699E-5</v>
      </c>
      <c r="D292" s="35">
        <v>9.5632122960816315E-5</v>
      </c>
      <c r="E292" s="35">
        <v>8.8039437704636833E-5</v>
      </c>
      <c r="F292" s="35">
        <v>8.0475035646535844E-5</v>
      </c>
      <c r="G292" s="35">
        <v>7.4205695189836346E-5</v>
      </c>
      <c r="H292" s="35">
        <v>6.3859320268669467E-5</v>
      </c>
      <c r="I292" s="35">
        <v>5.7804321110085446E-5</v>
      </c>
      <c r="J292" s="35">
        <v>5.613651705206555E-5</v>
      </c>
      <c r="K292" s="35">
        <v>5.4238686342075789E-5</v>
      </c>
      <c r="M292" s="4" t="str">
        <f t="shared" si="13"/>
        <v>Mtonne</v>
      </c>
    </row>
    <row r="293" spans="1:13" s="7" customFormat="1" x14ac:dyDescent="0.25">
      <c r="A293" s="4" t="str">
        <v>EE CH4</v>
      </c>
      <c r="B293" s="35">
        <v>7.2313378369435349E-5</v>
      </c>
      <c r="C293" s="35">
        <v>7.4611942109488249E-5</v>
      </c>
      <c r="D293" s="35">
        <v>7.8845597789548055E-5</v>
      </c>
      <c r="E293" s="35">
        <v>7.1756356415875758E-5</v>
      </c>
      <c r="F293" s="35">
        <v>6.4694254570965925E-5</v>
      </c>
      <c r="G293" s="35">
        <v>5.8371903743753418E-5</v>
      </c>
      <c r="H293" s="35">
        <v>4.8972450381805504E-5</v>
      </c>
      <c r="I293" s="35">
        <v>4.3207088704767742E-5</v>
      </c>
      <c r="J293" s="35">
        <v>4.1960452527866692E-5</v>
      </c>
      <c r="K293" s="35">
        <v>4.0541877960110859E-5</v>
      </c>
      <c r="M293" s="4" t="str">
        <f t="shared" si="13"/>
        <v>Mtonne</v>
      </c>
    </row>
    <row r="294" spans="1:13" s="7" customFormat="1" x14ac:dyDescent="0.25">
      <c r="A294" s="4" t="str">
        <v>CA CH4</v>
      </c>
      <c r="B294" s="35">
        <v>7.0819639330977103E-5</v>
      </c>
      <c r="C294" s="35">
        <v>7.1630754998799187E-5</v>
      </c>
      <c r="D294" s="35">
        <v>8.4267290189206565E-5</v>
      </c>
      <c r="E294" s="35">
        <v>9.3840960167897118E-5</v>
      </c>
      <c r="F294" s="35">
        <v>1.0336461825117558E-4</v>
      </c>
      <c r="G294" s="35">
        <v>9.6399246445896185E-5</v>
      </c>
      <c r="H294" s="35">
        <v>7.2953498814452055E-5</v>
      </c>
      <c r="I294" s="35">
        <v>5.6941491547747176E-5</v>
      </c>
      <c r="J294" s="35">
        <v>5.5298582352564715E-5</v>
      </c>
      <c r="K294" s="35">
        <v>5.3429080051410954E-5</v>
      </c>
      <c r="M294" s="4" t="str">
        <f t="shared" si="13"/>
        <v>Mtonne</v>
      </c>
    </row>
    <row r="295" spans="1:13" s="7" customFormat="1" x14ac:dyDescent="0.25">
      <c r="A295" s="4" t="str">
        <v>IA CH4</v>
      </c>
      <c r="B295" s="35">
        <v>7.0819639330977103E-5</v>
      </c>
      <c r="C295" s="35">
        <v>7.1630754998799187E-5</v>
      </c>
      <c r="D295" s="35">
        <v>8.4267290189206565E-5</v>
      </c>
      <c r="E295" s="35">
        <v>9.3840960167897118E-5</v>
      </c>
      <c r="F295" s="35">
        <v>1.0336461825117558E-4</v>
      </c>
      <c r="G295" s="35">
        <v>9.6399246445896185E-5</v>
      </c>
      <c r="H295" s="35">
        <v>7.2953498814452055E-5</v>
      </c>
      <c r="I295" s="35">
        <v>5.6941491547747176E-5</v>
      </c>
      <c r="J295" s="35">
        <v>5.5298582352564715E-5</v>
      </c>
      <c r="K295" s="35">
        <v>5.3429080051410954E-5</v>
      </c>
      <c r="M295" s="4" t="str">
        <f t="shared" si="13"/>
        <v>Mtonne</v>
      </c>
    </row>
    <row r="296" spans="1:13" s="7" customFormat="1" x14ac:dyDescent="0.25">
      <c r="A296" s="4" t="str">
        <v>AF CH4</v>
      </c>
      <c r="B296" s="35">
        <v>7.087654443212234E-5</v>
      </c>
      <c r="C296" s="35">
        <v>7.1744325542045994E-5</v>
      </c>
      <c r="D296" s="35">
        <v>8.6461713302552682E-5</v>
      </c>
      <c r="E296" s="35">
        <v>9.3172923359983629E-5</v>
      </c>
      <c r="F296" s="35">
        <v>9.9847156123436859E-5</v>
      </c>
      <c r="G296" s="35">
        <v>9.8875239730561633E-5</v>
      </c>
      <c r="H296" s="35">
        <v>8.8412944980000317E-5</v>
      </c>
      <c r="I296" s="35">
        <v>6.7602618393093278E-5</v>
      </c>
      <c r="J296" s="35">
        <v>6.5652108134975218E-5</v>
      </c>
      <c r="K296" s="35">
        <v>6.3432579857533936E-5</v>
      </c>
      <c r="M296" s="4" t="str">
        <f t="shared" si="13"/>
        <v>Mtonne</v>
      </c>
    </row>
    <row r="297" spans="1:13" s="7" customFormat="1" ht="13" thickBot="1" x14ac:dyDescent="0.3">
      <c r="A297" s="4" t="str">
        <v>LA CH4</v>
      </c>
      <c r="B297" s="49">
        <v>7.087654443212234E-5</v>
      </c>
      <c r="C297" s="49">
        <v>7.1744325542045994E-5</v>
      </c>
      <c r="D297" s="49">
        <v>8.6461713302552682E-5</v>
      </c>
      <c r="E297" s="49">
        <v>9.3172923359983629E-5</v>
      </c>
      <c r="F297" s="49">
        <v>9.9847156123436859E-5</v>
      </c>
      <c r="G297" s="49">
        <v>9.8875239730561633E-5</v>
      </c>
      <c r="H297" s="49">
        <v>8.8412944980000317E-5</v>
      </c>
      <c r="I297" s="49">
        <v>6.7602618393093278E-5</v>
      </c>
      <c r="J297" s="49">
        <v>6.5652108134975218E-5</v>
      </c>
      <c r="K297" s="49">
        <v>6.3432579857533936E-5</v>
      </c>
      <c r="M297" s="4" t="str">
        <f t="shared" si="13"/>
        <v>Mtonne</v>
      </c>
    </row>
    <row r="298" spans="1:13" s="8" customFormat="1" ht="15.5" thickTop="1" x14ac:dyDescent="0.4">
      <c r="A298" s="2" t="s">
        <v>363</v>
      </c>
      <c r="B298" s="2" t="s">
        <v>370</v>
      </c>
    </row>
    <row r="299" spans="1:13" s="7" customFormat="1" x14ac:dyDescent="0.25">
      <c r="A299" s="4" t="str">
        <f t="array" ref="A299:A306">R_CODE&amp;" "&amp;'Base data'!$D$11</f>
        <v>EU N2O</v>
      </c>
      <c r="B299" s="39">
        <f t="array" ref="B299:K306">(Q0_PROP_N2O/100)*(ZC_N2O/100)*E_N2O_0</f>
        <v>9.8806697688611056E-5</v>
      </c>
      <c r="C299" s="39">
        <v>9.7627363562050683E-5</v>
      </c>
      <c r="D299" s="39">
        <v>9.9626657364913478E-5</v>
      </c>
      <c r="E299" s="39">
        <v>9.6613283475453538E-5</v>
      </c>
      <c r="F299" s="39">
        <v>9.3651357007804018E-5</v>
      </c>
      <c r="G299" s="39">
        <v>9.0499011341016656E-5</v>
      </c>
      <c r="H299" s="39">
        <v>8.325638072716368E-5</v>
      </c>
      <c r="I299" s="39">
        <v>7.7350039380258653E-5</v>
      </c>
      <c r="J299" s="39">
        <v>6.9752698632190001E-5</v>
      </c>
      <c r="K299" s="39">
        <v>6.2901570645029059E-5</v>
      </c>
      <c r="M299" s="4" t="str">
        <f t="shared" ref="M299:M306" si="14">EMIT_NAME</f>
        <v>Mtonne</v>
      </c>
    </row>
    <row r="300" spans="1:13" s="7" customFormat="1" x14ac:dyDescent="0.25">
      <c r="A300" s="4" t="str">
        <v>US N2O</v>
      </c>
      <c r="B300" s="35">
        <v>1.0704058912972639E-4</v>
      </c>
      <c r="C300" s="35">
        <v>1.0576297715967912E-4</v>
      </c>
      <c r="D300" s="35">
        <v>1.0792887877878072E-4</v>
      </c>
      <c r="E300" s="35">
        <v>1.046643903995369E-4</v>
      </c>
      <c r="F300" s="35">
        <v>1.014556367272372E-4</v>
      </c>
      <c r="G300" s="35">
        <v>9.804059558926835E-5</v>
      </c>
      <c r="H300" s="35">
        <v>9.0194412426675179E-5</v>
      </c>
      <c r="I300" s="35">
        <v>8.3795875969496842E-5</v>
      </c>
      <c r="J300" s="35">
        <v>7.556542349495491E-5</v>
      </c>
      <c r="K300" s="35">
        <v>6.8143368177814287E-5</v>
      </c>
      <c r="M300" s="4" t="str">
        <f t="shared" si="14"/>
        <v>Mtonne</v>
      </c>
    </row>
    <row r="301" spans="1:13" s="7" customFormat="1" x14ac:dyDescent="0.25">
      <c r="A301" s="4" t="str">
        <v>OT N2O</v>
      </c>
      <c r="B301" s="35">
        <v>9.8806697688611056E-5</v>
      </c>
      <c r="C301" s="35">
        <v>9.7627363562050683E-5</v>
      </c>
      <c r="D301" s="35">
        <v>9.9626657364913478E-5</v>
      </c>
      <c r="E301" s="35">
        <v>9.6613283475453538E-5</v>
      </c>
      <c r="F301" s="35">
        <v>9.3651357007804018E-5</v>
      </c>
      <c r="G301" s="35">
        <v>9.0499011341016656E-5</v>
      </c>
      <c r="H301" s="35">
        <v>8.325638072716368E-5</v>
      </c>
      <c r="I301" s="35">
        <v>7.7350039380258653E-5</v>
      </c>
      <c r="J301" s="35">
        <v>6.9752698632190001E-5</v>
      </c>
      <c r="K301" s="35">
        <v>6.2901570645029059E-5</v>
      </c>
      <c r="M301" s="4" t="str">
        <f t="shared" si="14"/>
        <v>Mtonne</v>
      </c>
    </row>
    <row r="302" spans="1:13" s="7" customFormat="1" x14ac:dyDescent="0.25">
      <c r="A302" s="4" t="str">
        <v>EE N2O</v>
      </c>
      <c r="B302" s="35">
        <v>6.941250255892421E-5</v>
      </c>
      <c r="C302" s="35">
        <v>6.8829685191134152E-5</v>
      </c>
      <c r="D302" s="35">
        <v>6.9886832335453044E-5</v>
      </c>
      <c r="E302" s="35">
        <v>6.9034301039630402E-5</v>
      </c>
      <c r="F302" s="35">
        <v>6.8191913661764191E-5</v>
      </c>
      <c r="G302" s="35">
        <v>6.5583552600136059E-5</v>
      </c>
      <c r="H302" s="35">
        <v>5.9826887485031319E-5</v>
      </c>
      <c r="I302" s="35">
        <v>5.6466486686416839E-5</v>
      </c>
      <c r="J302" s="35">
        <v>5.0920333851328818E-5</v>
      </c>
      <c r="K302" s="35">
        <v>4.5918925573149011E-5</v>
      </c>
      <c r="M302" s="4" t="str">
        <f t="shared" si="14"/>
        <v>Mtonne</v>
      </c>
    </row>
    <row r="303" spans="1:13" s="7" customFormat="1" x14ac:dyDescent="0.25">
      <c r="A303" s="4" t="str">
        <v>CA N2O</v>
      </c>
      <c r="B303" s="35">
        <v>6.9478957206711708E-5</v>
      </c>
      <c r="C303" s="35">
        <v>6.8961227482833358E-5</v>
      </c>
      <c r="D303" s="35">
        <v>6.8964948253521412E-5</v>
      </c>
      <c r="E303" s="35">
        <v>7.1248819858788233E-5</v>
      </c>
      <c r="F303" s="35">
        <v>7.3478415597438249E-5</v>
      </c>
      <c r="G303" s="35">
        <v>7.3060876202673441E-5</v>
      </c>
      <c r="H303" s="35">
        <v>7.1143309990395312E-5</v>
      </c>
      <c r="I303" s="35">
        <v>6.9736511469826898E-5</v>
      </c>
      <c r="J303" s="35">
        <v>6.2886973389913615E-5</v>
      </c>
      <c r="K303" s="35">
        <v>5.6710198700645175E-5</v>
      </c>
      <c r="M303" s="4" t="str">
        <f t="shared" si="14"/>
        <v>Mtonne</v>
      </c>
    </row>
    <row r="304" spans="1:13" s="7" customFormat="1" x14ac:dyDescent="0.25">
      <c r="A304" s="4" t="str">
        <v>IA N2O</v>
      </c>
      <c r="B304" s="35">
        <v>6.9478957206711708E-5</v>
      </c>
      <c r="C304" s="35">
        <v>6.8961227482833358E-5</v>
      </c>
      <c r="D304" s="35">
        <v>6.8964948253521412E-5</v>
      </c>
      <c r="E304" s="35">
        <v>7.1248819858788233E-5</v>
      </c>
      <c r="F304" s="35">
        <v>7.3478415597438249E-5</v>
      </c>
      <c r="G304" s="35">
        <v>7.3060876202673441E-5</v>
      </c>
      <c r="H304" s="35">
        <v>7.1143309990395312E-5</v>
      </c>
      <c r="I304" s="35">
        <v>6.9736511469826898E-5</v>
      </c>
      <c r="J304" s="35">
        <v>6.2886973389913615E-5</v>
      </c>
      <c r="K304" s="35">
        <v>5.6710198700645175E-5</v>
      </c>
      <c r="M304" s="4" t="str">
        <f t="shared" si="14"/>
        <v>Mtonne</v>
      </c>
    </row>
    <row r="305" spans="1:13" s="7" customFormat="1" x14ac:dyDescent="0.25">
      <c r="A305" s="4" t="str">
        <v>AF N2O</v>
      </c>
      <c r="B305" s="35">
        <v>6.9186412391757039E-5</v>
      </c>
      <c r="C305" s="35">
        <v>6.8382155639628095E-5</v>
      </c>
      <c r="D305" s="35">
        <v>6.8170159552093942E-5</v>
      </c>
      <c r="E305" s="35">
        <v>6.9652762812427526E-5</v>
      </c>
      <c r="F305" s="35">
        <v>7.1097656756702272E-5</v>
      </c>
      <c r="G305" s="35">
        <v>7.1647221364594163E-5</v>
      </c>
      <c r="H305" s="35">
        <v>7.1455205443447274E-5</v>
      </c>
      <c r="I305" s="35">
        <v>7.0554230991604617E-5</v>
      </c>
      <c r="J305" s="35">
        <v>6.3624376290095924E-5</v>
      </c>
      <c r="K305" s="35">
        <v>5.7375173698447795E-5</v>
      </c>
      <c r="M305" s="4" t="str">
        <f t="shared" si="14"/>
        <v>Mtonne</v>
      </c>
    </row>
    <row r="306" spans="1:13" s="7" customFormat="1" ht="13" thickBot="1" x14ac:dyDescent="0.3">
      <c r="A306" s="4" t="str">
        <v>LA N2O</v>
      </c>
      <c r="B306" s="49">
        <v>6.9186412391757039E-5</v>
      </c>
      <c r="C306" s="49">
        <v>6.8382155639628095E-5</v>
      </c>
      <c r="D306" s="49">
        <v>6.8170159552093942E-5</v>
      </c>
      <c r="E306" s="49">
        <v>6.9652762812427526E-5</v>
      </c>
      <c r="F306" s="49">
        <v>7.1097656756702272E-5</v>
      </c>
      <c r="G306" s="49">
        <v>7.1647221364594163E-5</v>
      </c>
      <c r="H306" s="49">
        <v>7.1455205443447274E-5</v>
      </c>
      <c r="I306" s="49">
        <v>7.0554230991604617E-5</v>
      </c>
      <c r="J306" s="49">
        <v>6.3624376290095924E-5</v>
      </c>
      <c r="K306" s="49">
        <v>5.7375173698447795E-5</v>
      </c>
      <c r="M306" s="4" t="str">
        <f t="shared" si="14"/>
        <v>Mtonne</v>
      </c>
    </row>
    <row r="307" spans="1:13" s="8" customFormat="1" ht="15.5" thickTop="1" x14ac:dyDescent="0.4">
      <c r="A307" s="2" t="s">
        <v>363</v>
      </c>
      <c r="B307" s="2" t="s">
        <v>371</v>
      </c>
    </row>
    <row r="308" spans="1:13" s="7" customFormat="1" x14ac:dyDescent="0.25">
      <c r="A308" s="4" t="str">
        <f t="array" ref="A308:A315">R_CODE&amp;" "&amp;GLIN_NAME</f>
        <v>EU Lin</v>
      </c>
      <c r="B308" s="39">
        <f t="array" ref="B308:K315">(Q0_PROP_GLIN/100)*(ZC_GLIN/100)*E_GLIN_0</f>
        <v>1.0228060887044147E-4</v>
      </c>
      <c r="C308" s="39">
        <v>1.0450372591188621E-4</v>
      </c>
      <c r="D308" s="39">
        <v>9.3917359898000889E-5</v>
      </c>
      <c r="E308" s="39">
        <v>9.676483645507599E-5</v>
      </c>
      <c r="F308" s="39">
        <v>9.9543803902861372E-5</v>
      </c>
      <c r="G308" s="39">
        <v>1.0221432425889078E-4</v>
      </c>
      <c r="H308" s="39">
        <v>1.0815153069733923E-4</v>
      </c>
      <c r="I308" s="39">
        <v>1.1389329597664379E-4</v>
      </c>
      <c r="J308" s="39">
        <v>1.0270666717350399E-4</v>
      </c>
      <c r="K308" s="39">
        <v>9.2618791926542748E-5</v>
      </c>
      <c r="M308" s="4" t="str">
        <f t="shared" ref="M308:M315" si="15">EMIT_NAME</f>
        <v>Mtonne</v>
      </c>
    </row>
    <row r="309" spans="1:13" s="7" customFormat="1" x14ac:dyDescent="0.25">
      <c r="A309" s="4" t="str">
        <v>US Lin</v>
      </c>
      <c r="B309" s="35">
        <v>1.108039929088847E-4</v>
      </c>
      <c r="C309" s="35">
        <v>1.1321236970304216E-4</v>
      </c>
      <c r="D309" s="35">
        <v>1.0174380652486183E-4</v>
      </c>
      <c r="E309" s="35">
        <v>1.0482857279407735E-4</v>
      </c>
      <c r="F309" s="35">
        <v>1.0783912086158519E-4</v>
      </c>
      <c r="G309" s="35">
        <v>1.1073218457972689E-4</v>
      </c>
      <c r="H309" s="35">
        <v>1.1716415821940031E-4</v>
      </c>
      <c r="I309" s="35">
        <v>1.2338440393673298E-4</v>
      </c>
      <c r="J309" s="35">
        <v>1.1126555607039374E-4</v>
      </c>
      <c r="K309" s="35">
        <v>1.0033702455621505E-4</v>
      </c>
      <c r="M309" s="4" t="str">
        <f t="shared" si="15"/>
        <v>Mtonne</v>
      </c>
    </row>
    <row r="310" spans="1:13" s="7" customFormat="1" x14ac:dyDescent="0.25">
      <c r="A310" s="4" t="str">
        <v>OT Lin</v>
      </c>
      <c r="B310" s="35">
        <v>1.0228060887044147E-4</v>
      </c>
      <c r="C310" s="35">
        <v>1.0450372591188621E-4</v>
      </c>
      <c r="D310" s="35">
        <v>9.3917359898000889E-5</v>
      </c>
      <c r="E310" s="35">
        <v>9.676483645507599E-5</v>
      </c>
      <c r="F310" s="35">
        <v>9.9543803902861372E-5</v>
      </c>
      <c r="G310" s="35">
        <v>1.0221432425889078E-4</v>
      </c>
      <c r="H310" s="35">
        <v>1.0815153069733923E-4</v>
      </c>
      <c r="I310" s="35">
        <v>1.1389329597664379E-4</v>
      </c>
      <c r="J310" s="35">
        <v>1.0270666717350399E-4</v>
      </c>
      <c r="K310" s="35">
        <v>9.2618791926542748E-5</v>
      </c>
      <c r="M310" s="4" t="str">
        <f t="shared" si="15"/>
        <v>Mtonne</v>
      </c>
    </row>
    <row r="311" spans="1:13" s="7" customFormat="1" x14ac:dyDescent="0.25">
      <c r="A311" s="4" t="str">
        <v>EE Lin</v>
      </c>
      <c r="B311" s="35">
        <v>7.1827147498431168E-5</v>
      </c>
      <c r="C311" s="35">
        <v>7.3609304669343661E-5</v>
      </c>
      <c r="D311" s="35">
        <v>1.2498667817151122E-4</v>
      </c>
      <c r="E311" s="35">
        <v>1.7896969933309205E-4</v>
      </c>
      <c r="F311" s="35">
        <v>2.3182904208255648E-4</v>
      </c>
      <c r="G311" s="35">
        <v>2.3763342965405933E-4</v>
      </c>
      <c r="H311" s="35">
        <v>2.372681782481533E-4</v>
      </c>
      <c r="I311" s="35">
        <v>2.1095139655554686E-4</v>
      </c>
      <c r="J311" s="35">
        <v>1.9023169616813523E-4</v>
      </c>
      <c r="K311" s="35">
        <v>1.7154709007805423E-4</v>
      </c>
      <c r="M311" s="4" t="str">
        <f t="shared" si="15"/>
        <v>Mtonne</v>
      </c>
    </row>
    <row r="312" spans="1:13" s="7" customFormat="1" x14ac:dyDescent="0.25">
      <c r="A312" s="4" t="str">
        <v>CA Lin</v>
      </c>
      <c r="B312" s="35">
        <v>7.3682557264415443E-5</v>
      </c>
      <c r="C312" s="35">
        <v>7.7281957535387536E-5</v>
      </c>
      <c r="D312" s="35">
        <v>1.5909446803214991E-4</v>
      </c>
      <c r="E312" s="35">
        <v>3.0352268455361575E-4</v>
      </c>
      <c r="F312" s="35">
        <v>4.4496311362266931E-4</v>
      </c>
      <c r="G312" s="35">
        <v>5.9868324456782392E-4</v>
      </c>
      <c r="H312" s="35">
        <v>7.1404173386833535E-4</v>
      </c>
      <c r="I312" s="35">
        <v>6.497173903405372E-4</v>
      </c>
      <c r="J312" s="35">
        <v>5.8590198127401257E-4</v>
      </c>
      <c r="K312" s="35">
        <v>5.2835453808753544E-4</v>
      </c>
      <c r="M312" s="4" t="str">
        <f t="shared" si="15"/>
        <v>Mtonne</v>
      </c>
    </row>
    <row r="313" spans="1:13" s="7" customFormat="1" x14ac:dyDescent="0.25">
      <c r="A313" s="4" t="str">
        <v>IA Lin</v>
      </c>
      <c r="B313" s="35">
        <v>7.3682557264415443E-5</v>
      </c>
      <c r="C313" s="35">
        <v>7.7281957535387536E-5</v>
      </c>
      <c r="D313" s="35">
        <v>1.5909446803214991E-4</v>
      </c>
      <c r="E313" s="35">
        <v>3.0352268455361575E-4</v>
      </c>
      <c r="F313" s="35">
        <v>4.4496311362266931E-4</v>
      </c>
      <c r="G313" s="35">
        <v>5.9868324456782392E-4</v>
      </c>
      <c r="H313" s="35">
        <v>7.1404173386833535E-4</v>
      </c>
      <c r="I313" s="35">
        <v>6.497173903405372E-4</v>
      </c>
      <c r="J313" s="35">
        <v>5.8590198127401257E-4</v>
      </c>
      <c r="K313" s="35">
        <v>5.2835453808753544E-4</v>
      </c>
      <c r="M313" s="4" t="str">
        <f t="shared" si="15"/>
        <v>Mtonne</v>
      </c>
    </row>
    <row r="314" spans="1:13" s="7" customFormat="1" x14ac:dyDescent="0.25">
      <c r="A314" s="4" t="str">
        <v>AF Lin</v>
      </c>
      <c r="B314" s="35">
        <v>7.4558976733114636E-5</v>
      </c>
      <c r="C314" s="35">
        <v>7.901676810531426E-5</v>
      </c>
      <c r="D314" s="35">
        <v>1.6028785690440814E-4</v>
      </c>
      <c r="E314" s="35">
        <v>3.216208737443058E-4</v>
      </c>
      <c r="F314" s="35">
        <v>4.7961823706335231E-4</v>
      </c>
      <c r="G314" s="35">
        <v>5.7748686246779303E-4</v>
      </c>
      <c r="H314" s="35">
        <v>6.4889965028735975E-4</v>
      </c>
      <c r="I314" s="35">
        <v>6.012613191935755E-4</v>
      </c>
      <c r="J314" s="35">
        <v>5.4220527788905457E-4</v>
      </c>
      <c r="K314" s="35">
        <v>4.8894973613976722E-4</v>
      </c>
      <c r="M314" s="4" t="str">
        <f t="shared" si="15"/>
        <v>Mtonne</v>
      </c>
    </row>
    <row r="315" spans="1:13" s="7" customFormat="1" ht="13" thickBot="1" x14ac:dyDescent="0.3">
      <c r="A315" s="4" t="str">
        <v>LA Lin</v>
      </c>
      <c r="B315" s="49">
        <v>7.4558976733114636E-5</v>
      </c>
      <c r="C315" s="49">
        <v>7.901676810531426E-5</v>
      </c>
      <c r="D315" s="49">
        <v>1.6028785690440814E-4</v>
      </c>
      <c r="E315" s="49">
        <v>3.216208737443058E-4</v>
      </c>
      <c r="F315" s="49">
        <v>4.7961823706335231E-4</v>
      </c>
      <c r="G315" s="49">
        <v>5.7748686246779303E-4</v>
      </c>
      <c r="H315" s="49">
        <v>6.4889965028735975E-4</v>
      </c>
      <c r="I315" s="49">
        <v>6.012613191935755E-4</v>
      </c>
      <c r="J315" s="49">
        <v>5.4220527788905457E-4</v>
      </c>
      <c r="K315" s="49">
        <v>4.8894973613976722E-4</v>
      </c>
      <c r="M315" s="4" t="str">
        <f t="shared" si="15"/>
        <v>Mtonne</v>
      </c>
    </row>
    <row r="316" spans="1:13" s="2" customFormat="1" ht="15.5" thickTop="1" x14ac:dyDescent="0.4">
      <c r="A316" s="2" t="s">
        <v>376</v>
      </c>
      <c r="B316" s="2" t="s">
        <v>377</v>
      </c>
    </row>
    <row r="317" spans="1:13" s="6" customFormat="1" x14ac:dyDescent="0.25">
      <c r="A317" s="4" t="str">
        <f t="array" ref="A317:A324">R_CODE&amp;" "&amp;'Base data'!$B$11</f>
        <v>EU CO2</v>
      </c>
      <c r="B317" s="39">
        <f t="array" ref="B317:K324">(QMAX_MINUS_Q0_PROP_CO2/100)*(ZC_CO2/100)*E_CO2_0+Q0_CO2</f>
        <v>4157.1160829924174</v>
      </c>
      <c r="C317" s="39">
        <v>4216.1935062090342</v>
      </c>
      <c r="D317" s="39">
        <v>4354.0816876056742</v>
      </c>
      <c r="E317" s="39">
        <v>4305.1835315165799</v>
      </c>
      <c r="F317" s="39">
        <v>4255.6207523260991</v>
      </c>
      <c r="G317" s="39">
        <v>4063.9057997932568</v>
      </c>
      <c r="H317" s="39">
        <v>3522.7235730834027</v>
      </c>
      <c r="I317" s="39">
        <v>2983.099913224095</v>
      </c>
      <c r="J317" s="39">
        <v>3208.715875477501</v>
      </c>
      <c r="K317" s="39">
        <v>3464.8666724152472</v>
      </c>
      <c r="M317" s="4" t="str">
        <f t="shared" ref="M317:M324" si="16">EMIT_NAME</f>
        <v>Mtonne</v>
      </c>
    </row>
    <row r="318" spans="1:13" s="6" customFormat="1" x14ac:dyDescent="0.25">
      <c r="A318" s="4" t="str">
        <v>US CO2</v>
      </c>
      <c r="B318" s="35">
        <v>9186.8280912351365</v>
      </c>
      <c r="C318" s="35">
        <v>9315.0189621338359</v>
      </c>
      <c r="D318" s="35">
        <v>9617.2445296404185</v>
      </c>
      <c r="E318" s="35">
        <v>9506.8740976396366</v>
      </c>
      <c r="F318" s="35">
        <v>9395.1146808223584</v>
      </c>
      <c r="G318" s="35">
        <v>8969.6811542258292</v>
      </c>
      <c r="H318" s="35">
        <v>7771.4790077894568</v>
      </c>
      <c r="I318" s="35">
        <v>6577.927573520441</v>
      </c>
      <c r="J318" s="35">
        <v>7059.9146947043164</v>
      </c>
      <c r="K318" s="35">
        <v>7608.6752100040758</v>
      </c>
      <c r="M318" s="4" t="str">
        <f t="shared" si="16"/>
        <v>Mtonne</v>
      </c>
    </row>
    <row r="319" spans="1:13" s="6" customFormat="1" x14ac:dyDescent="0.25">
      <c r="A319" s="4" t="str">
        <v>OT CO2</v>
      </c>
      <c r="B319" s="35">
        <v>1525.4920606766095</v>
      </c>
      <c r="C319" s="35">
        <v>1547.1710656124801</v>
      </c>
      <c r="D319" s="35">
        <v>1597.7704046211456</v>
      </c>
      <c r="E319" s="35">
        <v>1579.8267755748423</v>
      </c>
      <c r="F319" s="35">
        <v>1561.6392569559919</v>
      </c>
      <c r="G319" s="35">
        <v>1491.2876881849506</v>
      </c>
      <c r="H319" s="35">
        <v>1292.6958822927027</v>
      </c>
      <c r="I319" s="35">
        <v>1094.6760068707802</v>
      </c>
      <c r="J319" s="35">
        <v>1177.4678636071301</v>
      </c>
      <c r="K319" s="35">
        <v>1271.4647593549248</v>
      </c>
      <c r="M319" s="4" t="str">
        <f t="shared" si="16"/>
        <v>Mtonne</v>
      </c>
    </row>
    <row r="320" spans="1:13" s="6" customFormat="1" x14ac:dyDescent="0.25">
      <c r="A320" s="4" t="str">
        <v>EE CO2</v>
      </c>
      <c r="B320" s="35">
        <v>1924.8937421823489</v>
      </c>
      <c r="C320" s="35">
        <v>1993.2344579663932</v>
      </c>
      <c r="D320" s="35">
        <v>1843.7436684634256</v>
      </c>
      <c r="E320" s="35">
        <v>1822.7643487491921</v>
      </c>
      <c r="F320" s="35">
        <v>1801.4122748957495</v>
      </c>
      <c r="G320" s="35">
        <v>1709.842382913572</v>
      </c>
      <c r="H320" s="35">
        <v>1460.4882953097579</v>
      </c>
      <c r="I320" s="35">
        <v>1272.9304372890031</v>
      </c>
      <c r="J320" s="35">
        <v>1380.8549138313506</v>
      </c>
      <c r="K320" s="35">
        <v>1502.2280929507765</v>
      </c>
      <c r="M320" s="4" t="str">
        <f t="shared" si="16"/>
        <v>Mtonne</v>
      </c>
    </row>
    <row r="321" spans="1:13" s="6" customFormat="1" x14ac:dyDescent="0.25">
      <c r="A321" s="4" t="str">
        <v>CA CO2</v>
      </c>
      <c r="B321" s="35">
        <v>2190.0166957949114</v>
      </c>
      <c r="C321" s="35">
        <v>2292.6443828767719</v>
      </c>
      <c r="D321" s="35">
        <v>2953.8321675577536</v>
      </c>
      <c r="E321" s="35">
        <v>3507.6560298770182</v>
      </c>
      <c r="F321" s="35">
        <v>4070.0689557948162</v>
      </c>
      <c r="G321" s="35">
        <v>4242.7563784273398</v>
      </c>
      <c r="H321" s="35">
        <v>4436.125692222261</v>
      </c>
      <c r="I321" s="35">
        <v>4101.3639163842381</v>
      </c>
      <c r="J321" s="35">
        <v>4449.0950577089279</v>
      </c>
      <c r="K321" s="35">
        <v>4840.1577290654423</v>
      </c>
      <c r="M321" s="4" t="str">
        <f t="shared" si="16"/>
        <v>Mtonne</v>
      </c>
    </row>
    <row r="322" spans="1:13" s="6" customFormat="1" x14ac:dyDescent="0.25">
      <c r="A322" s="4" t="str">
        <v>IA CO2</v>
      </c>
      <c r="B322" s="35">
        <v>3600.575836419805</v>
      </c>
      <c r="C322" s="35">
        <v>3769.30458217052</v>
      </c>
      <c r="D322" s="35">
        <v>4856.3541765546288</v>
      </c>
      <c r="E322" s="35">
        <v>5766.8882469698492</v>
      </c>
      <c r="F322" s="35">
        <v>6691.5434767852403</v>
      </c>
      <c r="G322" s="35">
        <v>6975.4564544251671</v>
      </c>
      <c r="H322" s="35">
        <v>7293.3722402234816</v>
      </c>
      <c r="I322" s="35">
        <v>6742.9950840338706</v>
      </c>
      <c r="J322" s="35">
        <v>7314.6949927279038</v>
      </c>
      <c r="K322" s="35">
        <v>7957.6356642376986</v>
      </c>
      <c r="M322" s="4" t="str">
        <f t="shared" si="16"/>
        <v>Mtonne</v>
      </c>
    </row>
    <row r="323" spans="1:13" s="6" customFormat="1" x14ac:dyDescent="0.25">
      <c r="A323" s="4" t="str">
        <v>AF CO2</v>
      </c>
      <c r="B323" s="35">
        <v>2018.5116309422181</v>
      </c>
      <c r="C323" s="35">
        <v>2113.4892257437537</v>
      </c>
      <c r="D323" s="35">
        <v>2761.9487656460069</v>
      </c>
      <c r="E323" s="35">
        <v>3295.9942893270509</v>
      </c>
      <c r="F323" s="35">
        <v>3838.3242348710951</v>
      </c>
      <c r="G323" s="35">
        <v>4146.4720191075467</v>
      </c>
      <c r="H323" s="35">
        <v>4346.6067136434212</v>
      </c>
      <c r="I323" s="35">
        <v>3816.4827826792753</v>
      </c>
      <c r="J323" s="35">
        <v>4140.0604853467994</v>
      </c>
      <c r="K323" s="35">
        <v>4503.9599057855676</v>
      </c>
      <c r="M323" s="4" t="str">
        <f t="shared" si="16"/>
        <v>Mtonne</v>
      </c>
    </row>
    <row r="324" spans="1:13" s="6" customFormat="1" ht="13" thickBot="1" x14ac:dyDescent="0.3">
      <c r="A324" s="4" t="str">
        <v>LA CO2</v>
      </c>
      <c r="B324" s="49">
        <v>1721.7409594151234</v>
      </c>
      <c r="C324" s="49">
        <v>1802.7545204418707</v>
      </c>
      <c r="D324" s="49">
        <v>2355.874618071447</v>
      </c>
      <c r="E324" s="49">
        <v>2811.4023634749979</v>
      </c>
      <c r="F324" s="49">
        <v>3273.996517725519</v>
      </c>
      <c r="G324" s="49">
        <v>3536.8390268000176</v>
      </c>
      <c r="H324" s="49">
        <v>3707.5490171217498</v>
      </c>
      <c r="I324" s="49">
        <v>3255.3662942106757</v>
      </c>
      <c r="J324" s="49">
        <v>3531.3701456108624</v>
      </c>
      <c r="K324" s="49">
        <v>3841.7674342231603</v>
      </c>
      <c r="M324" s="4" t="str">
        <f t="shared" si="16"/>
        <v>Mtonne</v>
      </c>
    </row>
    <row r="325" spans="1:13" s="2" customFormat="1" ht="15.5" thickTop="1" x14ac:dyDescent="0.4">
      <c r="A325" s="2" t="s">
        <v>376</v>
      </c>
      <c r="B325" s="2" t="s">
        <v>378</v>
      </c>
    </row>
    <row r="326" spans="1:13" s="7" customFormat="1" x14ac:dyDescent="0.25">
      <c r="A326" s="4" t="str">
        <f t="array" ref="A326:A333">R_CODE&amp;" "&amp;'Base data'!$C$11</f>
        <v>EU CH4</v>
      </c>
      <c r="B326" s="39">
        <f t="array" ref="B326:K333">(QMAX_MINUS_Q0_PROP_CH4/100)*(ZC_CH4/100)*E_CH4_0+Q0_CH4</f>
        <v>6.2281675325428175E-4</v>
      </c>
      <c r="C326" s="39">
        <v>6.2900625929040218E-4</v>
      </c>
      <c r="D326" s="39">
        <v>6.1748770343272245E-4</v>
      </c>
      <c r="E326" s="39">
        <v>5.7729506073118855E-4</v>
      </c>
      <c r="F326" s="39">
        <v>5.3591566806853548E-4</v>
      </c>
      <c r="G326" s="39">
        <v>5.0188660447021585E-4</v>
      </c>
      <c r="H326" s="39">
        <v>4.4556707159093881E-4</v>
      </c>
      <c r="I326" s="39">
        <v>4.1614082626677273E-4</v>
      </c>
      <c r="J326" s="39">
        <v>4.7367500846853968E-4</v>
      </c>
      <c r="K326" s="39">
        <v>5.3827787221182889E-4</v>
      </c>
      <c r="M326" s="4" t="str">
        <f t="shared" ref="M326:M333" si="17">EMIT_NAME</f>
        <v>Mtonne</v>
      </c>
    </row>
    <row r="327" spans="1:13" s="7" customFormat="1" x14ac:dyDescent="0.25">
      <c r="A327" s="4" t="str">
        <v>US CH4</v>
      </c>
      <c r="B327" s="35">
        <v>6.3110551801476961E-4</v>
      </c>
      <c r="C327" s="35">
        <v>6.3725003943978988E-4</v>
      </c>
      <c r="D327" s="35">
        <v>6.2545704698091303E-4</v>
      </c>
      <c r="E327" s="35">
        <v>5.8463168051056181E-4</v>
      </c>
      <c r="F327" s="35">
        <v>5.4262192101225514E-4</v>
      </c>
      <c r="G327" s="35">
        <v>5.0807041237796696E-4</v>
      </c>
      <c r="H327" s="35">
        <v>4.5088868159204147E-4</v>
      </c>
      <c r="I327" s="35">
        <v>4.2095785300667838E-4</v>
      </c>
      <c r="J327" s="35">
        <v>4.7835305153749963E-4</v>
      </c>
      <c r="K327" s="35">
        <v>5.4279776272225572E-4</v>
      </c>
      <c r="M327" s="4" t="str">
        <f t="shared" si="17"/>
        <v>Mtonne</v>
      </c>
    </row>
    <row r="328" spans="1:13" s="7" customFormat="1" x14ac:dyDescent="0.25">
      <c r="A328" s="4" t="str">
        <v>OT CH4</v>
      </c>
      <c r="B328" s="35">
        <v>6.2281675325428175E-4</v>
      </c>
      <c r="C328" s="35">
        <v>6.2900625929040218E-4</v>
      </c>
      <c r="D328" s="35">
        <v>6.1748770343272245E-4</v>
      </c>
      <c r="E328" s="35">
        <v>5.7729506073118855E-4</v>
      </c>
      <c r="F328" s="35">
        <v>5.3591566806853548E-4</v>
      </c>
      <c r="G328" s="35">
        <v>5.0188660447021585E-4</v>
      </c>
      <c r="H328" s="35">
        <v>4.4556707159093881E-4</v>
      </c>
      <c r="I328" s="35">
        <v>4.1614082626677273E-4</v>
      </c>
      <c r="J328" s="35">
        <v>4.7367500846853968E-4</v>
      </c>
      <c r="K328" s="35">
        <v>5.3827787221182889E-4</v>
      </c>
      <c r="M328" s="4" t="str">
        <f t="shared" si="17"/>
        <v>Mtonne</v>
      </c>
    </row>
    <row r="329" spans="1:13" s="7" customFormat="1" x14ac:dyDescent="0.25">
      <c r="A329" s="4" t="str">
        <v>EE CH4</v>
      </c>
      <c r="B329" s="35">
        <v>6.1586786588300828E-4</v>
      </c>
      <c r="C329" s="35">
        <v>6.4575487730569837E-4</v>
      </c>
      <c r="D329" s="35">
        <v>6.9349285121711294E-4</v>
      </c>
      <c r="E329" s="35">
        <v>6.4142314893002165E-4</v>
      </c>
      <c r="F329" s="35">
        <v>5.8773830843994966E-4</v>
      </c>
      <c r="G329" s="35">
        <v>5.3897708035432828E-4</v>
      </c>
      <c r="H329" s="35">
        <v>4.6714977769919967E-4</v>
      </c>
      <c r="I329" s="35">
        <v>4.2584474987238341E-4</v>
      </c>
      <c r="J329" s="35">
        <v>4.8781497614999817E-4</v>
      </c>
      <c r="K329" s="35">
        <v>5.5740694565309683E-4</v>
      </c>
      <c r="M329" s="4" t="str">
        <f t="shared" si="17"/>
        <v>Mtonne</v>
      </c>
    </row>
    <row r="330" spans="1:13" s="7" customFormat="1" x14ac:dyDescent="0.25">
      <c r="A330" s="4" t="str">
        <v>CA CH4</v>
      </c>
      <c r="B330" s="35">
        <v>6.0314621057461454E-4</v>
      </c>
      <c r="C330" s="35">
        <v>6.1995316162239203E-4</v>
      </c>
      <c r="D330" s="35">
        <v>7.4117978651941276E-4</v>
      </c>
      <c r="E330" s="35">
        <v>8.3883529175670572E-4</v>
      </c>
      <c r="F330" s="35">
        <v>9.3905318619671736E-4</v>
      </c>
      <c r="G330" s="35">
        <v>8.9010261899033212E-4</v>
      </c>
      <c r="H330" s="35">
        <v>6.9590576922023387E-4</v>
      </c>
      <c r="I330" s="35">
        <v>5.6120965222160703E-4</v>
      </c>
      <c r="J330" s="35">
        <v>6.4287859177710642E-4</v>
      </c>
      <c r="K330" s="35">
        <v>7.3459202728137145E-4</v>
      </c>
      <c r="M330" s="4" t="str">
        <f t="shared" si="17"/>
        <v>Mtonne</v>
      </c>
    </row>
    <row r="331" spans="1:13" s="7" customFormat="1" x14ac:dyDescent="0.25">
      <c r="A331" s="4" t="str">
        <v>IA CH4</v>
      </c>
      <c r="B331" s="35">
        <v>6.0314621057461454E-4</v>
      </c>
      <c r="C331" s="35">
        <v>6.1995316162239203E-4</v>
      </c>
      <c r="D331" s="35">
        <v>7.4117978651941276E-4</v>
      </c>
      <c r="E331" s="35">
        <v>8.3883529175670572E-4</v>
      </c>
      <c r="F331" s="35">
        <v>9.3905318619671736E-4</v>
      </c>
      <c r="G331" s="35">
        <v>8.9010261899033212E-4</v>
      </c>
      <c r="H331" s="35">
        <v>6.9590576922023387E-4</v>
      </c>
      <c r="I331" s="35">
        <v>5.6120965222160703E-4</v>
      </c>
      <c r="J331" s="35">
        <v>6.4287859177710642E-4</v>
      </c>
      <c r="K331" s="35">
        <v>7.3459202728137145E-4</v>
      </c>
      <c r="M331" s="4" t="str">
        <f t="shared" si="17"/>
        <v>Mtonne</v>
      </c>
    </row>
    <row r="332" spans="1:13" s="7" customFormat="1" x14ac:dyDescent="0.25">
      <c r="A332" s="4" t="str">
        <v>AF CH4</v>
      </c>
      <c r="B332" s="35">
        <v>6.0363085150815139E-4</v>
      </c>
      <c r="C332" s="35">
        <v>6.2093609719740029E-4</v>
      </c>
      <c r="D332" s="35">
        <v>7.6048101302178658E-4</v>
      </c>
      <c r="E332" s="35">
        <v>8.328637751645083E-4</v>
      </c>
      <c r="F332" s="35">
        <v>9.0709753179326518E-4</v>
      </c>
      <c r="G332" s="35">
        <v>9.1296470752875352E-4</v>
      </c>
      <c r="H332" s="35">
        <v>8.4337392291245188E-4</v>
      </c>
      <c r="I332" s="35">
        <v>6.662846533593993E-4</v>
      </c>
      <c r="J332" s="35">
        <v>7.6324442742343947E-4</v>
      </c>
      <c r="K332" s="35">
        <v>8.7212932336466103E-4</v>
      </c>
      <c r="M332" s="4" t="str">
        <f t="shared" si="17"/>
        <v>Mtonne</v>
      </c>
    </row>
    <row r="333" spans="1:13" s="7" customFormat="1" ht="13" thickBot="1" x14ac:dyDescent="0.3">
      <c r="A333" s="4" t="str">
        <v>LA CH4</v>
      </c>
      <c r="B333" s="49">
        <v>6.0363085150815139E-4</v>
      </c>
      <c r="C333" s="49">
        <v>6.2093609719740029E-4</v>
      </c>
      <c r="D333" s="49">
        <v>7.6048101302178658E-4</v>
      </c>
      <c r="E333" s="49">
        <v>8.328637751645083E-4</v>
      </c>
      <c r="F333" s="49">
        <v>9.0709753179326518E-4</v>
      </c>
      <c r="G333" s="49">
        <v>9.1296470752875352E-4</v>
      </c>
      <c r="H333" s="49">
        <v>8.4337392291245188E-4</v>
      </c>
      <c r="I333" s="49">
        <v>6.662846533593993E-4</v>
      </c>
      <c r="J333" s="49">
        <v>7.6324442742343947E-4</v>
      </c>
      <c r="K333" s="49">
        <v>8.7212932336466103E-4</v>
      </c>
      <c r="M333" s="4" t="str">
        <f t="shared" si="17"/>
        <v>Mtonne</v>
      </c>
    </row>
    <row r="334" spans="1:13" s="2" customFormat="1" ht="15.5" thickTop="1" x14ac:dyDescent="0.4">
      <c r="A334" s="2" t="s">
        <v>376</v>
      </c>
      <c r="B334" s="2" t="s">
        <v>379</v>
      </c>
    </row>
    <row r="335" spans="1:13" s="7" customFormat="1" x14ac:dyDescent="0.25">
      <c r="A335" s="4" t="str">
        <f t="array" ref="A335:A342">R_CODE&amp;" "&amp;'Base data'!$D$11</f>
        <v>EU N2O</v>
      </c>
      <c r="B335" s="39">
        <f t="array" ref="B335:K342">(QMAX_MINUS_Q0_PROP_N2O/100)*(ZC_N2O/100)*E_N2O_0+Q0_N2O</f>
        <v>6.1869357886106121E-4</v>
      </c>
      <c r="C335" s="39">
        <v>6.2075307484472843E-4</v>
      </c>
      <c r="D335" s="39">
        <v>6.4328003972206318E-4</v>
      </c>
      <c r="E335" s="39">
        <v>6.3351576072667249E-4</v>
      </c>
      <c r="F335" s="39">
        <v>6.2366209785609051E-4</v>
      </c>
      <c r="G335" s="39">
        <v>6.1208565452635809E-4</v>
      </c>
      <c r="H335" s="39">
        <v>5.8090661779346717E-4</v>
      </c>
      <c r="I335" s="39">
        <v>5.5685299440100386E-4</v>
      </c>
      <c r="J335" s="39">
        <v>5.8856715468581745E-4</v>
      </c>
      <c r="K335" s="39">
        <v>6.2425043615635021E-4</v>
      </c>
      <c r="M335" s="4" t="str">
        <f t="shared" ref="M335:M342" si="18">EMIT_NAME</f>
        <v>Mtonne</v>
      </c>
    </row>
    <row r="336" spans="1:13" s="7" customFormat="1" x14ac:dyDescent="0.25">
      <c r="A336" s="4" t="str">
        <v>US N2O</v>
      </c>
      <c r="B336" s="35">
        <v>6.2692747030217654E-4</v>
      </c>
      <c r="C336" s="35">
        <v>6.2888868844235691E-4</v>
      </c>
      <c r="D336" s="35">
        <v>6.5158226113593042E-4</v>
      </c>
      <c r="E336" s="35">
        <v>6.4156686765075581E-4</v>
      </c>
      <c r="F336" s="35">
        <v>6.314663775755237E-4</v>
      </c>
      <c r="G336" s="35">
        <v>6.1962723877460977E-4</v>
      </c>
      <c r="H336" s="35">
        <v>5.8784464949297873E-4</v>
      </c>
      <c r="I336" s="35">
        <v>5.6329883099024206E-4</v>
      </c>
      <c r="J336" s="35">
        <v>5.9437987954858232E-4</v>
      </c>
      <c r="K336" s="35">
        <v>6.2949223368913548E-4</v>
      </c>
      <c r="M336" s="4" t="str">
        <f t="shared" si="18"/>
        <v>Mtonne</v>
      </c>
    </row>
    <row r="337" spans="1:13" s="7" customFormat="1" x14ac:dyDescent="0.25">
      <c r="A337" s="4" t="str">
        <v>OT N2O</v>
      </c>
      <c r="B337" s="35">
        <v>6.1869357886106121E-4</v>
      </c>
      <c r="C337" s="35">
        <v>6.2075307484472843E-4</v>
      </c>
      <c r="D337" s="35">
        <v>6.4328003972206318E-4</v>
      </c>
      <c r="E337" s="35">
        <v>6.3351576072667249E-4</v>
      </c>
      <c r="F337" s="35">
        <v>6.2366209785609051E-4</v>
      </c>
      <c r="G337" s="35">
        <v>6.1208565452635809E-4</v>
      </c>
      <c r="H337" s="35">
        <v>5.8090661779346717E-4</v>
      </c>
      <c r="I337" s="35">
        <v>5.5685299440100386E-4</v>
      </c>
      <c r="J337" s="35">
        <v>5.8856715468581745E-4</v>
      </c>
      <c r="K337" s="35">
        <v>6.2425043615635021E-4</v>
      </c>
      <c r="M337" s="4" t="str">
        <f t="shared" si="18"/>
        <v>Mtonne</v>
      </c>
    </row>
    <row r="338" spans="1:13" s="7" customFormat="1" x14ac:dyDescent="0.25">
      <c r="A338" s="4" t="str">
        <v>EE N2O</v>
      </c>
      <c r="B338" s="35">
        <v>5.9116211661647614E-4</v>
      </c>
      <c r="C338" s="35">
        <v>5.9571033347942349E-4</v>
      </c>
      <c r="D338" s="35">
        <v>6.1469530294144608E-4</v>
      </c>
      <c r="E338" s="35">
        <v>6.1709095847048911E-4</v>
      </c>
      <c r="F338" s="35">
        <v>6.1951405500598202E-4</v>
      </c>
      <c r="G338" s="35">
        <v>6.0556585330607052E-4</v>
      </c>
      <c r="H338" s="35">
        <v>5.7069060198488327E-4</v>
      </c>
      <c r="I338" s="35">
        <v>5.565280517614709E-4</v>
      </c>
      <c r="J338" s="35">
        <v>5.9197887407766675E-4</v>
      </c>
      <c r="K338" s="35">
        <v>6.3133553104235333E-4</v>
      </c>
      <c r="M338" s="4" t="str">
        <f t="shared" si="18"/>
        <v>Mtonne</v>
      </c>
    </row>
    <row r="339" spans="1:13" s="7" customFormat="1" x14ac:dyDescent="0.25">
      <c r="A339" s="4" t="str">
        <v>CA N2O</v>
      </c>
      <c r="B339" s="35">
        <v>5.9172808771385465E-4</v>
      </c>
      <c r="C339" s="35">
        <v>5.9684881177170647E-4</v>
      </c>
      <c r="D339" s="35">
        <v>6.0658679671669912E-4</v>
      </c>
      <c r="E339" s="35">
        <v>6.3688632859932605E-4</v>
      </c>
      <c r="F339" s="35">
        <v>6.6754119011779175E-4</v>
      </c>
      <c r="G339" s="35">
        <v>6.7460773451405475E-4</v>
      </c>
      <c r="H339" s="35">
        <v>6.7863831986536452E-4</v>
      </c>
      <c r="I339" s="35">
        <v>6.8731609034709373E-4</v>
      </c>
      <c r="J339" s="35">
        <v>7.3109810729455303E-4</v>
      </c>
      <c r="K339" s="35">
        <v>7.7970385772974224E-4</v>
      </c>
      <c r="M339" s="4" t="str">
        <f t="shared" si="18"/>
        <v>Mtonne</v>
      </c>
    </row>
    <row r="340" spans="1:13" s="7" customFormat="1" x14ac:dyDescent="0.25">
      <c r="A340" s="4" t="str">
        <v>IA N2O</v>
      </c>
      <c r="B340" s="35">
        <v>5.9172808771385465E-4</v>
      </c>
      <c r="C340" s="35">
        <v>5.9684881177170647E-4</v>
      </c>
      <c r="D340" s="35">
        <v>6.0658679671669912E-4</v>
      </c>
      <c r="E340" s="35">
        <v>6.3688632859932605E-4</v>
      </c>
      <c r="F340" s="35">
        <v>6.6754119011779175E-4</v>
      </c>
      <c r="G340" s="35">
        <v>6.7460773451405475E-4</v>
      </c>
      <c r="H340" s="35">
        <v>6.7863831986536452E-4</v>
      </c>
      <c r="I340" s="35">
        <v>6.8731609034709373E-4</v>
      </c>
      <c r="J340" s="35">
        <v>7.3109810729455303E-4</v>
      </c>
      <c r="K340" s="35">
        <v>7.7970385772974224E-4</v>
      </c>
      <c r="M340" s="4" t="str">
        <f t="shared" si="18"/>
        <v>Mtonne</v>
      </c>
    </row>
    <row r="341" spans="1:13" s="7" customFormat="1" x14ac:dyDescent="0.25">
      <c r="A341" s="4" t="str">
        <v>AF N2O</v>
      </c>
      <c r="B341" s="35">
        <v>5.8923658538159154E-4</v>
      </c>
      <c r="C341" s="35">
        <v>5.9183703407918273E-4</v>
      </c>
      <c r="D341" s="35">
        <v>5.995961682209995E-4</v>
      </c>
      <c r="E341" s="35">
        <v>6.2261932860541147E-4</v>
      </c>
      <c r="F341" s="35">
        <v>6.4591232704274521E-4</v>
      </c>
      <c r="G341" s="35">
        <v>6.6155474997201316E-4</v>
      </c>
      <c r="H341" s="35">
        <v>6.8161350061337039E-4</v>
      </c>
      <c r="I341" s="35">
        <v>6.9537545226329629E-4</v>
      </c>
      <c r="J341" s="35">
        <v>7.396708503536627E-4</v>
      </c>
      <c r="K341" s="35">
        <v>7.8884654428278069E-4</v>
      </c>
      <c r="M341" s="4" t="str">
        <f t="shared" si="18"/>
        <v>Mtonne</v>
      </c>
    </row>
    <row r="342" spans="1:13" s="7" customFormat="1" ht="13" thickBot="1" x14ac:dyDescent="0.3">
      <c r="A342" s="4" t="str">
        <v>LA N2O</v>
      </c>
      <c r="B342" s="49">
        <v>5.8923658538159154E-4</v>
      </c>
      <c r="C342" s="49">
        <v>5.9183703407918273E-4</v>
      </c>
      <c r="D342" s="49">
        <v>5.995961682209995E-4</v>
      </c>
      <c r="E342" s="49">
        <v>6.2261932860541147E-4</v>
      </c>
      <c r="F342" s="49">
        <v>6.4591232704274521E-4</v>
      </c>
      <c r="G342" s="49">
        <v>6.6155474997201316E-4</v>
      </c>
      <c r="H342" s="49">
        <v>6.8161350061337039E-4</v>
      </c>
      <c r="I342" s="49">
        <v>6.9537545226329629E-4</v>
      </c>
      <c r="J342" s="49">
        <v>7.396708503536627E-4</v>
      </c>
      <c r="K342" s="49">
        <v>7.8884654428278069E-4</v>
      </c>
      <c r="M342" s="4" t="str">
        <f t="shared" si="18"/>
        <v>Mtonne</v>
      </c>
    </row>
    <row r="343" spans="1:13" s="2" customFormat="1" ht="15.5" thickTop="1" x14ac:dyDescent="0.4">
      <c r="A343" s="2" t="s">
        <v>376</v>
      </c>
      <c r="B343" s="2" t="s">
        <v>380</v>
      </c>
    </row>
    <row r="344" spans="1:13" s="7" customFormat="1" x14ac:dyDescent="0.25">
      <c r="A344" s="4" t="str">
        <f t="array" ref="A344:A351">R_CODE&amp;" "&amp;GLIN_NAME</f>
        <v>EU Lin</v>
      </c>
      <c r="B344" s="45">
        <f t="array" ref="B344:K351">(QMAX_MINUS_Q0_PROP_GLIN/100)*(ZC_GLIN/100)*E_GLIN_0+Q0_GLIN</f>
        <v>8.3140793545312852E-4</v>
      </c>
      <c r="C344" s="45">
        <v>8.6317541118837847E-4</v>
      </c>
      <c r="D344" s="45">
        <v>7.8826986591395282E-4</v>
      </c>
      <c r="E344" s="45">
        <v>8.253221615850384E-4</v>
      </c>
      <c r="F344" s="45">
        <v>8.6280366724544627E-4</v>
      </c>
      <c r="G344" s="45">
        <v>9.0035966923607237E-4</v>
      </c>
      <c r="H344" s="45">
        <v>9.839959251610735E-4</v>
      </c>
      <c r="I344" s="45">
        <v>1.0704627457559562E-3</v>
      </c>
      <c r="J344" s="45">
        <v>1.1376993686122269E-3</v>
      </c>
      <c r="K344" s="45">
        <v>1.2124641855658254E-3</v>
      </c>
      <c r="M344" s="4" t="str">
        <f t="shared" ref="M344:M351" si="19">EMIT_NAME</f>
        <v>Mtonne</v>
      </c>
    </row>
    <row r="345" spans="1:13" s="7" customFormat="1" x14ac:dyDescent="0.25">
      <c r="A345" s="4" t="str">
        <v>US Lin</v>
      </c>
      <c r="B345" s="46">
        <v>8.3993131949157179E-4</v>
      </c>
      <c r="C345" s="46">
        <v>8.7188405497953445E-4</v>
      </c>
      <c r="D345" s="46">
        <v>7.9609631254081369E-4</v>
      </c>
      <c r="E345" s="46">
        <v>8.3338589792403977E-4</v>
      </c>
      <c r="F345" s="46">
        <v>8.7109898420417004E-4</v>
      </c>
      <c r="G345" s="46">
        <v>9.0887752955690852E-4</v>
      </c>
      <c r="H345" s="46">
        <v>9.9300855268313459E-4</v>
      </c>
      <c r="I345" s="46">
        <v>1.0799538537160454E-3</v>
      </c>
      <c r="J345" s="46">
        <v>1.1462582575091167E-3</v>
      </c>
      <c r="K345" s="46">
        <v>1.2201824181954975E-3</v>
      </c>
      <c r="M345" s="4" t="str">
        <f t="shared" si="19"/>
        <v>Mtonne</v>
      </c>
    </row>
    <row r="346" spans="1:13" s="7" customFormat="1" x14ac:dyDescent="0.25">
      <c r="A346" s="4" t="str">
        <v>OT Lin</v>
      </c>
      <c r="B346" s="46">
        <v>8.3140793545312852E-4</v>
      </c>
      <c r="C346" s="46">
        <v>8.6317541118837847E-4</v>
      </c>
      <c r="D346" s="46">
        <v>7.8826986591395282E-4</v>
      </c>
      <c r="E346" s="46">
        <v>8.253221615850384E-4</v>
      </c>
      <c r="F346" s="46">
        <v>8.6280366724544627E-4</v>
      </c>
      <c r="G346" s="46">
        <v>9.0035966923607237E-4</v>
      </c>
      <c r="H346" s="46">
        <v>9.839959251610735E-4</v>
      </c>
      <c r="I346" s="46">
        <v>1.0704627457559562E-3</v>
      </c>
      <c r="J346" s="46">
        <v>1.1376993686122269E-3</v>
      </c>
      <c r="K346" s="46">
        <v>1.2124641855658254E-3</v>
      </c>
      <c r="M346" s="4" t="str">
        <f t="shared" si="19"/>
        <v>Mtonne</v>
      </c>
    </row>
    <row r="347" spans="1:13" s="7" customFormat="1" x14ac:dyDescent="0.25">
      <c r="A347" s="4" t="str">
        <v>EE Lin</v>
      </c>
      <c r="B347" s="46">
        <v>8.0330410527962998E-4</v>
      </c>
      <c r="C347" s="46">
        <v>8.3701742704177999E-4</v>
      </c>
      <c r="D347" s="46">
        <v>1.4450653592169823E-3</v>
      </c>
      <c r="E347" s="46">
        <v>2.1039559443691742E-3</v>
      </c>
      <c r="F347" s="46">
        <v>2.7712107879095333E-3</v>
      </c>
      <c r="G347" s="46">
        <v>2.8884502593824802E-3</v>
      </c>
      <c r="H347" s="46">
        <v>2.9822264070717077E-3</v>
      </c>
      <c r="I347" s="46">
        <v>2.7420129686167977E-3</v>
      </c>
      <c r="J347" s="46">
        <v>2.9287994547138253E-3</v>
      </c>
      <c r="K347" s="46">
        <v>3.1346331923407904E-3</v>
      </c>
      <c r="M347" s="4" t="str">
        <f t="shared" si="19"/>
        <v>Mtonne</v>
      </c>
    </row>
    <row r="348" spans="1:13" s="7" customFormat="1" x14ac:dyDescent="0.25">
      <c r="A348" s="4" t="str">
        <v>CA Lin</v>
      </c>
      <c r="B348" s="46">
        <v>8.2405473138549964E-4</v>
      </c>
      <c r="C348" s="46">
        <v>8.7877946332459147E-4</v>
      </c>
      <c r="D348" s="46">
        <v>1.8394112713423247E-3</v>
      </c>
      <c r="E348" s="46">
        <v>3.5681925979488467E-3</v>
      </c>
      <c r="F348" s="46">
        <v>5.3189478316260442E-3</v>
      </c>
      <c r="G348" s="46">
        <v>7.2770349507529242E-3</v>
      </c>
      <c r="H348" s="46">
        <v>8.9747986022225557E-3</v>
      </c>
      <c r="I348" s="46">
        <v>8.4452321214214358E-3</v>
      </c>
      <c r="J348" s="46">
        <v>9.0205230665367682E-3</v>
      </c>
      <c r="K348" s="46">
        <v>9.654478380598016E-3</v>
      </c>
      <c r="M348" s="4" t="str">
        <f t="shared" si="19"/>
        <v>Mtonne</v>
      </c>
    </row>
    <row r="349" spans="1:13" s="7" customFormat="1" x14ac:dyDescent="0.25">
      <c r="A349" s="4" t="str">
        <v>IA Lin</v>
      </c>
      <c r="B349" s="46">
        <v>8.2405473138549964E-4</v>
      </c>
      <c r="C349" s="46">
        <v>8.7877946332459147E-4</v>
      </c>
      <c r="D349" s="46">
        <v>1.8394112713423247E-3</v>
      </c>
      <c r="E349" s="46">
        <v>3.5681925979488467E-3</v>
      </c>
      <c r="F349" s="46">
        <v>5.3189478316260442E-3</v>
      </c>
      <c r="G349" s="46">
        <v>7.2770349507529242E-3</v>
      </c>
      <c r="H349" s="46">
        <v>8.9747986022225557E-3</v>
      </c>
      <c r="I349" s="46">
        <v>8.4452321214214358E-3</v>
      </c>
      <c r="J349" s="46">
        <v>9.0205230665367682E-3</v>
      </c>
      <c r="K349" s="46">
        <v>9.654478380598016E-3</v>
      </c>
      <c r="M349" s="4" t="str">
        <f t="shared" si="19"/>
        <v>Mtonne</v>
      </c>
    </row>
    <row r="350" spans="1:13" s="7" customFormat="1" x14ac:dyDescent="0.25">
      <c r="A350" s="4" t="str">
        <v>AF Lin</v>
      </c>
      <c r="B350" s="46">
        <v>8.3385647601371868E-4</v>
      </c>
      <c r="C350" s="46">
        <v>8.9850613627942642E-4</v>
      </c>
      <c r="D350" s="46">
        <v>1.8532089411788567E-3</v>
      </c>
      <c r="E350" s="46">
        <v>3.7809537126624682E-3</v>
      </c>
      <c r="F350" s="46">
        <v>5.733204177907964E-3</v>
      </c>
      <c r="G350" s="46">
        <v>7.0193915061250618E-3</v>
      </c>
      <c r="H350" s="46">
        <v>8.1560270193612536E-3</v>
      </c>
      <c r="I350" s="46">
        <v>7.8153847837755756E-3</v>
      </c>
      <c r="J350" s="46">
        <v>8.3477703990026304E-3</v>
      </c>
      <c r="K350" s="46">
        <v>8.9344451811605476E-3</v>
      </c>
      <c r="M350" s="4" t="str">
        <f t="shared" si="19"/>
        <v>Mtonne</v>
      </c>
    </row>
    <row r="351" spans="1:13" s="7" customFormat="1" ht="13" thickBot="1" x14ac:dyDescent="0.3">
      <c r="A351" s="4" t="str">
        <v>LA Lin</v>
      </c>
      <c r="B351" s="47">
        <v>8.3385647601371868E-4</v>
      </c>
      <c r="C351" s="47">
        <v>8.9850613627942642E-4</v>
      </c>
      <c r="D351" s="47">
        <v>1.8532089411788567E-3</v>
      </c>
      <c r="E351" s="47">
        <v>3.7809537126624682E-3</v>
      </c>
      <c r="F351" s="47">
        <v>5.733204177907964E-3</v>
      </c>
      <c r="G351" s="47">
        <v>7.0193915061250618E-3</v>
      </c>
      <c r="H351" s="47">
        <v>8.1560270193612536E-3</v>
      </c>
      <c r="I351" s="47">
        <v>7.8153847837755756E-3</v>
      </c>
      <c r="J351" s="47">
        <v>8.3477703990026304E-3</v>
      </c>
      <c r="K351" s="47">
        <v>8.9344451811605476E-3</v>
      </c>
      <c r="M351" s="4" t="str">
        <f t="shared" si="19"/>
        <v>Mtonne</v>
      </c>
    </row>
    <row r="352" spans="1:13" s="2" customFormat="1" ht="15.5" thickTop="1" x14ac:dyDescent="0.4">
      <c r="A352" s="2" t="s">
        <v>381</v>
      </c>
      <c r="B352" s="2" t="s">
        <v>382</v>
      </c>
    </row>
    <row r="353" spans="1:15" s="6" customFormat="1" x14ac:dyDescent="0.25">
      <c r="A353" s="4" t="str">
        <f t="array" ref="A353:A360">R_CODE&amp;" "&amp;'Base data'!$B$11</f>
        <v>EU CO2</v>
      </c>
      <c r="B353" s="20">
        <f t="array" ref="B353:K360">CMAX_INIT_CO2*learnfac_co2*AUTOFAC</f>
        <v>394.29726975322518</v>
      </c>
      <c r="C353" s="20">
        <v>386.78022599601076</v>
      </c>
      <c r="D353" s="20">
        <v>374.47200563215659</v>
      </c>
      <c r="E353" s="20">
        <v>355.14408334256063</v>
      </c>
      <c r="F353" s="20">
        <v>330.24062966372077</v>
      </c>
      <c r="G353" s="20">
        <v>300.37413056408548</v>
      </c>
      <c r="H353" s="20">
        <v>263.11021159802146</v>
      </c>
      <c r="I353" s="20">
        <v>229.18298763847537</v>
      </c>
      <c r="J353" s="20">
        <v>167.0126011794955</v>
      </c>
      <c r="K353" s="20">
        <v>123.18397284445113</v>
      </c>
      <c r="M353" s="43" t="str">
        <f t="shared" ref="M353:M360" si="20">CURRENCY_NAME&amp;" per "&amp;EMIT_NAME</f>
        <v>$million per Mtonne</v>
      </c>
    </row>
    <row r="354" spans="1:15" s="6" customFormat="1" x14ac:dyDescent="0.25">
      <c r="A354" s="4" t="str">
        <v>US CO2</v>
      </c>
      <c r="B354" s="22">
        <v>394.29726975322518</v>
      </c>
      <c r="C354" s="22">
        <v>379.55926651555075</v>
      </c>
      <c r="D354" s="22">
        <v>354.96805585807863</v>
      </c>
      <c r="E354" s="22">
        <v>327.19245302249954</v>
      </c>
      <c r="F354" s="22">
        <v>298.29992059772377</v>
      </c>
      <c r="G354" s="22">
        <v>269.15475256665121</v>
      </c>
      <c r="H354" s="22">
        <v>234.98761798768317</v>
      </c>
      <c r="I354" s="22">
        <v>205.11974493341231</v>
      </c>
      <c r="J354" s="22">
        <v>150.94018429749849</v>
      </c>
      <c r="K354" s="22">
        <v>110.78141354847784</v>
      </c>
      <c r="M354" s="43" t="str">
        <f t="shared" si="20"/>
        <v>$million per Mtonne</v>
      </c>
    </row>
    <row r="355" spans="1:15" s="6" customFormat="1" x14ac:dyDescent="0.25">
      <c r="A355" s="4" t="str">
        <v>OT CO2</v>
      </c>
      <c r="B355" s="22">
        <v>486.29996589754529</v>
      </c>
      <c r="C355" s="22">
        <v>477.02894526615319</v>
      </c>
      <c r="D355" s="22">
        <v>464.19097451271654</v>
      </c>
      <c r="E355" s="22">
        <v>447.9934546214966</v>
      </c>
      <c r="F355" s="22">
        <v>426.20765765079443</v>
      </c>
      <c r="G355" s="22">
        <v>395.93381640338129</v>
      </c>
      <c r="H355" s="22">
        <v>352.65034022767549</v>
      </c>
      <c r="I355" s="22">
        <v>308.77869431950336</v>
      </c>
      <c r="J355" s="22">
        <v>226.50774239621728</v>
      </c>
      <c r="K355" s="22">
        <v>169.2429827294207</v>
      </c>
      <c r="M355" s="43" t="str">
        <f t="shared" si="20"/>
        <v>$million per Mtonne</v>
      </c>
    </row>
    <row r="356" spans="1:15" s="6" customFormat="1" x14ac:dyDescent="0.25">
      <c r="A356" s="4" t="str">
        <v>EE CO2</v>
      </c>
      <c r="B356" s="22">
        <v>276.00808882725761</v>
      </c>
      <c r="C356" s="22">
        <v>270.74615819720748</v>
      </c>
      <c r="D356" s="22">
        <v>263.45974236220661</v>
      </c>
      <c r="E356" s="22">
        <v>254.26655539443499</v>
      </c>
      <c r="F356" s="22">
        <v>241.90164359691082</v>
      </c>
      <c r="G356" s="22">
        <v>224.71919315454591</v>
      </c>
      <c r="H356" s="22">
        <v>200.45055303921916</v>
      </c>
      <c r="I356" s="22">
        <v>175.53009229845418</v>
      </c>
      <c r="J356" s="22">
        <v>128.75074967040658</v>
      </c>
      <c r="K356" s="22">
        <v>96.147498020872078</v>
      </c>
      <c r="M356" s="43" t="str">
        <f t="shared" si="20"/>
        <v>$million per Mtonne</v>
      </c>
    </row>
    <row r="357" spans="1:15" s="6" customFormat="1" x14ac:dyDescent="0.25">
      <c r="A357" s="4" t="str">
        <v>CA CO2</v>
      </c>
      <c r="B357" s="22">
        <v>394.29726975322518</v>
      </c>
      <c r="C357" s="22">
        <v>386.78022599601076</v>
      </c>
      <c r="D357" s="22">
        <v>376.37106051743802</v>
      </c>
      <c r="E357" s="22">
        <v>363.23793627776428</v>
      </c>
      <c r="F357" s="22">
        <v>343.31624149444684</v>
      </c>
      <c r="G357" s="22">
        <v>312.27102467143987</v>
      </c>
      <c r="H357" s="22">
        <v>271.68645843235163</v>
      </c>
      <c r="I357" s="22">
        <v>233.07471066491388</v>
      </c>
      <c r="J357" s="22">
        <v>166.38825600079164</v>
      </c>
      <c r="K357" s="22">
        <v>122.3809035218494</v>
      </c>
      <c r="M357" s="43" t="str">
        <f t="shared" si="20"/>
        <v>$million per Mtonne</v>
      </c>
    </row>
    <row r="358" spans="1:15" s="6" customFormat="1" x14ac:dyDescent="0.25">
      <c r="A358" s="4" t="str">
        <v>IA CO2</v>
      </c>
      <c r="B358" s="22">
        <v>486.29996589754529</v>
      </c>
      <c r="C358" s="22">
        <v>477.02894526615319</v>
      </c>
      <c r="D358" s="22">
        <v>464.19097451271654</v>
      </c>
      <c r="E358" s="22">
        <v>447.9934546214966</v>
      </c>
      <c r="F358" s="22">
        <v>421.66901268178231</v>
      </c>
      <c r="G358" s="22">
        <v>378.78187401278188</v>
      </c>
      <c r="H358" s="22">
        <v>325.1438830563435</v>
      </c>
      <c r="I358" s="22">
        <v>275.68439534321556</v>
      </c>
      <c r="J358" s="22">
        <v>194.35601572405974</v>
      </c>
      <c r="K358" s="22">
        <v>142.29244156463534</v>
      </c>
      <c r="M358" s="43" t="str">
        <f t="shared" si="20"/>
        <v>$million per Mtonne</v>
      </c>
    </row>
    <row r="359" spans="1:15" s="6" customFormat="1" x14ac:dyDescent="0.25">
      <c r="A359" s="4" t="str">
        <v>AF CO2</v>
      </c>
      <c r="B359" s="22">
        <v>486.29996589754529</v>
      </c>
      <c r="C359" s="22">
        <v>477.02894526615319</v>
      </c>
      <c r="D359" s="22">
        <v>464.19097451271654</v>
      </c>
      <c r="E359" s="22">
        <v>447.9934546214966</v>
      </c>
      <c r="F359" s="22">
        <v>423.21912640319175</v>
      </c>
      <c r="G359" s="22">
        <v>385.22977385464361</v>
      </c>
      <c r="H359" s="22">
        <v>334.91875221697319</v>
      </c>
      <c r="I359" s="22">
        <v>287.32666442778498</v>
      </c>
      <c r="J359" s="22">
        <v>205.89151964042978</v>
      </c>
      <c r="K359" s="22">
        <v>151.67013772033357</v>
      </c>
      <c r="M359" s="43" t="str">
        <f t="shared" si="20"/>
        <v>$million per Mtonne</v>
      </c>
    </row>
    <row r="360" spans="1:15" s="6" customFormat="1" ht="13" thickBot="1" x14ac:dyDescent="0.3">
      <c r="A360" s="4" t="str">
        <v>LA CO2</v>
      </c>
      <c r="B360" s="24">
        <v>276.00808882725761</v>
      </c>
      <c r="C360" s="24">
        <v>270.74615819720748</v>
      </c>
      <c r="D360" s="24">
        <v>263.45974236220661</v>
      </c>
      <c r="E360" s="24">
        <v>254.26655539443499</v>
      </c>
      <c r="F360" s="24">
        <v>240.451777334773</v>
      </c>
      <c r="G360" s="24">
        <v>219.49525471113853</v>
      </c>
      <c r="H360" s="24">
        <v>191.49052036379916</v>
      </c>
      <c r="I360" s="24">
        <v>164.78451882230937</v>
      </c>
      <c r="J360" s="24">
        <v>118.43896824796465</v>
      </c>
      <c r="K360" s="24">
        <v>87.349627230681023</v>
      </c>
      <c r="M360" s="43" t="str">
        <f t="shared" si="20"/>
        <v>$million per Mtonne</v>
      </c>
      <c r="O360" s="92"/>
    </row>
    <row r="361" spans="1:15" s="2" customFormat="1" ht="15.5" thickTop="1" x14ac:dyDescent="0.4">
      <c r="A361" s="2" t="s">
        <v>381</v>
      </c>
      <c r="B361" s="2" t="s">
        <v>383</v>
      </c>
    </row>
    <row r="362" spans="1:15" s="6" customFormat="1" x14ac:dyDescent="0.25">
      <c r="A362" s="4" t="str">
        <f t="array" ref="A362:A369">R_CODE&amp;" "&amp;'Base data'!$C$11</f>
        <v>EU CH4</v>
      </c>
      <c r="B362" s="20">
        <f t="array" ref="B362:K369">CMAX_INIT_CH4*learnfac_ch4*AUTOFAC</f>
        <v>6243.0401040974839</v>
      </c>
      <c r="C362" s="20">
        <v>6153.9980067069509</v>
      </c>
      <c r="D362" s="20">
        <v>6066.2374328753622</v>
      </c>
      <c r="E362" s="20">
        <v>5979.7269291513767</v>
      </c>
      <c r="F362" s="20">
        <v>5894.4502234209958</v>
      </c>
      <c r="G362" s="20">
        <v>5810.3897227931266</v>
      </c>
      <c r="H362" s="20">
        <v>5645.861630723668</v>
      </c>
      <c r="I362" s="20">
        <v>5485.9875419081436</v>
      </c>
      <c r="J362" s="20">
        <v>4752.0932617301414</v>
      </c>
      <c r="K362" s="20">
        <v>4116.3189263684317</v>
      </c>
      <c r="M362" s="43" t="str">
        <f t="shared" ref="M362:M369" si="21">CURRENCY_NAME&amp;" per "&amp;EMIT_NAME</f>
        <v>$million per Mtonne</v>
      </c>
    </row>
    <row r="363" spans="1:15" s="6" customFormat="1" x14ac:dyDescent="0.25">
      <c r="A363" s="4" t="str">
        <v>US CH4</v>
      </c>
      <c r="B363" s="22">
        <v>6243.0401040974839</v>
      </c>
      <c r="C363" s="22">
        <v>6153.9980067069509</v>
      </c>
      <c r="D363" s="22">
        <v>6066.2374328753622</v>
      </c>
      <c r="E363" s="22">
        <v>5979.7269291513767</v>
      </c>
      <c r="F363" s="22">
        <v>5894.4502234209958</v>
      </c>
      <c r="G363" s="22">
        <v>5810.3897227931266</v>
      </c>
      <c r="H363" s="22">
        <v>5645.861630723668</v>
      </c>
      <c r="I363" s="22">
        <v>5485.9875419081436</v>
      </c>
      <c r="J363" s="22">
        <v>4752.0932617301414</v>
      </c>
      <c r="K363" s="22">
        <v>4116.3189263684317</v>
      </c>
      <c r="M363" s="43" t="str">
        <f t="shared" si="21"/>
        <v>$million per Mtonne</v>
      </c>
    </row>
    <row r="364" spans="1:15" s="6" customFormat="1" x14ac:dyDescent="0.25">
      <c r="A364" s="4" t="str">
        <v>OT CH4</v>
      </c>
      <c r="B364" s="22">
        <v>7699.7494596392171</v>
      </c>
      <c r="C364" s="22">
        <v>7589.9308728872411</v>
      </c>
      <c r="D364" s="22">
        <v>7481.6928318575347</v>
      </c>
      <c r="E364" s="22">
        <v>7374.9965439601228</v>
      </c>
      <c r="F364" s="22">
        <v>7269.8219402544119</v>
      </c>
      <c r="G364" s="22">
        <v>7166.1473228413925</v>
      </c>
      <c r="H364" s="22">
        <v>6963.2293426772367</v>
      </c>
      <c r="I364" s="22">
        <v>6766.051299858048</v>
      </c>
      <c r="J364" s="22">
        <v>5860.9150212164759</v>
      </c>
      <c r="K364" s="22">
        <v>5076.7933411489594</v>
      </c>
      <c r="M364" s="43" t="str">
        <f t="shared" si="21"/>
        <v>$million per Mtonne</v>
      </c>
    </row>
    <row r="365" spans="1:15" s="6" customFormat="1" x14ac:dyDescent="0.25">
      <c r="A365" s="4" t="str">
        <v>EE CH4</v>
      </c>
      <c r="B365" s="22">
        <v>4370.1280728682386</v>
      </c>
      <c r="C365" s="22">
        <v>4307.7982818908167</v>
      </c>
      <c r="D365" s="22">
        <v>4246.3654570476474</v>
      </c>
      <c r="E365" s="22">
        <v>4185.8071696984762</v>
      </c>
      <c r="F365" s="22">
        <v>4126.1126984564035</v>
      </c>
      <c r="G365" s="22">
        <v>4067.2697243238658</v>
      </c>
      <c r="H365" s="22">
        <v>3952.099401411203</v>
      </c>
      <c r="I365" s="22">
        <v>3840.1869898417872</v>
      </c>
      <c r="J365" s="22">
        <v>3326.460450695713</v>
      </c>
      <c r="K365" s="22">
        <v>2881.4173263295393</v>
      </c>
      <c r="M365" s="43" t="str">
        <f t="shared" si="21"/>
        <v>$million per Mtonne</v>
      </c>
    </row>
    <row r="366" spans="1:15" s="6" customFormat="1" x14ac:dyDescent="0.25">
      <c r="A366" s="4" t="str">
        <v>CA CH4</v>
      </c>
      <c r="B366" s="22">
        <v>6243.0401040974839</v>
      </c>
      <c r="C366" s="22">
        <v>6153.9978018450292</v>
      </c>
      <c r="D366" s="22">
        <v>6066.2369594616512</v>
      </c>
      <c r="E366" s="22">
        <v>5979.7244967782472</v>
      </c>
      <c r="F366" s="22">
        <v>5894.4441854940924</v>
      </c>
      <c r="G366" s="22">
        <v>5810.3784776197008</v>
      </c>
      <c r="H366" s="22">
        <v>5645.8433359591609</v>
      </c>
      <c r="I366" s="22">
        <v>5485.9635723091505</v>
      </c>
      <c r="J366" s="22">
        <v>4752.0629170269358</v>
      </c>
      <c r="K366" s="22">
        <v>4116.2777468919048</v>
      </c>
      <c r="M366" s="43" t="str">
        <f t="shared" si="21"/>
        <v>$million per Mtonne</v>
      </c>
    </row>
    <row r="367" spans="1:15" s="6" customFormat="1" x14ac:dyDescent="0.25">
      <c r="A367" s="4" t="str">
        <v>IA CH4</v>
      </c>
      <c r="B367" s="22">
        <v>7699.7494596392171</v>
      </c>
      <c r="C367" s="22">
        <v>7589.9306202242042</v>
      </c>
      <c r="D367" s="22">
        <v>7481.6922479806244</v>
      </c>
      <c r="E367" s="22">
        <v>7374.9935440332638</v>
      </c>
      <c r="F367" s="22">
        <v>7269.8144934779002</v>
      </c>
      <c r="G367" s="22">
        <v>7166.1334537941721</v>
      </c>
      <c r="H367" s="22">
        <v>6963.2067791343516</v>
      </c>
      <c r="I367" s="22">
        <v>6766.0217373526311</v>
      </c>
      <c r="J367" s="22">
        <v>5860.8775960825342</v>
      </c>
      <c r="K367" s="22">
        <v>5076.7425531279241</v>
      </c>
      <c r="M367" s="43" t="str">
        <f t="shared" si="21"/>
        <v>$million per Mtonne</v>
      </c>
    </row>
    <row r="368" spans="1:15" s="6" customFormat="1" x14ac:dyDescent="0.25">
      <c r="A368" s="4" t="str">
        <v>AF CH4</v>
      </c>
      <c r="B368" s="22">
        <v>7699.7494596392171</v>
      </c>
      <c r="C368" s="22">
        <v>7589.9306081826335</v>
      </c>
      <c r="D368" s="22">
        <v>7481.6922201538655</v>
      </c>
      <c r="E368" s="22">
        <v>7374.993209522604</v>
      </c>
      <c r="F368" s="22">
        <v>7269.8142568489575</v>
      </c>
      <c r="G368" s="22">
        <v>7166.1337088046585</v>
      </c>
      <c r="H368" s="22">
        <v>6963.206520781283</v>
      </c>
      <c r="I368" s="22">
        <v>6766.0173066355983</v>
      </c>
      <c r="J368" s="22">
        <v>5860.8661119652161</v>
      </c>
      <c r="K368" s="22">
        <v>5076.7207199037994</v>
      </c>
      <c r="M368" s="43" t="str">
        <f t="shared" si="21"/>
        <v>$million per Mtonne</v>
      </c>
    </row>
    <row r="369" spans="1:13" s="6" customFormat="1" ht="13" thickBot="1" x14ac:dyDescent="0.3">
      <c r="A369" s="4" t="str">
        <v>LA CH4</v>
      </c>
      <c r="B369" s="24">
        <v>4370.1280728682386</v>
      </c>
      <c r="C369" s="24">
        <v>4307.7984544571154</v>
      </c>
      <c r="D369" s="24">
        <v>4246.3658558295892</v>
      </c>
      <c r="E369" s="24">
        <v>4185.806957887371</v>
      </c>
      <c r="F369" s="24">
        <v>4126.1107955429516</v>
      </c>
      <c r="G369" s="24">
        <v>4067.265079069472</v>
      </c>
      <c r="H369" s="24">
        <v>3952.0901885385902</v>
      </c>
      <c r="I369" s="24">
        <v>3840.1719858851156</v>
      </c>
      <c r="J369" s="24">
        <v>3326.4375239063215</v>
      </c>
      <c r="K369" s="24">
        <v>2881.3820309944213</v>
      </c>
      <c r="M369" s="43" t="str">
        <f t="shared" si="21"/>
        <v>$million per Mtonne</v>
      </c>
    </row>
    <row r="370" spans="1:13" s="2" customFormat="1" ht="15.5" thickTop="1" x14ac:dyDescent="0.4">
      <c r="A370" s="2" t="s">
        <v>381</v>
      </c>
      <c r="B370" s="2" t="s">
        <v>384</v>
      </c>
    </row>
    <row r="371" spans="1:13" s="7" customFormat="1" x14ac:dyDescent="0.25">
      <c r="A371" s="4" t="str">
        <f t="array" ref="A371:A378">R_CODE&amp;" "&amp;'Base data'!$D$11</f>
        <v>EU N2O</v>
      </c>
      <c r="B371" s="20">
        <f t="array" ref="B371:K378">CMAX_INIT_N2O*learnfac_n2o*AUTOFAC</f>
        <v>26943.646763184577</v>
      </c>
      <c r="C371" s="20">
        <v>26553.750262321682</v>
      </c>
      <c r="D371" s="20">
        <v>26171.39405179417</v>
      </c>
      <c r="E371" s="20">
        <v>25794.458642546804</v>
      </c>
      <c r="F371" s="20">
        <v>25422.951630091178</v>
      </c>
      <c r="G371" s="20">
        <v>25056.794845687353</v>
      </c>
      <c r="H371" s="20">
        <v>24342.09204779267</v>
      </c>
      <c r="I371" s="20">
        <v>23646.310026383831</v>
      </c>
      <c r="J371" s="20">
        <v>20466.624230862108</v>
      </c>
      <c r="K371" s="20">
        <v>17704.938200393135</v>
      </c>
      <c r="M371" s="43" t="str">
        <f t="shared" ref="M371:M378" si="22">CURRENCY_NAME&amp;" per "&amp;EMIT_NAME</f>
        <v>$million per Mtonne</v>
      </c>
    </row>
    <row r="372" spans="1:13" s="7" customFormat="1" x14ac:dyDescent="0.25">
      <c r="A372" s="4" t="str">
        <v>US N2O</v>
      </c>
      <c r="B372" s="22">
        <v>26943.646763184577</v>
      </c>
      <c r="C372" s="22">
        <v>26553.750262321682</v>
      </c>
      <c r="D372" s="22">
        <v>26171.39405179417</v>
      </c>
      <c r="E372" s="22">
        <v>25794.458642546804</v>
      </c>
      <c r="F372" s="22">
        <v>25422.951630091178</v>
      </c>
      <c r="G372" s="22">
        <v>25056.794845687353</v>
      </c>
      <c r="H372" s="22">
        <v>24342.09204779267</v>
      </c>
      <c r="I372" s="22">
        <v>23646.310026383831</v>
      </c>
      <c r="J372" s="22">
        <v>20466.624230862108</v>
      </c>
      <c r="K372" s="22">
        <v>17704.938200393135</v>
      </c>
      <c r="M372" s="43" t="str">
        <f t="shared" si="22"/>
        <v>$million per Mtonne</v>
      </c>
    </row>
    <row r="373" spans="1:13" s="7" customFormat="1" x14ac:dyDescent="0.25">
      <c r="A373" s="4" t="str">
        <v>OT N2O</v>
      </c>
      <c r="B373" s="22">
        <v>33230.497665613097</v>
      </c>
      <c r="C373" s="22">
        <v>32749.625314678826</v>
      </c>
      <c r="D373" s="22">
        <v>32278.052655155676</v>
      </c>
      <c r="E373" s="22">
        <v>31813.165650542902</v>
      </c>
      <c r="F373" s="22">
        <v>31354.973668638133</v>
      </c>
      <c r="G373" s="22">
        <v>30903.380301328802</v>
      </c>
      <c r="H373" s="22">
        <v>30021.913517496931</v>
      </c>
      <c r="I373" s="22">
        <v>29163.782357991291</v>
      </c>
      <c r="J373" s="22">
        <v>25242.169877907723</v>
      </c>
      <c r="K373" s="22">
        <v>21836.090441249886</v>
      </c>
      <c r="M373" s="43" t="str">
        <f t="shared" si="22"/>
        <v>$million per Mtonne</v>
      </c>
    </row>
    <row r="374" spans="1:13" s="7" customFormat="1" x14ac:dyDescent="0.25">
      <c r="A374" s="4" t="str">
        <v>EE N2O</v>
      </c>
      <c r="B374" s="22">
        <v>18860.552734229201</v>
      </c>
      <c r="C374" s="22">
        <v>18587.620370909033</v>
      </c>
      <c r="D374" s="22">
        <v>18319.964773261934</v>
      </c>
      <c r="E374" s="22">
        <v>18056.108250383539</v>
      </c>
      <c r="F374" s="22">
        <v>17796.035591738899</v>
      </c>
      <c r="G374" s="22">
        <v>17539.692794250019</v>
      </c>
      <c r="H374" s="22">
        <v>17039.360910766107</v>
      </c>
      <c r="I374" s="22">
        <v>16552.278313191408</v>
      </c>
      <c r="J374" s="22">
        <v>14326.365570058972</v>
      </c>
      <c r="K374" s="22">
        <v>12393.005256088478</v>
      </c>
      <c r="M374" s="43" t="str">
        <f t="shared" si="22"/>
        <v>$million per Mtonne</v>
      </c>
    </row>
    <row r="375" spans="1:13" s="7" customFormat="1" x14ac:dyDescent="0.25">
      <c r="A375" s="4" t="str">
        <v>CA N2O</v>
      </c>
      <c r="B375" s="22">
        <v>26943.646763184577</v>
      </c>
      <c r="C375" s="22">
        <v>26553.741543309214</v>
      </c>
      <c r="D375" s="22">
        <v>26171.374009397863</v>
      </c>
      <c r="E375" s="22">
        <v>25794.453076680282</v>
      </c>
      <c r="F375" s="22">
        <v>25422.880123272498</v>
      </c>
      <c r="G375" s="22">
        <v>25056.580557312067</v>
      </c>
      <c r="H375" s="22">
        <v>24341.624581300857</v>
      </c>
      <c r="I375" s="22">
        <v>23645.402352138237</v>
      </c>
      <c r="J375" s="22">
        <v>20464.386010644856</v>
      </c>
      <c r="K375" s="22">
        <v>17700.922583365631</v>
      </c>
      <c r="M375" s="43" t="str">
        <f t="shared" si="22"/>
        <v>$million per Mtonne</v>
      </c>
    </row>
    <row r="376" spans="1:13" s="7" customFormat="1" x14ac:dyDescent="0.25">
      <c r="A376" s="4" t="str">
        <v>IA N2O</v>
      </c>
      <c r="B376" s="22">
        <v>33230.497665613097</v>
      </c>
      <c r="C376" s="22">
        <v>32749.614561230112</v>
      </c>
      <c r="D376" s="22">
        <v>32278.02793620024</v>
      </c>
      <c r="E376" s="22">
        <v>31813.158785974192</v>
      </c>
      <c r="F376" s="22">
        <v>31354.885476895121</v>
      </c>
      <c r="G376" s="22">
        <v>30903.116012332688</v>
      </c>
      <c r="H376" s="22">
        <v>30021.336975490514</v>
      </c>
      <c r="I376" s="22">
        <v>29162.662893088691</v>
      </c>
      <c r="J376" s="22">
        <v>25239.40940630719</v>
      </c>
      <c r="K376" s="22">
        <v>21831.137846917307</v>
      </c>
      <c r="M376" s="43" t="str">
        <f t="shared" si="22"/>
        <v>$million per Mtonne</v>
      </c>
    </row>
    <row r="377" spans="1:13" s="7" customFormat="1" x14ac:dyDescent="0.25">
      <c r="A377" s="4" t="str">
        <v>AF N2O</v>
      </c>
      <c r="B377" s="22">
        <v>33230.497665613097</v>
      </c>
      <c r="C377" s="22">
        <v>32749.624571340155</v>
      </c>
      <c r="D377" s="22">
        <v>32278.050946441439</v>
      </c>
      <c r="E377" s="22">
        <v>31813.199418092674</v>
      </c>
      <c r="F377" s="22">
        <v>31354.961411905475</v>
      </c>
      <c r="G377" s="22">
        <v>30903.244129842991</v>
      </c>
      <c r="H377" s="22">
        <v>30021.507924001071</v>
      </c>
      <c r="I377" s="22">
        <v>29162.815222451303</v>
      </c>
      <c r="J377" s="22">
        <v>25239.44680305733</v>
      </c>
      <c r="K377" s="22">
        <v>21831.035047556521</v>
      </c>
      <c r="M377" s="43" t="str">
        <f t="shared" si="22"/>
        <v>$million per Mtonne</v>
      </c>
    </row>
    <row r="378" spans="1:13" s="7" customFormat="1" ht="13" thickBot="1" x14ac:dyDescent="0.3">
      <c r="A378" s="4" t="str">
        <v>LA N2O</v>
      </c>
      <c r="B378" s="24">
        <v>18860.552734229201</v>
      </c>
      <c r="C378" s="24">
        <v>18587.624761730258</v>
      </c>
      <c r="D378" s="24">
        <v>18319.974866445133</v>
      </c>
      <c r="E378" s="24">
        <v>18056.140215148847</v>
      </c>
      <c r="F378" s="24">
        <v>17796.059184539878</v>
      </c>
      <c r="G378" s="24">
        <v>17539.67910546215</v>
      </c>
      <c r="H378" s="24">
        <v>17039.234231740938</v>
      </c>
      <c r="I378" s="24">
        <v>16551.868103702596</v>
      </c>
      <c r="J378" s="24">
        <v>14325.091432633912</v>
      </c>
      <c r="K378" s="24">
        <v>12390.587462772779</v>
      </c>
      <c r="M378" s="43" t="str">
        <f t="shared" si="22"/>
        <v>$million per Mtonne</v>
      </c>
    </row>
    <row r="379" spans="1:13" s="2" customFormat="1" ht="15.5" thickTop="1" x14ac:dyDescent="0.4">
      <c r="A379" s="2" t="s">
        <v>381</v>
      </c>
      <c r="B379" s="2" t="s">
        <v>385</v>
      </c>
    </row>
    <row r="380" spans="1:13" s="7" customFormat="1" x14ac:dyDescent="0.25">
      <c r="A380" s="4" t="str">
        <f t="array" ref="A380:A387">R_CODE&amp;" "&amp;GLIN_NAME</f>
        <v>EU Lin</v>
      </c>
      <c r="B380" s="20">
        <f t="array" ref="B380:K387">CMAX_INIT_GLIN*learnfac_glin*AUTOFAC</f>
        <v>328.58105809482953</v>
      </c>
      <c r="C380" s="20">
        <v>323.89457231704904</v>
      </c>
      <c r="D380" s="20">
        <v>319.27551738367515</v>
      </c>
      <c r="E380" s="20">
        <v>314.72183473553713</v>
      </c>
      <c r="F380" s="20">
        <v>310.23207024959493</v>
      </c>
      <c r="G380" s="20">
        <v>305.80534173740836</v>
      </c>
      <c r="H380" s="20">
        <v>297.14113185666628</v>
      </c>
      <c r="I380" s="20">
        <v>288.71887537361789</v>
      </c>
      <c r="J380" s="20">
        <v>250.0745603972355</v>
      </c>
      <c r="K380" s="20">
        <v>216.58826121414393</v>
      </c>
      <c r="M380" s="43" t="str">
        <f t="shared" ref="M380:M387" si="23">CURRENCY_NAME&amp;" per "&amp;EMIT_NAME</f>
        <v>$million per Mtonne</v>
      </c>
    </row>
    <row r="381" spans="1:13" s="7" customFormat="1" x14ac:dyDescent="0.25">
      <c r="A381" s="4" t="str">
        <v>US Lin</v>
      </c>
      <c r="B381" s="22">
        <v>328.58105809482953</v>
      </c>
      <c r="C381" s="22">
        <v>323.89457231704904</v>
      </c>
      <c r="D381" s="22">
        <v>319.27551738367515</v>
      </c>
      <c r="E381" s="22">
        <v>314.72183473553713</v>
      </c>
      <c r="F381" s="22">
        <v>310.23207024959493</v>
      </c>
      <c r="G381" s="22">
        <v>305.80534173740836</v>
      </c>
      <c r="H381" s="22">
        <v>297.14113185666628</v>
      </c>
      <c r="I381" s="22">
        <v>288.71887537361789</v>
      </c>
      <c r="J381" s="22">
        <v>250.0745603972355</v>
      </c>
      <c r="K381" s="22">
        <v>216.58826121414393</v>
      </c>
      <c r="M381" s="43" t="str">
        <f t="shared" si="23"/>
        <v>$million per Mtonne</v>
      </c>
    </row>
    <row r="382" spans="1:13" s="7" customFormat="1" x14ac:dyDescent="0.25">
      <c r="A382" s="4" t="str">
        <v>OT Lin</v>
      </c>
      <c r="B382" s="22">
        <v>405.24997154076277</v>
      </c>
      <c r="C382" s="22">
        <v>399.46997241639559</v>
      </c>
      <c r="D382" s="22">
        <v>393.77313800010756</v>
      </c>
      <c r="E382" s="22">
        <v>388.15692940225523</v>
      </c>
      <c r="F382" s="22">
        <v>382.61955320442308</v>
      </c>
      <c r="G382" s="22">
        <v>377.15992137420193</v>
      </c>
      <c r="H382" s="22">
        <v>366.47406252417466</v>
      </c>
      <c r="I382" s="22">
        <v>356.08661286455578</v>
      </c>
      <c r="J382" s="22">
        <v>308.42529107323224</v>
      </c>
      <c r="K382" s="22">
        <v>267.12552209191477</v>
      </c>
      <c r="M382" s="43" t="str">
        <f t="shared" si="23"/>
        <v>$million per Mtonne</v>
      </c>
    </row>
    <row r="383" spans="1:13" s="7" customFormat="1" x14ac:dyDescent="0.25">
      <c r="A383" s="4" t="str">
        <v>EE Lin</v>
      </c>
      <c r="B383" s="22">
        <v>230.00674066638064</v>
      </c>
      <c r="C383" s="22">
        <v>226.72619916351215</v>
      </c>
      <c r="D383" s="22">
        <v>223.49285881416154</v>
      </c>
      <c r="E383" s="22">
        <v>220.30503335678492</v>
      </c>
      <c r="F383" s="22">
        <v>217.16173871289257</v>
      </c>
      <c r="G383" s="22">
        <v>214.06236661320943</v>
      </c>
      <c r="H383" s="22">
        <v>207.99644467113367</v>
      </c>
      <c r="I383" s="22">
        <v>202.09962746789193</v>
      </c>
      <c r="J383" s="22">
        <v>175.04627819653862</v>
      </c>
      <c r="K383" s="22">
        <v>151.60261011675789</v>
      </c>
      <c r="M383" s="43" t="str">
        <f t="shared" si="23"/>
        <v>$million per Mtonne</v>
      </c>
    </row>
    <row r="384" spans="1:13" s="7" customFormat="1" x14ac:dyDescent="0.25">
      <c r="A384" s="4" t="str">
        <v>CA Lin</v>
      </c>
      <c r="B384" s="22">
        <v>328.58105809482953</v>
      </c>
      <c r="C384" s="22">
        <v>323.89455347886337</v>
      </c>
      <c r="D384" s="22">
        <v>319.27547405533556</v>
      </c>
      <c r="E384" s="22">
        <v>314.72123455896963</v>
      </c>
      <c r="F384" s="22">
        <v>310.23007633446429</v>
      </c>
      <c r="G384" s="22">
        <v>305.80115352500013</v>
      </c>
      <c r="H384" s="22">
        <v>297.13246516077459</v>
      </c>
      <c r="I384" s="22">
        <v>288.7030933143285</v>
      </c>
      <c r="J384" s="22">
        <v>250.04346539514324</v>
      </c>
      <c r="K384" s="22">
        <v>216.53620709268674</v>
      </c>
      <c r="M384" s="43" t="str">
        <f t="shared" si="23"/>
        <v>$million per Mtonne</v>
      </c>
    </row>
    <row r="385" spans="1:13" s="7" customFormat="1" x14ac:dyDescent="0.25">
      <c r="A385" s="4" t="str">
        <v>IA Lin</v>
      </c>
      <c r="B385" s="22">
        <v>405.24997154076277</v>
      </c>
      <c r="C385" s="22">
        <v>399.46994918263334</v>
      </c>
      <c r="D385" s="22">
        <v>393.77308456182203</v>
      </c>
      <c r="E385" s="22">
        <v>388.15618918448877</v>
      </c>
      <c r="F385" s="22">
        <v>382.6170940424293</v>
      </c>
      <c r="G385" s="22">
        <v>377.15475591223316</v>
      </c>
      <c r="H385" s="22">
        <v>366.46337359924451</v>
      </c>
      <c r="I385" s="22">
        <v>356.06714832477076</v>
      </c>
      <c r="J385" s="22">
        <v>308.38694057066215</v>
      </c>
      <c r="K385" s="22">
        <v>267.0613220088016</v>
      </c>
      <c r="M385" s="43" t="str">
        <f t="shared" si="23"/>
        <v>$million per Mtonne</v>
      </c>
    </row>
    <row r="386" spans="1:13" s="7" customFormat="1" x14ac:dyDescent="0.25">
      <c r="A386" s="4" t="str">
        <v>AF Lin</v>
      </c>
      <c r="B386" s="22">
        <v>405.24997154076277</v>
      </c>
      <c r="C386" s="22">
        <v>399.46993942173253</v>
      </c>
      <c r="D386" s="22">
        <v>393.77306211148971</v>
      </c>
      <c r="E386" s="22">
        <v>388.15615826560531</v>
      </c>
      <c r="F386" s="22">
        <v>382.6169308153012</v>
      </c>
      <c r="G386" s="22">
        <v>377.15434186993377</v>
      </c>
      <c r="H386" s="22">
        <v>366.46319933492049</v>
      </c>
      <c r="I386" s="22">
        <v>356.06790557399773</v>
      </c>
      <c r="J386" s="22">
        <v>308.38942330448924</v>
      </c>
      <c r="K386" s="22">
        <v>267.06610521277952</v>
      </c>
      <c r="M386" s="43" t="str">
        <f t="shared" si="23"/>
        <v>$million per Mtonne</v>
      </c>
    </row>
    <row r="387" spans="1:13" s="7" customFormat="1" ht="13" thickBot="1" x14ac:dyDescent="0.3">
      <c r="A387" s="4" t="str">
        <v>LA Lin</v>
      </c>
      <c r="B387" s="24">
        <v>230.00674066638064</v>
      </c>
      <c r="C387" s="24">
        <v>226.72618189523359</v>
      </c>
      <c r="D387" s="24">
        <v>223.49281909665436</v>
      </c>
      <c r="E387" s="24">
        <v>220.30484664272319</v>
      </c>
      <c r="F387" s="24">
        <v>217.16096079170092</v>
      </c>
      <c r="G387" s="24">
        <v>214.06057247051928</v>
      </c>
      <c r="H387" s="24">
        <v>207.99262670576366</v>
      </c>
      <c r="I387" s="24">
        <v>202.09259511013181</v>
      </c>
      <c r="J387" s="24">
        <v>175.03183489579976</v>
      </c>
      <c r="K387" s="24">
        <v>151.57805975632837</v>
      </c>
      <c r="M387" s="43" t="str">
        <f t="shared" si="23"/>
        <v>$million per Mtonne</v>
      </c>
    </row>
    <row r="388" spans="1:13" s="2" customFormat="1" ht="15.5" thickTop="1" x14ac:dyDescent="0.4">
      <c r="A388" s="2" t="s">
        <v>387</v>
      </c>
      <c r="B388" s="2" t="s">
        <v>388</v>
      </c>
    </row>
    <row r="389" spans="1:13" s="6" customFormat="1" x14ac:dyDescent="0.25">
      <c r="A389" s="4" t="str">
        <f t="array" ref="A389:A396">R_CODE&amp;" "&amp;'Base data'!$B$11</f>
        <v>EU CO2</v>
      </c>
      <c r="B389" s="45">
        <f t="array" ref="B389:K396">IF(Q0_CO2=0,0,-2*LN((1+CURVE_BELOW)/(1-CURVE_BELOW))/Q0_CO2)</f>
        <v>-2.4124650279668037E-3</v>
      </c>
      <c r="C389" s="45">
        <v>-2.4128122027773048E-3</v>
      </c>
      <c r="D389" s="45">
        <v>-2.370078709951809E-3</v>
      </c>
      <c r="E389" s="45">
        <v>-2.4316838676164579E-3</v>
      </c>
      <c r="F389" s="45">
        <v>-2.4957392628376287E-3</v>
      </c>
      <c r="G389" s="45">
        <v>-2.6515846308435664E-3</v>
      </c>
      <c r="H389" s="45">
        <v>-3.1493033482705595E-3</v>
      </c>
      <c r="I389" s="45">
        <v>-3.8296648764041476E-3</v>
      </c>
      <c r="J389" s="45">
        <v>-4.1350277057940147E-3</v>
      </c>
      <c r="K389" s="45">
        <v>-4.4678330664558365E-3</v>
      </c>
      <c r="M389" s="4" t="str">
        <f t="shared" ref="M389:M396" si="24">"per "&amp;EMIT_NAME</f>
        <v>per Mtonne</v>
      </c>
    </row>
    <row r="390" spans="1:13" s="6" customFormat="1" x14ac:dyDescent="0.25">
      <c r="A390" s="4" t="str">
        <v>US CO2</v>
      </c>
      <c r="B390" s="46">
        <v>-1.0260843811317473E-3</v>
      </c>
      <c r="C390" s="46">
        <v>-1.0262320436455858E-3</v>
      </c>
      <c r="D390" s="46">
        <v>-1.008056373104819E-3</v>
      </c>
      <c r="E390" s="46">
        <v>-1.034258655560341E-3</v>
      </c>
      <c r="F390" s="46">
        <v>-1.0615030880398691E-3</v>
      </c>
      <c r="G390" s="46">
        <v>-1.1277881931621566E-3</v>
      </c>
      <c r="H390" s="46">
        <v>-1.3394809622710941E-3</v>
      </c>
      <c r="I390" s="46">
        <v>-1.6288564887338174E-3</v>
      </c>
      <c r="J390" s="46">
        <v>-1.7587352750303431E-3</v>
      </c>
      <c r="K390" s="46">
        <v>-1.9002860865750862E-3</v>
      </c>
      <c r="M390" s="4" t="str">
        <f t="shared" si="24"/>
        <v>per Mtonne</v>
      </c>
    </row>
    <row r="391" spans="1:13" s="6" customFormat="1" x14ac:dyDescent="0.25">
      <c r="A391" s="4" t="str">
        <v>OT CO2</v>
      </c>
      <c r="B391" s="46">
        <v>-6.5742047605081505E-3</v>
      </c>
      <c r="C391" s="46">
        <v>-6.5751508460536266E-3</v>
      </c>
      <c r="D391" s="46">
        <v>-6.4586978700686077E-3</v>
      </c>
      <c r="E391" s="46">
        <v>-6.6265779910634065E-3</v>
      </c>
      <c r="F391" s="46">
        <v>-6.8011352506785489E-3</v>
      </c>
      <c r="G391" s="46">
        <v>-7.2258292248379447E-3</v>
      </c>
      <c r="H391" s="46">
        <v>-8.5821617409864749E-3</v>
      </c>
      <c r="I391" s="46">
        <v>-1.0436213901440831E-2</v>
      </c>
      <c r="J391" s="46">
        <v>-1.1268357681095544E-2</v>
      </c>
      <c r="K391" s="46">
        <v>-1.2175285060776376E-2</v>
      </c>
      <c r="M391" s="4" t="str">
        <f t="shared" si="24"/>
        <v>per Mtonne</v>
      </c>
    </row>
    <row r="392" spans="1:13" s="6" customFormat="1" x14ac:dyDescent="0.25">
      <c r="A392" s="4" t="str">
        <v>EE CO2</v>
      </c>
      <c r="B392" s="46">
        <v>-6.953801128927144E-3</v>
      </c>
      <c r="C392" s="46">
        <v>-6.8185769472234288E-3</v>
      </c>
      <c r="D392" s="46">
        <v>-7.4850418287695153E-3</v>
      </c>
      <c r="E392" s="46">
        <v>-7.6882267735248217E-3</v>
      </c>
      <c r="F392" s="46">
        <v>-7.8999544372979659E-3</v>
      </c>
      <c r="G392" s="46">
        <v>-8.452427200995016E-3</v>
      </c>
      <c r="H392" s="46">
        <v>-1.0206916808042272E-2</v>
      </c>
      <c r="I392" s="46">
        <v>-1.2081353243694996E-2</v>
      </c>
      <c r="J392" s="46">
        <v>-1.3044674142106643E-2</v>
      </c>
      <c r="K392" s="46">
        <v>-1.4094567345118712E-2</v>
      </c>
      <c r="M392" s="4" t="str">
        <f t="shared" si="24"/>
        <v>per Mtonne</v>
      </c>
    </row>
    <row r="393" spans="1:13" s="6" customFormat="1" x14ac:dyDescent="0.25">
      <c r="A393" s="4" t="str">
        <v>CA CO2</v>
      </c>
      <c r="B393" s="46">
        <v>-6.1119754489332495E-3</v>
      </c>
      <c r="C393" s="46">
        <v>-5.9280988482161567E-3</v>
      </c>
      <c r="D393" s="46">
        <v>-4.6720658782005309E-3</v>
      </c>
      <c r="E393" s="46">
        <v>-3.9952109182072263E-3</v>
      </c>
      <c r="F393" s="46">
        <v>-3.4965193585243834E-3</v>
      </c>
      <c r="G393" s="46">
        <v>-3.406351196650571E-3</v>
      </c>
      <c r="H393" s="46">
        <v>-3.3603832631438632E-3</v>
      </c>
      <c r="I393" s="46">
        <v>-3.7496604985732319E-3</v>
      </c>
      <c r="J393" s="46">
        <v>-4.0486440848787912E-3</v>
      </c>
      <c r="K393" s="46">
        <v>-4.3744969087840431E-3</v>
      </c>
      <c r="M393" s="4" t="str">
        <f t="shared" si="24"/>
        <v>per Mtonne</v>
      </c>
    </row>
    <row r="394" spans="1:13" s="6" customFormat="1" x14ac:dyDescent="0.25">
      <c r="A394" s="4" t="str">
        <v>IA CO2</v>
      </c>
      <c r="B394" s="46">
        <v>-3.7175521043217282E-3</v>
      </c>
      <c r="C394" s="46">
        <v>-3.605710875631803E-3</v>
      </c>
      <c r="D394" s="46">
        <v>-2.8417405276170665E-3</v>
      </c>
      <c r="E394" s="46">
        <v>-2.4300498063654159E-3</v>
      </c>
      <c r="F394" s="46">
        <v>-2.1267253129023389E-3</v>
      </c>
      <c r="G394" s="46">
        <v>-2.0718813687933481E-3</v>
      </c>
      <c r="H394" s="46">
        <v>-2.0439218016506163E-3</v>
      </c>
      <c r="I394" s="46">
        <v>-2.2806960521079829E-3</v>
      </c>
      <c r="J394" s="46">
        <v>-2.462550032006067E-3</v>
      </c>
      <c r="K394" s="46">
        <v>-2.6607469752577897E-3</v>
      </c>
      <c r="M394" s="4" t="str">
        <f t="shared" si="24"/>
        <v>per Mtonne</v>
      </c>
    </row>
    <row r="395" spans="1:13" s="6" customFormat="1" x14ac:dyDescent="0.25">
      <c r="A395" s="4" t="str">
        <v>AF CO2</v>
      </c>
      <c r="B395" s="46">
        <v>-6.6312861775308634E-3</v>
      </c>
      <c r="C395" s="46">
        <v>-6.4306088528642714E-3</v>
      </c>
      <c r="D395" s="46">
        <v>-4.9966525996545125E-3</v>
      </c>
      <c r="E395" s="46">
        <v>-4.2517748629780864E-3</v>
      </c>
      <c r="F395" s="46">
        <v>-3.7076270850640186E-3</v>
      </c>
      <c r="G395" s="46">
        <v>-3.4854493651842872E-3</v>
      </c>
      <c r="H395" s="46">
        <v>-3.4295908306023683E-3</v>
      </c>
      <c r="I395" s="46">
        <v>-4.0295536867962231E-3</v>
      </c>
      <c r="J395" s="46">
        <v>-4.3508548853840824E-3</v>
      </c>
      <c r="K395" s="46">
        <v>-4.701030974237989E-3</v>
      </c>
      <c r="M395" s="4" t="str">
        <f t="shared" si="24"/>
        <v>per Mtonne</v>
      </c>
    </row>
    <row r="396" spans="1:13" s="6" customFormat="1" ht="13" thickBot="1" x14ac:dyDescent="0.3">
      <c r="A396" s="4" t="str">
        <v>LA CO2</v>
      </c>
      <c r="B396" s="47">
        <v>-7.7742985692803718E-3</v>
      </c>
      <c r="C396" s="47">
        <v>-7.5390311722362286E-3</v>
      </c>
      <c r="D396" s="47">
        <v>-5.8579087249027622E-3</v>
      </c>
      <c r="E396" s="47">
        <v>-4.9846389296473613E-3</v>
      </c>
      <c r="F396" s="47">
        <v>-4.3466982378931119E-3</v>
      </c>
      <c r="G396" s="47">
        <v>-4.086224495161335E-3</v>
      </c>
      <c r="H396" s="47">
        <v>-4.0207378137157744E-3</v>
      </c>
      <c r="I396" s="47">
        <v>-4.7241142401974901E-3</v>
      </c>
      <c r="J396" s="47">
        <v>-5.100797040730725E-3</v>
      </c>
      <c r="K396" s="47">
        <v>-5.5113317987988495E-3</v>
      </c>
      <c r="M396" s="4" t="str">
        <f t="shared" si="24"/>
        <v>per Mtonne</v>
      </c>
    </row>
    <row r="397" spans="1:13" s="2" customFormat="1" ht="15.5" thickTop="1" x14ac:dyDescent="0.4">
      <c r="A397" s="2" t="s">
        <v>387</v>
      </c>
      <c r="B397" s="2" t="s">
        <v>389</v>
      </c>
    </row>
    <row r="398" spans="1:13" s="7" customFormat="1" x14ac:dyDescent="0.25">
      <c r="A398" s="4" t="str">
        <f t="array" ref="A398:A405">R_CODE&amp;" "&amp;'Base data'!$C$11</f>
        <v>EU CH4</v>
      </c>
      <c r="B398" s="39">
        <f t="array" ref="B398:K405">IF(Q0_CH4=0,0,-2*LN((1+CURVE_BELOW)/(1-CURVE_BELOW))/Q0_CH4)</f>
        <v>-22090.390144956444</v>
      </c>
      <c r="C398" s="39">
        <v>-22210.932856153573</v>
      </c>
      <c r="D398" s="39">
        <v>-22975.800487420907</v>
      </c>
      <c r="E398" s="39">
        <v>-24957.276359575124</v>
      </c>
      <c r="F398" s="39">
        <v>-27303.182405372467</v>
      </c>
      <c r="G398" s="39">
        <v>-29609.918372372646</v>
      </c>
      <c r="H398" s="39">
        <v>-34407.265346578039</v>
      </c>
      <c r="I398" s="39">
        <v>-38011.424321578226</v>
      </c>
      <c r="J398" s="39">
        <v>-39140.735705037339</v>
      </c>
      <c r="K398" s="39">
        <v>-40510.283812528796</v>
      </c>
      <c r="M398" s="4" t="str">
        <f t="shared" ref="M398:M405" si="25">"per "&amp;EMIT_NAME</f>
        <v>per Mtonne</v>
      </c>
    </row>
    <row r="399" spans="1:13" s="7" customFormat="1" x14ac:dyDescent="0.25">
      <c r="A399" s="4" t="str">
        <v>US CH4</v>
      </c>
      <c r="B399" s="35">
        <v>-20391.129370849376</v>
      </c>
      <c r="C399" s="35">
        <v>-20502.399565834807</v>
      </c>
      <c r="D399" s="35">
        <v>-21208.431225683431</v>
      </c>
      <c r="E399" s="35">
        <v>-23037.485877465497</v>
      </c>
      <c r="F399" s="35">
        <v>-25202.937612713955</v>
      </c>
      <c r="G399" s="35">
        <v>-27332.232352138515</v>
      </c>
      <c r="H399" s="35">
        <v>-31760.552637382971</v>
      </c>
      <c r="I399" s="35">
        <v>-35087.468615329897</v>
      </c>
      <c r="J399" s="35">
        <v>-36129.909892689837</v>
      </c>
      <c r="K399" s="35">
        <v>-37394.108146147846</v>
      </c>
      <c r="M399" s="4" t="str">
        <f t="shared" si="25"/>
        <v>per Mtonne</v>
      </c>
    </row>
    <row r="400" spans="1:13" s="7" customFormat="1" x14ac:dyDescent="0.25">
      <c r="A400" s="4" t="str">
        <v>OT CH4</v>
      </c>
      <c r="B400" s="35">
        <v>-22090.390144956444</v>
      </c>
      <c r="C400" s="35">
        <v>-22210.932856153573</v>
      </c>
      <c r="D400" s="35">
        <v>-22975.800487420907</v>
      </c>
      <c r="E400" s="35">
        <v>-24957.276359575124</v>
      </c>
      <c r="F400" s="35">
        <v>-27303.182405372467</v>
      </c>
      <c r="G400" s="35">
        <v>-29609.918372372646</v>
      </c>
      <c r="H400" s="35">
        <v>-34407.265346578039</v>
      </c>
      <c r="I400" s="35">
        <v>-38011.424321578226</v>
      </c>
      <c r="J400" s="35">
        <v>-39140.735705037339</v>
      </c>
      <c r="K400" s="35">
        <v>-40510.283812528796</v>
      </c>
      <c r="M400" s="4" t="str">
        <f t="shared" si="25"/>
        <v>per Mtonne</v>
      </c>
    </row>
    <row r="401" spans="1:13" s="7" customFormat="1" x14ac:dyDescent="0.25">
      <c r="A401" s="4" t="str">
        <v>EE CH4</v>
      </c>
      <c r="B401" s="35">
        <v>-30384.759042939684</v>
      </c>
      <c r="C401" s="35">
        <v>-29448.698361341849</v>
      </c>
      <c r="D401" s="35">
        <v>-27867.435074827838</v>
      </c>
      <c r="E401" s="35">
        <v>-30620.626340081195</v>
      </c>
      <c r="F401" s="35">
        <v>-33963.210364005179</v>
      </c>
      <c r="G401" s="35">
        <v>-37641.818005145193</v>
      </c>
      <c r="H401" s="35">
        <v>-44866.543540417646</v>
      </c>
      <c r="I401" s="35">
        <v>-50853.335487372562</v>
      </c>
      <c r="J401" s="35">
        <v>-52364.177337625304</v>
      </c>
      <c r="K401" s="35">
        <v>-54196.418318314412</v>
      </c>
      <c r="M401" s="4" t="str">
        <f t="shared" si="25"/>
        <v>per Mtonne</v>
      </c>
    </row>
    <row r="402" spans="1:13" s="7" customFormat="1" x14ac:dyDescent="0.25">
      <c r="A402" s="4" t="str">
        <v>CA CH4</v>
      </c>
      <c r="B402" s="35">
        <v>-31025.639188409918</v>
      </c>
      <c r="C402" s="35">
        <v>-30674.318278134215</v>
      </c>
      <c r="D402" s="35">
        <v>-26074.465814704134</v>
      </c>
      <c r="E402" s="35">
        <v>-23414.344582632344</v>
      </c>
      <c r="F402" s="35">
        <v>-21257.027931907738</v>
      </c>
      <c r="G402" s="35">
        <v>-22792.964243443603</v>
      </c>
      <c r="H402" s="35">
        <v>-30118.152152298833</v>
      </c>
      <c r="I402" s="35">
        <v>-38587.408190629845</v>
      </c>
      <c r="J402" s="35">
        <v>-39733.831933113084</v>
      </c>
      <c r="K402" s="35">
        <v>-41124.132686207377</v>
      </c>
      <c r="M402" s="4" t="str">
        <f t="shared" si="25"/>
        <v>per Mtonne</v>
      </c>
    </row>
    <row r="403" spans="1:13" s="7" customFormat="1" x14ac:dyDescent="0.25">
      <c r="A403" s="4" t="str">
        <v>IA CH4</v>
      </c>
      <c r="B403" s="35">
        <v>-31025.639188409918</v>
      </c>
      <c r="C403" s="35">
        <v>-30674.318278134215</v>
      </c>
      <c r="D403" s="35">
        <v>-26074.465814704134</v>
      </c>
      <c r="E403" s="35">
        <v>-23414.344582632344</v>
      </c>
      <c r="F403" s="35">
        <v>-21257.027931907738</v>
      </c>
      <c r="G403" s="35">
        <v>-22792.964243443603</v>
      </c>
      <c r="H403" s="35">
        <v>-30118.152152298833</v>
      </c>
      <c r="I403" s="35">
        <v>-38587.408190629845</v>
      </c>
      <c r="J403" s="35">
        <v>-39733.831933113084</v>
      </c>
      <c r="K403" s="35">
        <v>-41124.132686207377</v>
      </c>
      <c r="M403" s="4" t="str">
        <f t="shared" si="25"/>
        <v>per Mtonne</v>
      </c>
    </row>
    <row r="404" spans="1:13" s="7" customFormat="1" x14ac:dyDescent="0.25">
      <c r="A404" s="4" t="str">
        <v>AF CH4</v>
      </c>
      <c r="B404" s="35">
        <v>-31000.729436527152</v>
      </c>
      <c r="C404" s="35">
        <v>-30625.761141883326</v>
      </c>
      <c r="D404" s="35">
        <v>-25412.688384366644</v>
      </c>
      <c r="E404" s="35">
        <v>-23582.22215317862</v>
      </c>
      <c r="F404" s="35">
        <v>-22005.880414058891</v>
      </c>
      <c r="G404" s="35">
        <v>-22222.192161796327</v>
      </c>
      <c r="H404" s="35">
        <v>-24851.842429106378</v>
      </c>
      <c r="I404" s="35">
        <v>-32502.0632271945</v>
      </c>
      <c r="J404" s="35">
        <v>-33467.692656858948</v>
      </c>
      <c r="K404" s="35">
        <v>-34638.738992975916</v>
      </c>
      <c r="M404" s="4" t="str">
        <f t="shared" si="25"/>
        <v>per Mtonne</v>
      </c>
    </row>
    <row r="405" spans="1:13" s="7" customFormat="1" ht="13" thickBot="1" x14ac:dyDescent="0.3">
      <c r="A405" s="4" t="str">
        <v>LA CH4</v>
      </c>
      <c r="B405" s="49">
        <v>-31000.729436527152</v>
      </c>
      <c r="C405" s="49">
        <v>-30625.761141883326</v>
      </c>
      <c r="D405" s="49">
        <v>-25412.688384366644</v>
      </c>
      <c r="E405" s="49">
        <v>-23582.22215317862</v>
      </c>
      <c r="F405" s="49">
        <v>-22005.880414058891</v>
      </c>
      <c r="G405" s="49">
        <v>-22222.192161796327</v>
      </c>
      <c r="H405" s="49">
        <v>-24851.842429106378</v>
      </c>
      <c r="I405" s="49">
        <v>-32502.0632271945</v>
      </c>
      <c r="J405" s="49">
        <v>-33467.692656858948</v>
      </c>
      <c r="K405" s="49">
        <v>-34638.738992975916</v>
      </c>
      <c r="M405" s="4" t="str">
        <f t="shared" si="25"/>
        <v>per Mtonne</v>
      </c>
    </row>
    <row r="406" spans="1:13" s="2" customFormat="1" ht="15.5" thickTop="1" x14ac:dyDescent="0.4">
      <c r="A406" s="2" t="s">
        <v>387</v>
      </c>
      <c r="B406" s="2" t="s">
        <v>390</v>
      </c>
    </row>
    <row r="407" spans="1:13" s="7" customFormat="1" x14ac:dyDescent="0.25">
      <c r="A407" s="4" t="str">
        <f t="array" ref="A407:A414">R_CODE&amp;" "&amp;'Base data'!$D$11</f>
        <v>EU N2O</v>
      </c>
      <c r="B407" s="39">
        <f t="array" ref="B407:K414">IF(Q0_N2O=0,0,-2*LN((1+CURVE_BELOW)/(1-CURVE_BELOW))/Q0_N2O)</f>
        <v>-22237.607659561345</v>
      </c>
      <c r="C407" s="39">
        <v>-22506.236952098909</v>
      </c>
      <c r="D407" s="39">
        <v>-22054.584941941837</v>
      </c>
      <c r="E407" s="39">
        <v>-22742.468719577952</v>
      </c>
      <c r="F407" s="39">
        <v>-23461.748420293832</v>
      </c>
      <c r="G407" s="39">
        <v>-24278.989845056756</v>
      </c>
      <c r="H407" s="39">
        <v>-26391.065263053661</v>
      </c>
      <c r="I407" s="39">
        <v>-28406.2502739591</v>
      </c>
      <c r="J407" s="39">
        <v>-31500.208886860582</v>
      </c>
      <c r="K407" s="39">
        <v>-34931.156007785001</v>
      </c>
      <c r="M407" s="4" t="str">
        <f t="shared" ref="M407:M414" si="26">"per "&amp;EMIT_NAME</f>
        <v>per Mtonne</v>
      </c>
    </row>
    <row r="408" spans="1:13" s="7" customFormat="1" x14ac:dyDescent="0.25">
      <c r="A408" s="4" t="str">
        <v>US N2O</v>
      </c>
      <c r="B408" s="35">
        <v>-20527.022461295717</v>
      </c>
      <c r="C408" s="35">
        <v>-20774.98796217591</v>
      </c>
      <c r="D408" s="35">
        <v>-20358.078414210337</v>
      </c>
      <c r="E408" s="35">
        <v>-20993.048055300587</v>
      </c>
      <c r="F408" s="35">
        <v>-21656.998548473388</v>
      </c>
      <c r="G408" s="35">
        <v>-22411.375248486664</v>
      </c>
      <c r="H408" s="35">
        <v>-24360.983327237529</v>
      </c>
      <c r="I408" s="35">
        <v>-26221.154107107224</v>
      </c>
      <c r="J408" s="35">
        <v>-29077.115904510429</v>
      </c>
      <c r="K408" s="35">
        <v>-32244.144017107432</v>
      </c>
      <c r="M408" s="4" t="str">
        <f t="shared" si="26"/>
        <v>per Mtonne</v>
      </c>
    </row>
    <row r="409" spans="1:13" s="7" customFormat="1" x14ac:dyDescent="0.25">
      <c r="A409" s="4" t="str">
        <v>OT N2O</v>
      </c>
      <c r="B409" s="35">
        <v>-22237.607659561345</v>
      </c>
      <c r="C409" s="35">
        <v>-22506.236952098909</v>
      </c>
      <c r="D409" s="35">
        <v>-22054.584941941837</v>
      </c>
      <c r="E409" s="35">
        <v>-22742.468719577952</v>
      </c>
      <c r="F409" s="35">
        <v>-23461.748420293832</v>
      </c>
      <c r="G409" s="35">
        <v>-24278.989845056756</v>
      </c>
      <c r="H409" s="35">
        <v>-26391.065263053661</v>
      </c>
      <c r="I409" s="35">
        <v>-28406.2502739591</v>
      </c>
      <c r="J409" s="35">
        <v>-31500.208886860582</v>
      </c>
      <c r="K409" s="35">
        <v>-34931.156007785001</v>
      </c>
      <c r="M409" s="4" t="str">
        <f t="shared" si="26"/>
        <v>per Mtonne</v>
      </c>
    </row>
    <row r="410" spans="1:13" s="7" customFormat="1" x14ac:dyDescent="0.25">
      <c r="A410" s="4" t="str">
        <v>EE N2O</v>
      </c>
      <c r="B410" s="35">
        <v>-31654.593860392768</v>
      </c>
      <c r="C410" s="35">
        <v>-31922.630057579296</v>
      </c>
      <c r="D410" s="35">
        <v>-31439.750578330113</v>
      </c>
      <c r="E410" s="35">
        <v>-31828.012223588135</v>
      </c>
      <c r="F410" s="35">
        <v>-32221.189571458279</v>
      </c>
      <c r="G410" s="35">
        <v>-33502.676970440014</v>
      </c>
      <c r="H410" s="35">
        <v>-36726.372868486011</v>
      </c>
      <c r="I410" s="35">
        <v>-38912.011465107986</v>
      </c>
      <c r="J410" s="35">
        <v>-43150.239033220336</v>
      </c>
      <c r="K410" s="35">
        <v>-47850.086863117758</v>
      </c>
      <c r="M410" s="4" t="str">
        <f t="shared" si="26"/>
        <v>per Mtonne</v>
      </c>
    </row>
    <row r="411" spans="1:13" s="7" customFormat="1" x14ac:dyDescent="0.25">
      <c r="A411" s="4" t="str">
        <v>CA N2O</v>
      </c>
      <c r="B411" s="35">
        <v>-31624.317141074858</v>
      </c>
      <c r="C411" s="35">
        <v>-31861.738219250499</v>
      </c>
      <c r="D411" s="35">
        <v>-31860.019226854525</v>
      </c>
      <c r="E411" s="35">
        <v>-30838.750476022116</v>
      </c>
      <c r="F411" s="35">
        <v>-29902.993409302959</v>
      </c>
      <c r="G411" s="35">
        <v>-30073.887578914895</v>
      </c>
      <c r="H411" s="35">
        <v>-30884.486224113771</v>
      </c>
      <c r="I411" s="35">
        <v>-31507.520680711124</v>
      </c>
      <c r="J411" s="35">
        <v>-34939.264189308728</v>
      </c>
      <c r="K411" s="35">
        <v>-38744.787140222492</v>
      </c>
      <c r="M411" s="4" t="str">
        <f t="shared" si="26"/>
        <v>per Mtonne</v>
      </c>
    </row>
    <row r="412" spans="1:13" s="7" customFormat="1" x14ac:dyDescent="0.25">
      <c r="A412" s="4" t="str">
        <v>IA N2O</v>
      </c>
      <c r="B412" s="35">
        <v>-31624.317141074858</v>
      </c>
      <c r="C412" s="35">
        <v>-31861.738219250499</v>
      </c>
      <c r="D412" s="35">
        <v>-31860.019226854525</v>
      </c>
      <c r="E412" s="35">
        <v>-30838.750476022116</v>
      </c>
      <c r="F412" s="35">
        <v>-29902.993409302959</v>
      </c>
      <c r="G412" s="35">
        <v>-30073.887578914895</v>
      </c>
      <c r="H412" s="35">
        <v>-30884.486224113771</v>
      </c>
      <c r="I412" s="35">
        <v>-31507.520680711124</v>
      </c>
      <c r="J412" s="35">
        <v>-34939.264189308728</v>
      </c>
      <c r="K412" s="35">
        <v>-38744.787140222492</v>
      </c>
      <c r="M412" s="4" t="str">
        <f t="shared" si="26"/>
        <v>per Mtonne</v>
      </c>
    </row>
    <row r="413" spans="1:13" s="7" customFormat="1" x14ac:dyDescent="0.25">
      <c r="A413" s="4" t="str">
        <v>AF N2O</v>
      </c>
      <c r="B413" s="35">
        <v>-31758.036027287922</v>
      </c>
      <c r="C413" s="35">
        <v>-32131.548892894327</v>
      </c>
      <c r="D413" s="35">
        <v>-32231.471831265924</v>
      </c>
      <c r="E413" s="35">
        <v>-31545.40449821451</v>
      </c>
      <c r="F413" s="35">
        <v>-30904.31777316051</v>
      </c>
      <c r="G413" s="35">
        <v>-30667.268534464336</v>
      </c>
      <c r="H413" s="35">
        <v>-30749.678259272485</v>
      </c>
      <c r="I413" s="35">
        <v>-31142.35030919225</v>
      </c>
      <c r="J413" s="35">
        <v>-34534.320105834187</v>
      </c>
      <c r="K413" s="35">
        <v>-38295.737262328541</v>
      </c>
      <c r="M413" s="4" t="str">
        <f t="shared" si="26"/>
        <v>per Mtonne</v>
      </c>
    </row>
    <row r="414" spans="1:13" s="7" customFormat="1" ht="13" thickBot="1" x14ac:dyDescent="0.3">
      <c r="A414" s="4" t="str">
        <v>LA N2O</v>
      </c>
      <c r="B414" s="49">
        <v>-31758.036027287922</v>
      </c>
      <c r="C414" s="49">
        <v>-32131.548892894327</v>
      </c>
      <c r="D414" s="49">
        <v>-32231.471831265924</v>
      </c>
      <c r="E414" s="49">
        <v>-31545.40449821451</v>
      </c>
      <c r="F414" s="49">
        <v>-30904.31777316051</v>
      </c>
      <c r="G414" s="49">
        <v>-30667.268534464336</v>
      </c>
      <c r="H414" s="49">
        <v>-30749.678259272485</v>
      </c>
      <c r="I414" s="49">
        <v>-31142.35030919225</v>
      </c>
      <c r="J414" s="49">
        <v>-34534.320105834187</v>
      </c>
      <c r="K414" s="49">
        <v>-38295.737262328541</v>
      </c>
      <c r="M414" s="4" t="str">
        <f t="shared" si="26"/>
        <v>per Mtonne</v>
      </c>
    </row>
    <row r="415" spans="1:13" s="2" customFormat="1" ht="15.5" thickTop="1" x14ac:dyDescent="0.4">
      <c r="A415" s="2" t="s">
        <v>387</v>
      </c>
      <c r="B415" s="2" t="s">
        <v>391</v>
      </c>
    </row>
    <row r="416" spans="1:13" s="7" customFormat="1" x14ac:dyDescent="0.25">
      <c r="A416" s="4" t="str">
        <f t="array" ref="A416:A423">R_CODE&amp;" "&amp;GLIN_NAME</f>
        <v>EU Lin</v>
      </c>
      <c r="B416" s="93">
        <f t="array" ref="B416:K423">IF(Q0_GLIN=0,0,-2*LN((1+CURVE_BELOW)/(1-CURVE_BELOW))/Q0_GLIN)</f>
        <v>-21482.318120724496</v>
      </c>
      <c r="C416" s="93">
        <v>-21025.322859673353</v>
      </c>
      <c r="D416" s="93">
        <v>-23395.297522444402</v>
      </c>
      <c r="E416" s="93">
        <v>-22706.849490272245</v>
      </c>
      <c r="F416" s="93">
        <v>-22072.9416717926</v>
      </c>
      <c r="G416" s="93">
        <v>-21496.249114468916</v>
      </c>
      <c r="H416" s="93">
        <v>-20316.167169978635</v>
      </c>
      <c r="I416" s="93">
        <v>-19291.95707697147</v>
      </c>
      <c r="J416" s="93">
        <v>-21393.202971180181</v>
      </c>
      <c r="K416" s="93">
        <v>-23723.312857274894</v>
      </c>
      <c r="M416" s="4" t="str">
        <f t="shared" ref="M416:M423" si="27">"per "&amp;EMIT_NAME</f>
        <v>per Mtonne</v>
      </c>
    </row>
    <row r="417" spans="1:13" s="7" customFormat="1" x14ac:dyDescent="0.25">
      <c r="A417" s="4" t="str">
        <v>US Lin</v>
      </c>
      <c r="B417" s="94">
        <v>-19829.832117539489</v>
      </c>
      <c r="C417" s="94">
        <v>-19407.990337977859</v>
      </c>
      <c r="D417" s="94">
        <v>-21595.65925813196</v>
      </c>
      <c r="E417" s="94">
        <v>-20960.168766700594</v>
      </c>
      <c r="F417" s="94">
        <v>-20375.02308792395</v>
      </c>
      <c r="G417" s="94">
        <v>-19842.691496384447</v>
      </c>
      <c r="H417" s="94">
        <v>-18753.385085750549</v>
      </c>
      <c r="I417" s="94">
        <v>-17807.960384222275</v>
      </c>
      <c r="J417" s="94">
        <v>-19747.571979473272</v>
      </c>
      <c r="K417" s="94">
        <v>-21898.442644222498</v>
      </c>
      <c r="M417" s="4" t="str">
        <f t="shared" si="27"/>
        <v>per Mtonne</v>
      </c>
    </row>
    <row r="418" spans="1:13" s="7" customFormat="1" x14ac:dyDescent="0.25">
      <c r="A418" s="4" t="str">
        <v>OT Lin</v>
      </c>
      <c r="B418" s="94">
        <v>-21482.318120724496</v>
      </c>
      <c r="C418" s="94">
        <v>-21025.322859673353</v>
      </c>
      <c r="D418" s="94">
        <v>-23395.297522444402</v>
      </c>
      <c r="E418" s="94">
        <v>-22706.849490272245</v>
      </c>
      <c r="F418" s="94">
        <v>-22072.9416717926</v>
      </c>
      <c r="G418" s="94">
        <v>-21496.249114468916</v>
      </c>
      <c r="H418" s="94">
        <v>-20316.167169978635</v>
      </c>
      <c r="I418" s="94">
        <v>-19291.95707697147</v>
      </c>
      <c r="J418" s="94">
        <v>-21393.202971180181</v>
      </c>
      <c r="K418" s="94">
        <v>-23723.312857274894</v>
      </c>
      <c r="M418" s="4" t="str">
        <f t="shared" si="27"/>
        <v>per Mtonne</v>
      </c>
    </row>
    <row r="419" spans="1:13" s="7" customFormat="1" x14ac:dyDescent="0.25">
      <c r="A419" s="4" t="str">
        <v>EE Lin</v>
      </c>
      <c r="B419" s="94">
        <v>-30590.447398516149</v>
      </c>
      <c r="C419" s="94">
        <v>-29849.82112256395</v>
      </c>
      <c r="D419" s="94">
        <v>-17579.670165496431</v>
      </c>
      <c r="E419" s="94">
        <v>-12277.075871077055</v>
      </c>
      <c r="F419" s="94">
        <v>-9477.7796500309378</v>
      </c>
      <c r="G419" s="94">
        <v>-9246.2772621465047</v>
      </c>
      <c r="H419" s="94">
        <v>-9260.5110114605977</v>
      </c>
      <c r="I419" s="94">
        <v>-10415.785878704317</v>
      </c>
      <c r="J419" s="94">
        <v>-11550.254881784867</v>
      </c>
      <c r="K419" s="94">
        <v>-12808.288245148773</v>
      </c>
      <c r="M419" s="4" t="str">
        <f t="shared" si="27"/>
        <v>per Mtonne</v>
      </c>
    </row>
    <row r="420" spans="1:13" s="7" customFormat="1" x14ac:dyDescent="0.25">
      <c r="A420" s="4" t="str">
        <v>CA Lin</v>
      </c>
      <c r="B420" s="94">
        <v>-29820.145485061174</v>
      </c>
      <c r="C420" s="94">
        <v>-28431.274872017919</v>
      </c>
      <c r="D420" s="94">
        <v>-13810.816959972506</v>
      </c>
      <c r="E420" s="94">
        <v>-7239.0786229623336</v>
      </c>
      <c r="F420" s="94">
        <v>-4937.9926336983426</v>
      </c>
      <c r="G420" s="94">
        <v>-3670.0953254877659</v>
      </c>
      <c r="H420" s="94">
        <v>-3077.1654836373659</v>
      </c>
      <c r="I420" s="94">
        <v>-3381.8158633318794</v>
      </c>
      <c r="J420" s="94">
        <v>-3750.1572747005771</v>
      </c>
      <c r="K420" s="94">
        <v>-4158.6177820851672</v>
      </c>
      <c r="M420" s="4" t="str">
        <f t="shared" si="27"/>
        <v>per Mtonne</v>
      </c>
    </row>
    <row r="421" spans="1:13" s="7" customFormat="1" x14ac:dyDescent="0.25">
      <c r="A421" s="4" t="str">
        <v>IA Lin</v>
      </c>
      <c r="B421" s="94">
        <v>-29820.145485061174</v>
      </c>
      <c r="C421" s="94">
        <v>-28431.274872017919</v>
      </c>
      <c r="D421" s="94">
        <v>-13810.816959972506</v>
      </c>
      <c r="E421" s="94">
        <v>-7239.0786229623336</v>
      </c>
      <c r="F421" s="94">
        <v>-4937.9926336983426</v>
      </c>
      <c r="G421" s="94">
        <v>-3670.0953254877659</v>
      </c>
      <c r="H421" s="94">
        <v>-3077.1654836373659</v>
      </c>
      <c r="I421" s="94">
        <v>-3381.8158633318794</v>
      </c>
      <c r="J421" s="94">
        <v>-3750.1572747005771</v>
      </c>
      <c r="K421" s="94">
        <v>-4158.6177820851672</v>
      </c>
      <c r="M421" s="4" t="str">
        <f t="shared" si="27"/>
        <v>per Mtonne</v>
      </c>
    </row>
    <row r="422" spans="1:13" s="7" customFormat="1" x14ac:dyDescent="0.25">
      <c r="A422" s="4" t="str">
        <v>AF Lin</v>
      </c>
      <c r="B422" s="94">
        <v>-29469.618195019353</v>
      </c>
      <c r="C422" s="94">
        <v>-27807.067158299094</v>
      </c>
      <c r="D422" s="94">
        <v>-13707.991483388489</v>
      </c>
      <c r="E422" s="94">
        <v>-6831.7225550573294</v>
      </c>
      <c r="F422" s="94">
        <v>-4581.1948077487104</v>
      </c>
      <c r="G422" s="94">
        <v>-3804.8044382286894</v>
      </c>
      <c r="H422" s="94">
        <v>-3386.0776105568821</v>
      </c>
      <c r="I422" s="94">
        <v>-3654.358774123677</v>
      </c>
      <c r="J422" s="94">
        <v>-4052.3850780106445</v>
      </c>
      <c r="K422" s="94">
        <v>-4493.7637039815045</v>
      </c>
      <c r="M422" s="4" t="str">
        <f t="shared" si="27"/>
        <v>per Mtonne</v>
      </c>
    </row>
    <row r="423" spans="1:13" s="7" customFormat="1" ht="13" thickBot="1" x14ac:dyDescent="0.3">
      <c r="A423" s="4" t="str">
        <v>LA Lin</v>
      </c>
      <c r="B423" s="95">
        <v>-29469.618195019353</v>
      </c>
      <c r="C423" s="95">
        <v>-27807.067158299094</v>
      </c>
      <c r="D423" s="95">
        <v>-13707.991483388489</v>
      </c>
      <c r="E423" s="95">
        <v>-6831.7225550573294</v>
      </c>
      <c r="F423" s="95">
        <v>-4581.1948077487104</v>
      </c>
      <c r="G423" s="95">
        <v>-3804.8044382286894</v>
      </c>
      <c r="H423" s="95">
        <v>-3386.0776105568821</v>
      </c>
      <c r="I423" s="95">
        <v>-3654.358774123677</v>
      </c>
      <c r="J423" s="95">
        <v>-4052.3850780106445</v>
      </c>
      <c r="K423" s="95">
        <v>-4493.7637039815045</v>
      </c>
      <c r="M423" s="4" t="str">
        <f t="shared" si="27"/>
        <v>per Mtonne</v>
      </c>
    </row>
    <row r="424" spans="1:13" s="2" customFormat="1" ht="15.5" thickTop="1" x14ac:dyDescent="0.4">
      <c r="A424" s="2" t="s">
        <v>386</v>
      </c>
      <c r="B424" s="2" t="s">
        <v>392</v>
      </c>
    </row>
    <row r="425" spans="1:13" s="6" customFormat="1" x14ac:dyDescent="0.25">
      <c r="A425" s="4" t="str">
        <f t="array" ref="A425:A432">R_CODE&amp;" "&amp;'Base data'!$B$11</f>
        <v>EU CO2</v>
      </c>
      <c r="B425" s="45">
        <f t="array" ref="B425:K432">IF(Q0_CO2=0,0,C0_CO2/(EXP(-BLO_CO2*Q0_CO2)-1))</f>
        <v>-28.989947133630231</v>
      </c>
      <c r="C425" s="45">
        <v>-28.814298340482356</v>
      </c>
      <c r="D425" s="45">
        <v>-28.639713795516521</v>
      </c>
      <c r="E425" s="45">
        <v>-28.466187050500583</v>
      </c>
      <c r="F425" s="45">
        <v>-28.293711696271956</v>
      </c>
      <c r="G425" s="45">
        <v>-28.122281362500878</v>
      </c>
      <c r="H425" s="45">
        <v>-27.782530467766215</v>
      </c>
      <c r="I425" s="45">
        <v>-27.446884171409785</v>
      </c>
      <c r="J425" s="45">
        <v>-25.82850688547671</v>
      </c>
      <c r="K425" s="45">
        <v>-24.305555551111294</v>
      </c>
      <c r="M425" s="43" t="str">
        <f t="shared" ref="M425:M432" si="28">CURRENCY_NAME&amp;" per "&amp;EMIT_NAME</f>
        <v>$million per Mtonne</v>
      </c>
    </row>
    <row r="426" spans="1:13" s="6" customFormat="1" x14ac:dyDescent="0.25">
      <c r="A426" s="4" t="str">
        <v>US CO2</v>
      </c>
      <c r="B426" s="46">
        <v>-28.989947133630231</v>
      </c>
      <c r="C426" s="46">
        <v>-28.814298340482356</v>
      </c>
      <c r="D426" s="46">
        <v>-28.639713795516521</v>
      </c>
      <c r="E426" s="46">
        <v>-28.466187050500583</v>
      </c>
      <c r="F426" s="46">
        <v>-28.293711696271956</v>
      </c>
      <c r="G426" s="46">
        <v>-28.122281362500878</v>
      </c>
      <c r="H426" s="46">
        <v>-27.782530467766215</v>
      </c>
      <c r="I426" s="46">
        <v>-27.446884171409785</v>
      </c>
      <c r="J426" s="46">
        <v>-25.82850688547671</v>
      </c>
      <c r="K426" s="46">
        <v>-24.305555551111294</v>
      </c>
      <c r="M426" s="43" t="str">
        <f t="shared" si="28"/>
        <v>$million per Mtonne</v>
      </c>
    </row>
    <row r="427" spans="1:13" s="6" customFormat="1" x14ac:dyDescent="0.25">
      <c r="A427" s="4" t="str">
        <v>OT CO2</v>
      </c>
      <c r="B427" s="46">
        <v>-28.989947133630231</v>
      </c>
      <c r="C427" s="46">
        <v>-28.814298340482356</v>
      </c>
      <c r="D427" s="46">
        <v>-28.639713795516521</v>
      </c>
      <c r="E427" s="46">
        <v>-28.466187050500583</v>
      </c>
      <c r="F427" s="46">
        <v>-28.293711696271956</v>
      </c>
      <c r="G427" s="46">
        <v>-28.122281362500878</v>
      </c>
      <c r="H427" s="46">
        <v>-27.782530467766215</v>
      </c>
      <c r="I427" s="46">
        <v>-27.446884171409785</v>
      </c>
      <c r="J427" s="46">
        <v>-25.82850688547671</v>
      </c>
      <c r="K427" s="46">
        <v>-24.305555551111294</v>
      </c>
      <c r="M427" s="43" t="str">
        <f t="shared" si="28"/>
        <v>$million per Mtonne</v>
      </c>
    </row>
    <row r="428" spans="1:13" s="6" customFormat="1" x14ac:dyDescent="0.25">
      <c r="A428" s="4" t="str">
        <v>EE CO2</v>
      </c>
      <c r="B428" s="46">
        <v>-28.989947133630231</v>
      </c>
      <c r="C428" s="46">
        <v>-28.814298340482356</v>
      </c>
      <c r="D428" s="46">
        <v>-28.639713795516521</v>
      </c>
      <c r="E428" s="46">
        <v>-28.466187050500583</v>
      </c>
      <c r="F428" s="46">
        <v>-28.293711696271956</v>
      </c>
      <c r="G428" s="46">
        <v>-28.122281362500878</v>
      </c>
      <c r="H428" s="46">
        <v>-27.782530467766215</v>
      </c>
      <c r="I428" s="46">
        <v>-27.446884171409785</v>
      </c>
      <c r="J428" s="46">
        <v>-25.82850688547671</v>
      </c>
      <c r="K428" s="46">
        <v>-24.305555551111294</v>
      </c>
      <c r="M428" s="43" t="str">
        <f t="shared" si="28"/>
        <v>$million per Mtonne</v>
      </c>
    </row>
    <row r="429" spans="1:13" s="6" customFormat="1" x14ac:dyDescent="0.25">
      <c r="A429" s="4" t="str">
        <v>CA CO2</v>
      </c>
      <c r="B429" s="46">
        <v>-28.989947133630231</v>
      </c>
      <c r="C429" s="46">
        <v>-28.814298340482356</v>
      </c>
      <c r="D429" s="46">
        <v>-28.639713795516521</v>
      </c>
      <c r="E429" s="46">
        <v>-28.466187050500583</v>
      </c>
      <c r="F429" s="46">
        <v>-28.293711696271956</v>
      </c>
      <c r="G429" s="46">
        <v>-28.122281362500878</v>
      </c>
      <c r="H429" s="46">
        <v>-27.782530467766215</v>
      </c>
      <c r="I429" s="46">
        <v>-27.446884171409785</v>
      </c>
      <c r="J429" s="46">
        <v>-25.82850688547671</v>
      </c>
      <c r="K429" s="46">
        <v>-24.305555551111294</v>
      </c>
      <c r="M429" s="43" t="str">
        <f t="shared" si="28"/>
        <v>$million per Mtonne</v>
      </c>
    </row>
    <row r="430" spans="1:13" s="6" customFormat="1" x14ac:dyDescent="0.25">
      <c r="A430" s="4" t="str">
        <v>IA CO2</v>
      </c>
      <c r="B430" s="46">
        <v>-28.989947133630231</v>
      </c>
      <c r="C430" s="46">
        <v>-28.814298340482356</v>
      </c>
      <c r="D430" s="46">
        <v>-28.639713795516521</v>
      </c>
      <c r="E430" s="46">
        <v>-28.466187050500583</v>
      </c>
      <c r="F430" s="46">
        <v>-28.293711696271956</v>
      </c>
      <c r="G430" s="46">
        <v>-28.122281362500878</v>
      </c>
      <c r="H430" s="46">
        <v>-27.782530467766215</v>
      </c>
      <c r="I430" s="46">
        <v>-27.446884171409785</v>
      </c>
      <c r="J430" s="46">
        <v>-25.82850688547671</v>
      </c>
      <c r="K430" s="46">
        <v>-24.305555551111294</v>
      </c>
      <c r="M430" s="43" t="str">
        <f t="shared" si="28"/>
        <v>$million per Mtonne</v>
      </c>
    </row>
    <row r="431" spans="1:13" s="6" customFormat="1" x14ac:dyDescent="0.25">
      <c r="A431" s="4" t="str">
        <v>AF CO2</v>
      </c>
      <c r="B431" s="46">
        <v>-28.989947133630231</v>
      </c>
      <c r="C431" s="46">
        <v>-28.814298340482356</v>
      </c>
      <c r="D431" s="46">
        <v>-28.639713795516521</v>
      </c>
      <c r="E431" s="46">
        <v>-28.466187050500583</v>
      </c>
      <c r="F431" s="46">
        <v>-28.293711696271956</v>
      </c>
      <c r="G431" s="46">
        <v>-28.122281362500878</v>
      </c>
      <c r="H431" s="46">
        <v>-27.782530467766215</v>
      </c>
      <c r="I431" s="46">
        <v>-27.446884171409785</v>
      </c>
      <c r="J431" s="46">
        <v>-25.82850688547671</v>
      </c>
      <c r="K431" s="46">
        <v>-24.305555551111294</v>
      </c>
      <c r="M431" s="43" t="str">
        <f t="shared" si="28"/>
        <v>$million per Mtonne</v>
      </c>
    </row>
    <row r="432" spans="1:13" s="6" customFormat="1" ht="13" thickBot="1" x14ac:dyDescent="0.3">
      <c r="A432" s="4" t="str">
        <v>LA CO2</v>
      </c>
      <c r="B432" s="47">
        <v>-28.989947133630231</v>
      </c>
      <c r="C432" s="47">
        <v>-28.814298340482356</v>
      </c>
      <c r="D432" s="47">
        <v>-28.639713795516521</v>
      </c>
      <c r="E432" s="47">
        <v>-28.466187050500583</v>
      </c>
      <c r="F432" s="47">
        <v>-28.293711696271956</v>
      </c>
      <c r="G432" s="47">
        <v>-28.122281362500878</v>
      </c>
      <c r="H432" s="47">
        <v>-27.782530467766215</v>
      </c>
      <c r="I432" s="47">
        <v>-27.446884171409785</v>
      </c>
      <c r="J432" s="47">
        <v>-25.82850688547671</v>
      </c>
      <c r="K432" s="47">
        <v>-24.305555551111294</v>
      </c>
      <c r="M432" s="43" t="str">
        <f t="shared" si="28"/>
        <v>$million per Mtonne</v>
      </c>
    </row>
    <row r="433" spans="1:13" s="2" customFormat="1" ht="15.5" thickTop="1" x14ac:dyDescent="0.4">
      <c r="A433" s="2" t="s">
        <v>386</v>
      </c>
      <c r="B433" s="2" t="s">
        <v>393</v>
      </c>
    </row>
    <row r="434" spans="1:13" s="7" customFormat="1" x14ac:dyDescent="0.25">
      <c r="A434" s="4" t="str">
        <f t="array" ref="A434:A441">R_CODE&amp;" "&amp;'Base data'!$C$11</f>
        <v>EU CH4</v>
      </c>
      <c r="B434" s="39">
        <f t="array" ref="B434:K441">IF(Q0_CH4=0,0,C0_CH4/(EXP(-BLO_CH4*Q0_CH4)-1))</f>
        <v>-538.38473251720222</v>
      </c>
      <c r="C434" s="39">
        <v>-535.12268350138368</v>
      </c>
      <c r="D434" s="39">
        <v>-531.88039909466158</v>
      </c>
      <c r="E434" s="39">
        <v>-528.65775954415312</v>
      </c>
      <c r="F434" s="39">
        <v>-525.45464582255306</v>
      </c>
      <c r="G434" s="39">
        <v>-522.27093962373749</v>
      </c>
      <c r="H434" s="39">
        <v>-515.96128014967769</v>
      </c>
      <c r="I434" s="39">
        <v>-509.72784893121872</v>
      </c>
      <c r="J434" s="39">
        <v>-479.67227076190852</v>
      </c>
      <c r="K434" s="39">
        <v>-451.38888883611452</v>
      </c>
      <c r="M434" s="43" t="str">
        <f t="shared" ref="M434:M441" si="29">CURRENCY_NAME&amp;" per "&amp;EMIT_NAME</f>
        <v>$million per Mtonne</v>
      </c>
    </row>
    <row r="435" spans="1:13" s="7" customFormat="1" x14ac:dyDescent="0.25">
      <c r="A435" s="4" t="str">
        <v>US CH4</v>
      </c>
      <c r="B435" s="35">
        <v>-538.38473251720222</v>
      </c>
      <c r="C435" s="35">
        <v>-535.12268350138368</v>
      </c>
      <c r="D435" s="35">
        <v>-531.88039909466158</v>
      </c>
      <c r="E435" s="35">
        <v>-528.65775954415312</v>
      </c>
      <c r="F435" s="35">
        <v>-525.45464582255306</v>
      </c>
      <c r="G435" s="35">
        <v>-522.27093962373749</v>
      </c>
      <c r="H435" s="35">
        <v>-515.96128014967769</v>
      </c>
      <c r="I435" s="35">
        <v>-509.72784893121872</v>
      </c>
      <c r="J435" s="35">
        <v>-479.67227076190852</v>
      </c>
      <c r="K435" s="35">
        <v>-451.38888883611452</v>
      </c>
      <c r="M435" s="43" t="str">
        <f t="shared" si="29"/>
        <v>$million per Mtonne</v>
      </c>
    </row>
    <row r="436" spans="1:13" s="7" customFormat="1" x14ac:dyDescent="0.25">
      <c r="A436" s="4" t="str">
        <v>OT CH4</v>
      </c>
      <c r="B436" s="35">
        <v>-538.38473251720222</v>
      </c>
      <c r="C436" s="35">
        <v>-535.12268350138368</v>
      </c>
      <c r="D436" s="35">
        <v>-531.88039909466158</v>
      </c>
      <c r="E436" s="35">
        <v>-528.65775954415312</v>
      </c>
      <c r="F436" s="35">
        <v>-525.45464582255306</v>
      </c>
      <c r="G436" s="35">
        <v>-522.27093962373749</v>
      </c>
      <c r="H436" s="35">
        <v>-515.96128014967769</v>
      </c>
      <c r="I436" s="35">
        <v>-509.72784893121872</v>
      </c>
      <c r="J436" s="35">
        <v>-479.67227076190852</v>
      </c>
      <c r="K436" s="35">
        <v>-451.38888883611452</v>
      </c>
      <c r="M436" s="43" t="str">
        <f t="shared" si="29"/>
        <v>$million per Mtonne</v>
      </c>
    </row>
    <row r="437" spans="1:13" s="7" customFormat="1" x14ac:dyDescent="0.25">
      <c r="A437" s="4" t="str">
        <v>EE CH4</v>
      </c>
      <c r="B437" s="35">
        <v>-538.38473251720222</v>
      </c>
      <c r="C437" s="35">
        <v>-535.12268350138368</v>
      </c>
      <c r="D437" s="35">
        <v>-531.88039909466158</v>
      </c>
      <c r="E437" s="35">
        <v>-528.65775954415312</v>
      </c>
      <c r="F437" s="35">
        <v>-525.45464582255306</v>
      </c>
      <c r="G437" s="35">
        <v>-522.27093962373749</v>
      </c>
      <c r="H437" s="35">
        <v>-515.96128014967769</v>
      </c>
      <c r="I437" s="35">
        <v>-509.72784893121872</v>
      </c>
      <c r="J437" s="35">
        <v>-479.67227076190852</v>
      </c>
      <c r="K437" s="35">
        <v>-451.38888883611452</v>
      </c>
      <c r="M437" s="43" t="str">
        <f t="shared" si="29"/>
        <v>$million per Mtonne</v>
      </c>
    </row>
    <row r="438" spans="1:13" s="7" customFormat="1" x14ac:dyDescent="0.25">
      <c r="A438" s="4" t="str">
        <v>CA CH4</v>
      </c>
      <c r="B438" s="35">
        <v>-538.38473251720222</v>
      </c>
      <c r="C438" s="35">
        <v>-535.12268350138368</v>
      </c>
      <c r="D438" s="35">
        <v>-531.88039909466158</v>
      </c>
      <c r="E438" s="35">
        <v>-528.65775954415312</v>
      </c>
      <c r="F438" s="35">
        <v>-525.45464582255306</v>
      </c>
      <c r="G438" s="35">
        <v>-522.27093962373749</v>
      </c>
      <c r="H438" s="35">
        <v>-515.96128014967769</v>
      </c>
      <c r="I438" s="35">
        <v>-509.72784893121872</v>
      </c>
      <c r="J438" s="35">
        <v>-479.67227076190852</v>
      </c>
      <c r="K438" s="35">
        <v>-451.38888883611452</v>
      </c>
      <c r="M438" s="43" t="str">
        <f t="shared" si="29"/>
        <v>$million per Mtonne</v>
      </c>
    </row>
    <row r="439" spans="1:13" s="7" customFormat="1" x14ac:dyDescent="0.25">
      <c r="A439" s="4" t="str">
        <v>IA CH4</v>
      </c>
      <c r="B439" s="35">
        <v>-538.38473251720222</v>
      </c>
      <c r="C439" s="35">
        <v>-535.12268350138368</v>
      </c>
      <c r="D439" s="35">
        <v>-531.88039909466158</v>
      </c>
      <c r="E439" s="35">
        <v>-528.65775954415312</v>
      </c>
      <c r="F439" s="35">
        <v>-525.45464582255306</v>
      </c>
      <c r="G439" s="35">
        <v>-522.27093962373749</v>
      </c>
      <c r="H439" s="35">
        <v>-515.96128014967769</v>
      </c>
      <c r="I439" s="35">
        <v>-509.72784893121872</v>
      </c>
      <c r="J439" s="35">
        <v>-479.67227076190852</v>
      </c>
      <c r="K439" s="35">
        <v>-451.38888883611452</v>
      </c>
      <c r="M439" s="43" t="str">
        <f t="shared" si="29"/>
        <v>$million per Mtonne</v>
      </c>
    </row>
    <row r="440" spans="1:13" s="7" customFormat="1" x14ac:dyDescent="0.25">
      <c r="A440" s="4" t="str">
        <v>AF CH4</v>
      </c>
      <c r="B440" s="35">
        <v>-538.38473251720222</v>
      </c>
      <c r="C440" s="35">
        <v>-535.12268350138368</v>
      </c>
      <c r="D440" s="35">
        <v>-531.88039909466158</v>
      </c>
      <c r="E440" s="35">
        <v>-528.65775954415312</v>
      </c>
      <c r="F440" s="35">
        <v>-525.45464582255306</v>
      </c>
      <c r="G440" s="35">
        <v>-522.27093962373749</v>
      </c>
      <c r="H440" s="35">
        <v>-515.96128014967769</v>
      </c>
      <c r="I440" s="35">
        <v>-509.72784893121872</v>
      </c>
      <c r="J440" s="35">
        <v>-479.67227076190852</v>
      </c>
      <c r="K440" s="35">
        <v>-451.38888883611452</v>
      </c>
      <c r="M440" s="43" t="str">
        <f t="shared" si="29"/>
        <v>$million per Mtonne</v>
      </c>
    </row>
    <row r="441" spans="1:13" s="7" customFormat="1" ht="13" thickBot="1" x14ac:dyDescent="0.3">
      <c r="A441" s="4" t="str">
        <v>LA CH4</v>
      </c>
      <c r="B441" s="49">
        <v>-538.38473251720222</v>
      </c>
      <c r="C441" s="49">
        <v>-535.12268350138368</v>
      </c>
      <c r="D441" s="49">
        <v>-531.88039909466158</v>
      </c>
      <c r="E441" s="49">
        <v>-528.65775954415312</v>
      </c>
      <c r="F441" s="49">
        <v>-525.45464582255306</v>
      </c>
      <c r="G441" s="49">
        <v>-522.27093962373749</v>
      </c>
      <c r="H441" s="49">
        <v>-515.96128014967769</v>
      </c>
      <c r="I441" s="49">
        <v>-509.72784893121872</v>
      </c>
      <c r="J441" s="49">
        <v>-479.67227076190852</v>
      </c>
      <c r="K441" s="49">
        <v>-451.38888883611452</v>
      </c>
      <c r="M441" s="43" t="str">
        <f t="shared" si="29"/>
        <v>$million per Mtonne</v>
      </c>
    </row>
    <row r="442" spans="1:13" s="2" customFormat="1" ht="15.5" thickTop="1" x14ac:dyDescent="0.4">
      <c r="A442" s="2" t="s">
        <v>386</v>
      </c>
      <c r="B442" s="2" t="s">
        <v>394</v>
      </c>
    </row>
    <row r="443" spans="1:13" s="7" customFormat="1" x14ac:dyDescent="0.25">
      <c r="A443" s="4" t="str">
        <f t="array" ref="A443:A450">R_CODE&amp;" "&amp;'Base data'!$D$11</f>
        <v>EU N2O</v>
      </c>
      <c r="B443" s="39">
        <f t="array" ref="B443:K450">IF(Q0_N2O=0,0,C0_N2O/(EXP(-BLO_N2O*Q0_N2O)-1))</f>
        <v>-911.11262428855196</v>
      </c>
      <c r="C443" s="39">
        <v>-905.59223364622392</v>
      </c>
      <c r="D443" s="39">
        <v>-900.10529080390609</v>
      </c>
      <c r="E443" s="39">
        <v>-894.65159310287402</v>
      </c>
      <c r="F443" s="39">
        <v>-889.23093911230342</v>
      </c>
      <c r="G443" s="39">
        <v>-883.84312862183049</v>
      </c>
      <c r="H443" s="39">
        <v>-873.165243357701</v>
      </c>
      <c r="I443" s="39">
        <v>-862.61635975690001</v>
      </c>
      <c r="J443" s="39">
        <v>-811.7530736226206</v>
      </c>
      <c r="K443" s="39">
        <v>-763.88888882361698</v>
      </c>
      <c r="M443" s="43" t="str">
        <f t="shared" ref="M443:M450" si="30">CURRENCY_NAME&amp;" per "&amp;EMIT_NAME</f>
        <v>$million per Mtonne</v>
      </c>
    </row>
    <row r="444" spans="1:13" s="7" customFormat="1" x14ac:dyDescent="0.25">
      <c r="A444" s="4" t="str">
        <v>US N2O</v>
      </c>
      <c r="B444" s="35">
        <v>-911.11262428855196</v>
      </c>
      <c r="C444" s="35">
        <v>-905.59223364622392</v>
      </c>
      <c r="D444" s="35">
        <v>-900.10529080390609</v>
      </c>
      <c r="E444" s="35">
        <v>-894.65159310287402</v>
      </c>
      <c r="F444" s="35">
        <v>-889.23093911230342</v>
      </c>
      <c r="G444" s="35">
        <v>-883.84312862183049</v>
      </c>
      <c r="H444" s="35">
        <v>-873.165243357701</v>
      </c>
      <c r="I444" s="35">
        <v>-862.61635975690001</v>
      </c>
      <c r="J444" s="35">
        <v>-811.7530736226206</v>
      </c>
      <c r="K444" s="35">
        <v>-763.88888882361698</v>
      </c>
      <c r="M444" s="43" t="str">
        <f t="shared" si="30"/>
        <v>$million per Mtonne</v>
      </c>
    </row>
    <row r="445" spans="1:13" s="7" customFormat="1" x14ac:dyDescent="0.25">
      <c r="A445" s="4" t="str">
        <v>OT N2O</v>
      </c>
      <c r="B445" s="35">
        <v>-911.11262428855196</v>
      </c>
      <c r="C445" s="35">
        <v>-905.59223364622392</v>
      </c>
      <c r="D445" s="35">
        <v>-900.10529080390609</v>
      </c>
      <c r="E445" s="35">
        <v>-894.65159310287402</v>
      </c>
      <c r="F445" s="35">
        <v>-889.23093911230342</v>
      </c>
      <c r="G445" s="35">
        <v>-883.84312862183049</v>
      </c>
      <c r="H445" s="35">
        <v>-873.165243357701</v>
      </c>
      <c r="I445" s="35">
        <v>-862.61635975690001</v>
      </c>
      <c r="J445" s="35">
        <v>-811.7530736226206</v>
      </c>
      <c r="K445" s="35">
        <v>-763.88888882361698</v>
      </c>
      <c r="M445" s="43" t="str">
        <f t="shared" si="30"/>
        <v>$million per Mtonne</v>
      </c>
    </row>
    <row r="446" spans="1:13" s="7" customFormat="1" x14ac:dyDescent="0.25">
      <c r="A446" s="4" t="str">
        <v>EE N2O</v>
      </c>
      <c r="B446" s="35">
        <v>-911.11262428855196</v>
      </c>
      <c r="C446" s="35">
        <v>-905.59223364622392</v>
      </c>
      <c r="D446" s="35">
        <v>-900.10529080390609</v>
      </c>
      <c r="E446" s="35">
        <v>-894.65159310287402</v>
      </c>
      <c r="F446" s="35">
        <v>-889.23093911230342</v>
      </c>
      <c r="G446" s="35">
        <v>-883.84312862183049</v>
      </c>
      <c r="H446" s="35">
        <v>-873.165243357701</v>
      </c>
      <c r="I446" s="35">
        <v>-862.61635975690001</v>
      </c>
      <c r="J446" s="35">
        <v>-811.7530736226206</v>
      </c>
      <c r="K446" s="35">
        <v>-763.88888882361698</v>
      </c>
      <c r="M446" s="43" t="str">
        <f t="shared" si="30"/>
        <v>$million per Mtonne</v>
      </c>
    </row>
    <row r="447" spans="1:13" s="7" customFormat="1" x14ac:dyDescent="0.25">
      <c r="A447" s="4" t="str">
        <v>CA N2O</v>
      </c>
      <c r="B447" s="35">
        <v>-911.11262428855196</v>
      </c>
      <c r="C447" s="35">
        <v>-905.59223364622392</v>
      </c>
      <c r="D447" s="35">
        <v>-900.10529080390609</v>
      </c>
      <c r="E447" s="35">
        <v>-894.65159310287402</v>
      </c>
      <c r="F447" s="35">
        <v>-889.23093911230342</v>
      </c>
      <c r="G447" s="35">
        <v>-883.84312862183049</v>
      </c>
      <c r="H447" s="35">
        <v>-873.165243357701</v>
      </c>
      <c r="I447" s="35">
        <v>-862.61635975690001</v>
      </c>
      <c r="J447" s="35">
        <v>-811.7530736226206</v>
      </c>
      <c r="K447" s="35">
        <v>-763.88888882361698</v>
      </c>
      <c r="M447" s="43" t="str">
        <f t="shared" si="30"/>
        <v>$million per Mtonne</v>
      </c>
    </row>
    <row r="448" spans="1:13" s="7" customFormat="1" x14ac:dyDescent="0.25">
      <c r="A448" s="4" t="str">
        <v>IA N2O</v>
      </c>
      <c r="B448" s="35">
        <v>-911.11262428855196</v>
      </c>
      <c r="C448" s="35">
        <v>-905.59223364622392</v>
      </c>
      <c r="D448" s="35">
        <v>-900.10529080390609</v>
      </c>
      <c r="E448" s="35">
        <v>-894.65159310287402</v>
      </c>
      <c r="F448" s="35">
        <v>-889.23093911230342</v>
      </c>
      <c r="G448" s="35">
        <v>-883.84312862183049</v>
      </c>
      <c r="H448" s="35">
        <v>-873.165243357701</v>
      </c>
      <c r="I448" s="35">
        <v>-862.61635975690001</v>
      </c>
      <c r="J448" s="35">
        <v>-811.7530736226206</v>
      </c>
      <c r="K448" s="35">
        <v>-763.88888882361698</v>
      </c>
      <c r="M448" s="43" t="str">
        <f t="shared" si="30"/>
        <v>$million per Mtonne</v>
      </c>
    </row>
    <row r="449" spans="1:13" s="7" customFormat="1" x14ac:dyDescent="0.25">
      <c r="A449" s="4" t="str">
        <v>AF N2O</v>
      </c>
      <c r="B449" s="35">
        <v>-911.11262428855196</v>
      </c>
      <c r="C449" s="35">
        <v>-905.59223364622392</v>
      </c>
      <c r="D449" s="35">
        <v>-900.10529080390609</v>
      </c>
      <c r="E449" s="35">
        <v>-894.65159310287402</v>
      </c>
      <c r="F449" s="35">
        <v>-889.23093911230342</v>
      </c>
      <c r="G449" s="35">
        <v>-883.84312862183049</v>
      </c>
      <c r="H449" s="35">
        <v>-873.165243357701</v>
      </c>
      <c r="I449" s="35">
        <v>-862.61635975690001</v>
      </c>
      <c r="J449" s="35">
        <v>-811.7530736226206</v>
      </c>
      <c r="K449" s="35">
        <v>-763.88888882361698</v>
      </c>
      <c r="M449" s="43" t="str">
        <f t="shared" si="30"/>
        <v>$million per Mtonne</v>
      </c>
    </row>
    <row r="450" spans="1:13" s="7" customFormat="1" ht="13" thickBot="1" x14ac:dyDescent="0.3">
      <c r="A450" s="4" t="str">
        <v>LA N2O</v>
      </c>
      <c r="B450" s="49">
        <v>-911.11262428855196</v>
      </c>
      <c r="C450" s="49">
        <v>-905.59223364622392</v>
      </c>
      <c r="D450" s="49">
        <v>-900.10529080390609</v>
      </c>
      <c r="E450" s="49">
        <v>-894.65159310287402</v>
      </c>
      <c r="F450" s="49">
        <v>-889.23093911230342</v>
      </c>
      <c r="G450" s="49">
        <v>-883.84312862183049</v>
      </c>
      <c r="H450" s="49">
        <v>-873.165243357701</v>
      </c>
      <c r="I450" s="49">
        <v>-862.61635975690001</v>
      </c>
      <c r="J450" s="49">
        <v>-811.7530736226206</v>
      </c>
      <c r="K450" s="49">
        <v>-763.88888882361698</v>
      </c>
      <c r="M450" s="43" t="str">
        <f t="shared" si="30"/>
        <v>$million per Mtonne</v>
      </c>
    </row>
    <row r="451" spans="1:13" s="2" customFormat="1" ht="15.5" thickTop="1" x14ac:dyDescent="0.4">
      <c r="A451" s="2" t="s">
        <v>386</v>
      </c>
      <c r="B451" s="2" t="s">
        <v>395</v>
      </c>
    </row>
    <row r="452" spans="1:13" s="7" customFormat="1" x14ac:dyDescent="0.25">
      <c r="A452" s="4" t="str">
        <f t="array" ref="A452:A459">R_CODE&amp;" "&amp;GLIN_NAME</f>
        <v>EU Lin</v>
      </c>
      <c r="B452" s="93">
        <f t="array" ref="B452:K459">IF(Q0_GLIN=0,0,C0_GLIN/(EXP(-BLO_GLIN*Q0_GLIN)-1))</f>
        <v>-28.989947133630231</v>
      </c>
      <c r="C452" s="93">
        <v>-28.814298340482356</v>
      </c>
      <c r="D452" s="93">
        <v>-28.639713795516521</v>
      </c>
      <c r="E452" s="93">
        <v>-28.466187050500583</v>
      </c>
      <c r="F452" s="93">
        <v>-28.293711696271956</v>
      </c>
      <c r="G452" s="93">
        <v>-28.122281362500878</v>
      </c>
      <c r="H452" s="93">
        <v>-27.782530467766215</v>
      </c>
      <c r="I452" s="93">
        <v>-27.446884171409785</v>
      </c>
      <c r="J452" s="93">
        <v>-25.82850688547671</v>
      </c>
      <c r="K452" s="93">
        <v>-24.305555551111294</v>
      </c>
      <c r="M452" s="43" t="str">
        <f t="shared" ref="M452:M459" si="31">CURRENCY_NAME&amp;" per "&amp;EMIT_NAME</f>
        <v>$million per Mtonne</v>
      </c>
    </row>
    <row r="453" spans="1:13" s="7" customFormat="1" x14ac:dyDescent="0.25">
      <c r="A453" s="4" t="str">
        <v>US Lin</v>
      </c>
      <c r="B453" s="94">
        <v>-28.989947133630231</v>
      </c>
      <c r="C453" s="94">
        <v>-28.814298340482356</v>
      </c>
      <c r="D453" s="94">
        <v>-28.639713795516521</v>
      </c>
      <c r="E453" s="94">
        <v>-28.466187050500583</v>
      </c>
      <c r="F453" s="94">
        <v>-28.293711696271956</v>
      </c>
      <c r="G453" s="94">
        <v>-28.122281362500878</v>
      </c>
      <c r="H453" s="94">
        <v>-27.782530467766215</v>
      </c>
      <c r="I453" s="94">
        <v>-27.446884171409785</v>
      </c>
      <c r="J453" s="94">
        <v>-25.82850688547671</v>
      </c>
      <c r="K453" s="94">
        <v>-24.305555551111294</v>
      </c>
      <c r="M453" s="43" t="str">
        <f t="shared" si="31"/>
        <v>$million per Mtonne</v>
      </c>
    </row>
    <row r="454" spans="1:13" s="7" customFormat="1" x14ac:dyDescent="0.25">
      <c r="A454" s="4" t="str">
        <v>OT Lin</v>
      </c>
      <c r="B454" s="94">
        <v>-28.989947133630231</v>
      </c>
      <c r="C454" s="94">
        <v>-28.814298340482356</v>
      </c>
      <c r="D454" s="94">
        <v>-28.639713795516521</v>
      </c>
      <c r="E454" s="94">
        <v>-28.466187050500583</v>
      </c>
      <c r="F454" s="94">
        <v>-28.293711696271956</v>
      </c>
      <c r="G454" s="94">
        <v>-28.122281362500878</v>
      </c>
      <c r="H454" s="94">
        <v>-27.782530467766215</v>
      </c>
      <c r="I454" s="94">
        <v>-27.446884171409785</v>
      </c>
      <c r="J454" s="94">
        <v>-25.82850688547671</v>
      </c>
      <c r="K454" s="94">
        <v>-24.305555551111294</v>
      </c>
      <c r="M454" s="43" t="str">
        <f t="shared" si="31"/>
        <v>$million per Mtonne</v>
      </c>
    </row>
    <row r="455" spans="1:13" s="7" customFormat="1" x14ac:dyDescent="0.25">
      <c r="A455" s="4" t="str">
        <v>EE Lin</v>
      </c>
      <c r="B455" s="94">
        <v>-28.989947133630231</v>
      </c>
      <c r="C455" s="94">
        <v>-28.814298340482356</v>
      </c>
      <c r="D455" s="94">
        <v>-28.639713795516521</v>
      </c>
      <c r="E455" s="94">
        <v>-28.466187050500583</v>
      </c>
      <c r="F455" s="94">
        <v>-28.293711696271956</v>
      </c>
      <c r="G455" s="94">
        <v>-28.122281362500878</v>
      </c>
      <c r="H455" s="94">
        <v>-27.782530467766215</v>
      </c>
      <c r="I455" s="94">
        <v>-27.446884171409785</v>
      </c>
      <c r="J455" s="94">
        <v>-25.82850688547671</v>
      </c>
      <c r="K455" s="94">
        <v>-24.305555551111294</v>
      </c>
      <c r="M455" s="43" t="str">
        <f t="shared" si="31"/>
        <v>$million per Mtonne</v>
      </c>
    </row>
    <row r="456" spans="1:13" s="7" customFormat="1" x14ac:dyDescent="0.25">
      <c r="A456" s="4" t="str">
        <v>CA Lin</v>
      </c>
      <c r="B456" s="94">
        <v>-28.989947133630231</v>
      </c>
      <c r="C456" s="94">
        <v>-28.814298340482356</v>
      </c>
      <c r="D456" s="94">
        <v>-28.639713795516521</v>
      </c>
      <c r="E456" s="94">
        <v>-28.466187050500583</v>
      </c>
      <c r="F456" s="94">
        <v>-28.293711696271956</v>
      </c>
      <c r="G456" s="94">
        <v>-28.122281362500878</v>
      </c>
      <c r="H456" s="94">
        <v>-27.782530467766215</v>
      </c>
      <c r="I456" s="94">
        <v>-27.446884171409785</v>
      </c>
      <c r="J456" s="94">
        <v>-25.82850688547671</v>
      </c>
      <c r="K456" s="94">
        <v>-24.305555551111294</v>
      </c>
      <c r="M456" s="43" t="str">
        <f t="shared" si="31"/>
        <v>$million per Mtonne</v>
      </c>
    </row>
    <row r="457" spans="1:13" s="7" customFormat="1" x14ac:dyDescent="0.25">
      <c r="A457" s="4" t="str">
        <v>IA Lin</v>
      </c>
      <c r="B457" s="94">
        <v>-28.989947133630231</v>
      </c>
      <c r="C457" s="94">
        <v>-28.814298340482356</v>
      </c>
      <c r="D457" s="94">
        <v>-28.639713795516521</v>
      </c>
      <c r="E457" s="94">
        <v>-28.466187050500583</v>
      </c>
      <c r="F457" s="94">
        <v>-28.293711696271956</v>
      </c>
      <c r="G457" s="94">
        <v>-28.122281362500878</v>
      </c>
      <c r="H457" s="94">
        <v>-27.782530467766215</v>
      </c>
      <c r="I457" s="94">
        <v>-27.446884171409785</v>
      </c>
      <c r="J457" s="94">
        <v>-25.82850688547671</v>
      </c>
      <c r="K457" s="94">
        <v>-24.305555551111294</v>
      </c>
      <c r="M457" s="43" t="str">
        <f t="shared" si="31"/>
        <v>$million per Mtonne</v>
      </c>
    </row>
    <row r="458" spans="1:13" s="7" customFormat="1" x14ac:dyDescent="0.25">
      <c r="A458" s="4" t="str">
        <v>AF Lin</v>
      </c>
      <c r="B458" s="94">
        <v>-28.989947133630231</v>
      </c>
      <c r="C458" s="94">
        <v>-28.814298340482356</v>
      </c>
      <c r="D458" s="94">
        <v>-28.639713795516521</v>
      </c>
      <c r="E458" s="94">
        <v>-28.466187050500583</v>
      </c>
      <c r="F458" s="94">
        <v>-28.293711696271956</v>
      </c>
      <c r="G458" s="94">
        <v>-28.122281362500878</v>
      </c>
      <c r="H458" s="94">
        <v>-27.782530467766215</v>
      </c>
      <c r="I458" s="94">
        <v>-27.446884171409785</v>
      </c>
      <c r="J458" s="94">
        <v>-25.82850688547671</v>
      </c>
      <c r="K458" s="94">
        <v>-24.305555551111294</v>
      </c>
      <c r="M458" s="43" t="str">
        <f t="shared" si="31"/>
        <v>$million per Mtonne</v>
      </c>
    </row>
    <row r="459" spans="1:13" s="7" customFormat="1" ht="13" thickBot="1" x14ac:dyDescent="0.3">
      <c r="A459" s="4" t="str">
        <v>LA Lin</v>
      </c>
      <c r="B459" s="95">
        <v>-28.989947133630231</v>
      </c>
      <c r="C459" s="95">
        <v>-28.814298340482356</v>
      </c>
      <c r="D459" s="95">
        <v>-28.639713795516521</v>
      </c>
      <c r="E459" s="95">
        <v>-28.466187050500583</v>
      </c>
      <c r="F459" s="95">
        <v>-28.293711696271956</v>
      </c>
      <c r="G459" s="95">
        <v>-28.122281362500878</v>
      </c>
      <c r="H459" s="95">
        <v>-27.782530467766215</v>
      </c>
      <c r="I459" s="95">
        <v>-27.446884171409785</v>
      </c>
      <c r="J459" s="95">
        <v>-25.82850688547671</v>
      </c>
      <c r="K459" s="95">
        <v>-24.305555551111294</v>
      </c>
      <c r="M459" s="43" t="str">
        <f t="shared" si="31"/>
        <v>$million per Mtonne</v>
      </c>
    </row>
    <row r="460" spans="1:13" s="2" customFormat="1" ht="15.5" thickTop="1" x14ac:dyDescent="0.4">
      <c r="A460" s="2" t="s">
        <v>396</v>
      </c>
      <c r="B460" s="2" t="s">
        <v>397</v>
      </c>
    </row>
    <row r="461" spans="1:13" s="6" customFormat="1" x14ac:dyDescent="0.25">
      <c r="A461" s="4" t="str">
        <f t="array" ref="A461:A468">R_CODE&amp;" "&amp;'Base data'!$B$11</f>
        <v>EU CO2</v>
      </c>
      <c r="B461" s="51">
        <f t="array" ref="B461:K468">2*LN((1+CURVE_ABOVE)/(1-CURVE_ABOVE))/(QMAX_CO2-Q0_CO2)</f>
        <v>5.2200253086269542E-4</v>
      </c>
      <c r="C461" s="51">
        <v>5.1265249147701723E-4</v>
      </c>
      <c r="D461" s="51">
        <v>4.94481775880334E-4</v>
      </c>
      <c r="E461" s="51">
        <v>4.9817577403715827E-4</v>
      </c>
      <c r="F461" s="51">
        <v>5.0206814984622456E-4</v>
      </c>
      <c r="G461" s="51">
        <v>5.2378966220378701E-4</v>
      </c>
      <c r="H461" s="51">
        <v>5.9984889541764069E-4</v>
      </c>
      <c r="I461" s="51">
        <v>7.0333799521536471E-4</v>
      </c>
      <c r="J461" s="51">
        <v>6.3293837246204015E-4</v>
      </c>
      <c r="K461" s="51">
        <v>5.6998002347533711E-4</v>
      </c>
      <c r="M461" s="4" t="str">
        <f t="shared" ref="M461:M468" si="32">"per "&amp;EMIT_NAME</f>
        <v>per Mtonne</v>
      </c>
    </row>
    <row r="462" spans="1:13" s="6" customFormat="1" x14ac:dyDescent="0.25">
      <c r="A462" s="4" t="str">
        <v>US CO2</v>
      </c>
      <c r="B462" s="52">
        <v>2.4052308485720658E-4</v>
      </c>
      <c r="C462" s="52">
        <v>2.3621486759078255E-4</v>
      </c>
      <c r="D462" s="52">
        <v>2.2784234770634017E-4</v>
      </c>
      <c r="E462" s="52">
        <v>2.2954443108641085E-4</v>
      </c>
      <c r="F462" s="52">
        <v>2.3133792092921472E-4</v>
      </c>
      <c r="G462" s="52">
        <v>2.4134654129235824E-4</v>
      </c>
      <c r="H462" s="52">
        <v>2.7639235107844489E-4</v>
      </c>
      <c r="I462" s="52">
        <v>3.2407701937173174E-4</v>
      </c>
      <c r="J462" s="52">
        <v>2.9163898806673199E-4</v>
      </c>
      <c r="K462" s="52">
        <v>2.6262967217170708E-4</v>
      </c>
      <c r="M462" s="4" t="str">
        <f t="shared" si="32"/>
        <v>per Mtonne</v>
      </c>
    </row>
    <row r="463" spans="1:13" s="6" customFormat="1" x14ac:dyDescent="0.25">
      <c r="A463" s="4" t="str">
        <v>OT CO2</v>
      </c>
      <c r="B463" s="52">
        <v>1.4225082990268556E-3</v>
      </c>
      <c r="C463" s="52">
        <v>1.3970285209875162E-3</v>
      </c>
      <c r="D463" s="52">
        <v>1.3475115316870612E-3</v>
      </c>
      <c r="E463" s="52">
        <v>1.3575780404183274E-3</v>
      </c>
      <c r="F463" s="52">
        <v>1.3681851477865185E-3</v>
      </c>
      <c r="G463" s="52">
        <v>1.4273784079130187E-3</v>
      </c>
      <c r="H463" s="52">
        <v>1.6346473080953918E-3</v>
      </c>
      <c r="I463" s="52">
        <v>1.9166652957817451E-3</v>
      </c>
      <c r="J463" s="52">
        <v>1.7248193914152291E-3</v>
      </c>
      <c r="K463" s="52">
        <v>1.5532516908169124E-3</v>
      </c>
      <c r="M463" s="4" t="str">
        <f t="shared" si="32"/>
        <v>per Mtonne</v>
      </c>
    </row>
    <row r="464" spans="1:13" s="6" customFormat="1" x14ac:dyDescent="0.25">
      <c r="A464" s="4" t="str">
        <v>EE CO2</v>
      </c>
      <c r="B464" s="52">
        <v>1.0532510201951204E-3</v>
      </c>
      <c r="C464" s="52">
        <v>1.0141246465053342E-3</v>
      </c>
      <c r="D464" s="52">
        <v>1.0931500849913349E-3</v>
      </c>
      <c r="E464" s="52">
        <v>1.1025536100380251E-3</v>
      </c>
      <c r="F464" s="52">
        <v>1.1124643095071565E-3</v>
      </c>
      <c r="G464" s="52">
        <v>1.1687749867904298E-3</v>
      </c>
      <c r="H464" s="52">
        <v>1.3608804764394318E-3</v>
      </c>
      <c r="I464" s="52">
        <v>1.5531626215088828E-3</v>
      </c>
      <c r="J464" s="52">
        <v>1.3977010036628158E-3</v>
      </c>
      <c r="K464" s="52">
        <v>1.2586717531129191E-3</v>
      </c>
      <c r="M464" s="4" t="str">
        <f t="shared" si="32"/>
        <v>per Mtonne</v>
      </c>
    </row>
    <row r="465" spans="1:13" s="6" customFormat="1" x14ac:dyDescent="0.25">
      <c r="A465" s="4" t="str">
        <v>CA CO2</v>
      </c>
      <c r="B465" s="52">
        <v>9.2574467656506921E-4</v>
      </c>
      <c r="C465" s="52">
        <v>8.8168413958339918E-4</v>
      </c>
      <c r="D465" s="52">
        <v>6.8233008294084872E-4</v>
      </c>
      <c r="E465" s="52">
        <v>5.7294540737293817E-4</v>
      </c>
      <c r="F465" s="52">
        <v>4.9237663643914042E-4</v>
      </c>
      <c r="G465" s="52">
        <v>4.7101950483526955E-4</v>
      </c>
      <c r="H465" s="52">
        <v>4.480373517459333E-4</v>
      </c>
      <c r="I465" s="52">
        <v>4.8205134079426422E-4</v>
      </c>
      <c r="J465" s="52">
        <v>4.3380109301793151E-4</v>
      </c>
      <c r="K465" s="52">
        <v>3.9065091948871605E-4</v>
      </c>
      <c r="M465" s="4" t="str">
        <f t="shared" si="32"/>
        <v>per Mtonne</v>
      </c>
    </row>
    <row r="466" spans="1:13" s="6" customFormat="1" x14ac:dyDescent="0.25">
      <c r="A466" s="4" t="str">
        <v>IA CO2</v>
      </c>
      <c r="B466" s="52">
        <v>5.6307557174984605E-4</v>
      </c>
      <c r="C466" s="52">
        <v>5.3627616076688117E-4</v>
      </c>
      <c r="D466" s="52">
        <v>4.1502091375735081E-4</v>
      </c>
      <c r="E466" s="52">
        <v>3.484887042883144E-4</v>
      </c>
      <c r="F466" s="52">
        <v>2.9948350025402269E-4</v>
      </c>
      <c r="G466" s="52">
        <v>2.864932240005235E-4</v>
      </c>
      <c r="H466" s="52">
        <v>2.7251454357339302E-4</v>
      </c>
      <c r="I466" s="52">
        <v>2.9320323540789128E-4</v>
      </c>
      <c r="J466" s="52">
        <v>2.6385547188141026E-4</v>
      </c>
      <c r="K466" s="52">
        <v>2.376097809839804E-4</v>
      </c>
      <c r="M466" s="4" t="str">
        <f t="shared" si="32"/>
        <v>per Mtonne</v>
      </c>
    </row>
    <row r="467" spans="1:13" s="6" customFormat="1" x14ac:dyDescent="0.25">
      <c r="A467" s="4" t="str">
        <v>AF CO2</v>
      </c>
      <c r="B467" s="52">
        <v>1.0044015930561652E-3</v>
      </c>
      <c r="C467" s="52">
        <v>9.5642228286074043E-4</v>
      </c>
      <c r="D467" s="52">
        <v>7.2973422713422994E-4</v>
      </c>
      <c r="E467" s="52">
        <v>6.0973874240915463E-4</v>
      </c>
      <c r="F467" s="52">
        <v>5.2210463210045045E-4</v>
      </c>
      <c r="G467" s="52">
        <v>4.819569502204554E-4</v>
      </c>
      <c r="H467" s="52">
        <v>4.5726474422374158E-4</v>
      </c>
      <c r="I467" s="52">
        <v>5.1803403488441286E-4</v>
      </c>
      <c r="J467" s="52">
        <v>4.6618215018980291E-4</v>
      </c>
      <c r="K467" s="52">
        <v>4.1981103448567248E-4</v>
      </c>
      <c r="M467" s="4" t="str">
        <f t="shared" si="32"/>
        <v>per Mtonne</v>
      </c>
    </row>
    <row r="468" spans="1:13" s="6" customFormat="1" ht="13" thickBot="1" x14ac:dyDescent="0.3">
      <c r="A468" s="4" t="str">
        <v>LA CO2</v>
      </c>
      <c r="B468" s="53">
        <v>1.1775269018456005E-3</v>
      </c>
      <c r="C468" s="53">
        <v>1.1212775600706634E-3</v>
      </c>
      <c r="D468" s="53">
        <v>8.5551605014231918E-4</v>
      </c>
      <c r="E468" s="53">
        <v>7.1483734917188201E-4</v>
      </c>
      <c r="F468" s="53">
        <v>6.1209804337905083E-4</v>
      </c>
      <c r="G468" s="53">
        <v>5.6503024122972706E-4</v>
      </c>
      <c r="H468" s="53">
        <v>5.3608192311866852E-4</v>
      </c>
      <c r="I468" s="53">
        <v>6.0732581107516008E-4</v>
      </c>
      <c r="J468" s="53">
        <v>5.4653639221978283E-4</v>
      </c>
      <c r="K468" s="53">
        <v>4.921724439866231E-4</v>
      </c>
      <c r="M468" s="4" t="str">
        <f t="shared" si="32"/>
        <v>per Mtonne</v>
      </c>
    </row>
    <row r="469" spans="1:13" s="2" customFormat="1" ht="15.5" thickTop="1" x14ac:dyDescent="0.4">
      <c r="A469" s="2" t="s">
        <v>396</v>
      </c>
      <c r="B469" s="2" t="s">
        <v>398</v>
      </c>
    </row>
    <row r="470" spans="1:13" s="7" customFormat="1" x14ac:dyDescent="0.25">
      <c r="A470" s="4" t="str">
        <f t="array" ref="A470:A477">R_CODE&amp;" "&amp;'Base data'!$C$11</f>
        <v>EU CH4</v>
      </c>
      <c r="B470" s="39">
        <f t="array" ref="B470:K477">2*LN((1+CURVE_ABOVE)/(1-CURVE_ABOVE))/(QMAX_CH4-Q0_CH4)</f>
        <v>3237.9681257457873</v>
      </c>
      <c r="C470" s="39">
        <v>3196.8624601240363</v>
      </c>
      <c r="D470" s="39">
        <v>3247.2503585034196</v>
      </c>
      <c r="E470" s="39">
        <v>3463.6203265106719</v>
      </c>
      <c r="F470" s="39">
        <v>3720.7829081096093</v>
      </c>
      <c r="G470" s="39">
        <v>3962.2898380611664</v>
      </c>
      <c r="H470" s="39">
        <v>4439.5108951918801</v>
      </c>
      <c r="I470" s="39">
        <v>4729.0624772751617</v>
      </c>
      <c r="J470" s="39">
        <v>4058.5377291219152</v>
      </c>
      <c r="K470" s="39">
        <v>3500.9473824509632</v>
      </c>
      <c r="M470" s="4" t="str">
        <f t="shared" ref="M470:M477" si="33">"per "&amp;EMIT_NAME</f>
        <v>per Mtonne</v>
      </c>
    </row>
    <row r="471" spans="1:13" s="7" customFormat="1" x14ac:dyDescent="0.25">
      <c r="A471" s="4" t="str">
        <v>US CH4</v>
      </c>
      <c r="B471" s="35">
        <v>3237.9681257457873</v>
      </c>
      <c r="C471" s="35">
        <v>3196.8624601240363</v>
      </c>
      <c r="D471" s="35">
        <v>3247.2503585034196</v>
      </c>
      <c r="E471" s="35">
        <v>3463.6203265106719</v>
      </c>
      <c r="F471" s="35">
        <v>3720.7829081096088</v>
      </c>
      <c r="G471" s="35">
        <v>3962.2898380611664</v>
      </c>
      <c r="H471" s="35">
        <v>4439.5108951918801</v>
      </c>
      <c r="I471" s="35">
        <v>4729.0624772751617</v>
      </c>
      <c r="J471" s="35">
        <v>4058.5377291219152</v>
      </c>
      <c r="K471" s="35">
        <v>3500.9473824509623</v>
      </c>
      <c r="M471" s="4" t="str">
        <f t="shared" si="33"/>
        <v>per Mtonne</v>
      </c>
    </row>
    <row r="472" spans="1:13" s="7" customFormat="1" x14ac:dyDescent="0.25">
      <c r="A472" s="4" t="str">
        <v>OT CH4</v>
      </c>
      <c r="B472" s="35">
        <v>3237.9681257457873</v>
      </c>
      <c r="C472" s="35">
        <v>3196.8624601240363</v>
      </c>
      <c r="D472" s="35">
        <v>3247.2503585034196</v>
      </c>
      <c r="E472" s="35">
        <v>3463.6203265106719</v>
      </c>
      <c r="F472" s="35">
        <v>3720.7829081096093</v>
      </c>
      <c r="G472" s="35">
        <v>3962.2898380611664</v>
      </c>
      <c r="H472" s="35">
        <v>4439.5108951918801</v>
      </c>
      <c r="I472" s="35">
        <v>4729.0624772751617</v>
      </c>
      <c r="J472" s="35">
        <v>4058.5377291219152</v>
      </c>
      <c r="K472" s="35">
        <v>3500.9473824509632</v>
      </c>
      <c r="M472" s="4" t="str">
        <f t="shared" si="33"/>
        <v>per Mtonne</v>
      </c>
    </row>
    <row r="473" spans="1:13" s="7" customFormat="1" x14ac:dyDescent="0.25">
      <c r="A473" s="4" t="str">
        <v>EE CH4</v>
      </c>
      <c r="B473" s="35">
        <v>3117.6188582788441</v>
      </c>
      <c r="C473" s="35">
        <v>2967.0256188886356</v>
      </c>
      <c r="D473" s="35">
        <v>2757.0215458127195</v>
      </c>
      <c r="E473" s="35">
        <v>2974.7138907211752</v>
      </c>
      <c r="F473" s="35">
        <v>3239.8718774057284</v>
      </c>
      <c r="G473" s="35">
        <v>3525.9622726608827</v>
      </c>
      <c r="H473" s="35">
        <v>4052.33763304489</v>
      </c>
      <c r="I473" s="35">
        <v>4428.7217196638785</v>
      </c>
      <c r="J473" s="35">
        <v>3800.7817146442212</v>
      </c>
      <c r="K473" s="35">
        <v>3278.6036950382272</v>
      </c>
      <c r="M473" s="4" t="str">
        <f t="shared" si="33"/>
        <v>per Mtonne</v>
      </c>
    </row>
    <row r="474" spans="1:13" s="7" customFormat="1" x14ac:dyDescent="0.25">
      <c r="A474" s="4" t="str">
        <v>CA CH4</v>
      </c>
      <c r="B474" s="35">
        <v>3183.3761685339914</v>
      </c>
      <c r="C474" s="35">
        <v>3090.5097079822553</v>
      </c>
      <c r="D474" s="35">
        <v>2579.6369078699872</v>
      </c>
      <c r="E474" s="35">
        <v>2274.6424354134829</v>
      </c>
      <c r="F474" s="35">
        <v>2027.7837770838537</v>
      </c>
      <c r="G474" s="35">
        <v>2135.0491624369838</v>
      </c>
      <c r="H474" s="35">
        <v>2720.2657431051225</v>
      </c>
      <c r="I474" s="35">
        <v>3360.5050902081502</v>
      </c>
      <c r="J474" s="35">
        <v>2884.0254834980578</v>
      </c>
      <c r="K474" s="35">
        <v>2487.7978575694783</v>
      </c>
      <c r="M474" s="4" t="str">
        <f t="shared" si="33"/>
        <v>per Mtonne</v>
      </c>
    </row>
    <row r="475" spans="1:13" s="7" customFormat="1" x14ac:dyDescent="0.25">
      <c r="A475" s="4" t="str">
        <v>IA CH4</v>
      </c>
      <c r="B475" s="35">
        <v>3183.3761685339914</v>
      </c>
      <c r="C475" s="35">
        <v>3090.5097079822553</v>
      </c>
      <c r="D475" s="35">
        <v>2579.6369078699872</v>
      </c>
      <c r="E475" s="35">
        <v>2274.6424354134829</v>
      </c>
      <c r="F475" s="35">
        <v>2027.7837770838537</v>
      </c>
      <c r="G475" s="35">
        <v>2135.0491624369838</v>
      </c>
      <c r="H475" s="35">
        <v>2720.2657431051225</v>
      </c>
      <c r="I475" s="35">
        <v>3360.5050902081502</v>
      </c>
      <c r="J475" s="35">
        <v>2884.0254834980578</v>
      </c>
      <c r="K475" s="35">
        <v>2487.7978575694783</v>
      </c>
      <c r="M475" s="4" t="str">
        <f t="shared" si="33"/>
        <v>per Mtonne</v>
      </c>
    </row>
    <row r="476" spans="1:13" s="7" customFormat="1" x14ac:dyDescent="0.25">
      <c r="A476" s="4" t="str">
        <v>AF CH4</v>
      </c>
      <c r="B476" s="35">
        <v>3180.8203111018161</v>
      </c>
      <c r="C476" s="35">
        <v>3085.6174623057759</v>
      </c>
      <c r="D476" s="35">
        <v>2514.1649823384873</v>
      </c>
      <c r="E476" s="35">
        <v>2290.9513030211597</v>
      </c>
      <c r="F476" s="35">
        <v>2099.2194885859185</v>
      </c>
      <c r="G476" s="35">
        <v>2081.5841351659492</v>
      </c>
      <c r="H476" s="35">
        <v>2244.6136559471656</v>
      </c>
      <c r="I476" s="35">
        <v>2830.543797543181</v>
      </c>
      <c r="J476" s="35">
        <v>2429.2063916398542</v>
      </c>
      <c r="K476" s="35">
        <v>2095.4649989381005</v>
      </c>
      <c r="M476" s="4" t="str">
        <f t="shared" si="33"/>
        <v>per Mtonne</v>
      </c>
    </row>
    <row r="477" spans="1:13" s="7" customFormat="1" ht="13" thickBot="1" x14ac:dyDescent="0.3">
      <c r="A477" s="4" t="str">
        <v>LA CH4</v>
      </c>
      <c r="B477" s="49">
        <v>3180.8203111018161</v>
      </c>
      <c r="C477" s="49">
        <v>3085.6174623057759</v>
      </c>
      <c r="D477" s="49">
        <v>2514.1649823384873</v>
      </c>
      <c r="E477" s="49">
        <v>2290.9513030211597</v>
      </c>
      <c r="F477" s="49">
        <v>2099.2194885859185</v>
      </c>
      <c r="G477" s="49">
        <v>2081.5841351659492</v>
      </c>
      <c r="H477" s="49">
        <v>2244.6136559471656</v>
      </c>
      <c r="I477" s="49">
        <v>2830.543797543181</v>
      </c>
      <c r="J477" s="49">
        <v>2429.2063916398542</v>
      </c>
      <c r="K477" s="49">
        <v>2095.4649989381005</v>
      </c>
      <c r="M477" s="4" t="str">
        <f t="shared" si="33"/>
        <v>per Mtonne</v>
      </c>
    </row>
    <row r="478" spans="1:13" s="2" customFormat="1" ht="15.5" thickTop="1" x14ac:dyDescent="0.4">
      <c r="A478" s="2" t="s">
        <v>396</v>
      </c>
      <c r="B478" s="2" t="s">
        <v>399</v>
      </c>
    </row>
    <row r="479" spans="1:13" s="7" customFormat="1" x14ac:dyDescent="0.25">
      <c r="A479" s="4" t="str">
        <f t="array" ref="A479:A486">R_CODE&amp;" "&amp;'Base data'!$D$11</f>
        <v>EU N2O</v>
      </c>
      <c r="B479" s="39">
        <f t="array" ref="B479:K486">2*LN((1+CURVE_ABOVE)/(1-CURVE_ABOVE))/(QMAX_N2O-Q0_N2O)</f>
        <v>3259.546994055228</v>
      </c>
      <c r="C479" s="39">
        <v>3239.3661489498277</v>
      </c>
      <c r="D479" s="39">
        <v>3117.0517387881405</v>
      </c>
      <c r="E479" s="39">
        <v>3156.2449282227822</v>
      </c>
      <c r="F479" s="39">
        <v>3197.2856211596641</v>
      </c>
      <c r="G479" s="39">
        <v>3248.9246856964605</v>
      </c>
      <c r="H479" s="39">
        <v>3405.1942399630184</v>
      </c>
      <c r="I479" s="39">
        <v>3534.0673149784707</v>
      </c>
      <c r="J479" s="39">
        <v>3266.284701595217</v>
      </c>
      <c r="K479" s="39">
        <v>3018.7924566852644</v>
      </c>
      <c r="M479" s="4" t="str">
        <f t="shared" ref="M479:M486" si="34">"per "&amp;EMIT_NAME</f>
        <v>per Mtonne</v>
      </c>
    </row>
    <row r="480" spans="1:13" s="7" customFormat="1" x14ac:dyDescent="0.25">
      <c r="A480" s="4" t="str">
        <v>US N2O</v>
      </c>
      <c r="B480" s="35">
        <v>3259.546994055228</v>
      </c>
      <c r="C480" s="35">
        <v>3239.3661489498277</v>
      </c>
      <c r="D480" s="35">
        <v>3117.0517387881405</v>
      </c>
      <c r="E480" s="35">
        <v>3156.2449282227822</v>
      </c>
      <c r="F480" s="35">
        <v>3197.2856211596641</v>
      </c>
      <c r="G480" s="35">
        <v>3248.9246856964605</v>
      </c>
      <c r="H480" s="35">
        <v>3405.1942399630184</v>
      </c>
      <c r="I480" s="35">
        <v>3534.0673149784702</v>
      </c>
      <c r="J480" s="35">
        <v>3266.284701595217</v>
      </c>
      <c r="K480" s="35">
        <v>3018.7924566852644</v>
      </c>
      <c r="M480" s="4" t="str">
        <f t="shared" si="34"/>
        <v>per Mtonne</v>
      </c>
    </row>
    <row r="481" spans="1:13" s="7" customFormat="1" x14ac:dyDescent="0.25">
      <c r="A481" s="4" t="str">
        <v>OT N2O</v>
      </c>
      <c r="B481" s="35">
        <v>3259.546994055228</v>
      </c>
      <c r="C481" s="35">
        <v>3239.3661489498277</v>
      </c>
      <c r="D481" s="35">
        <v>3117.0517387881405</v>
      </c>
      <c r="E481" s="35">
        <v>3156.2449282227822</v>
      </c>
      <c r="F481" s="35">
        <v>3197.2856211596641</v>
      </c>
      <c r="G481" s="35">
        <v>3248.9246856964605</v>
      </c>
      <c r="H481" s="35">
        <v>3405.1942399630184</v>
      </c>
      <c r="I481" s="35">
        <v>3534.0673149784707</v>
      </c>
      <c r="J481" s="35">
        <v>3266.284701595217</v>
      </c>
      <c r="K481" s="35">
        <v>3018.7924566852644</v>
      </c>
      <c r="M481" s="4" t="str">
        <f t="shared" si="34"/>
        <v>per Mtonne</v>
      </c>
    </row>
    <row r="482" spans="1:13" s="7" customFormat="1" x14ac:dyDescent="0.25">
      <c r="A482" s="4" t="str">
        <v>EE N2O</v>
      </c>
      <c r="B482" s="35">
        <v>3247.9098692490529</v>
      </c>
      <c r="C482" s="35">
        <v>3216.2800556060433</v>
      </c>
      <c r="D482" s="35">
        <v>3110.443049627148</v>
      </c>
      <c r="E482" s="35">
        <v>3092.0082765132597</v>
      </c>
      <c r="F482" s="35">
        <v>3073.6942953945086</v>
      </c>
      <c r="G482" s="35">
        <v>3138.2430841881546</v>
      </c>
      <c r="H482" s="35">
        <v>3317.1189745458005</v>
      </c>
      <c r="I482" s="35">
        <v>3388.7741812751919</v>
      </c>
      <c r="J482" s="35">
        <v>3132.000688992945</v>
      </c>
      <c r="K482" s="35">
        <v>2894.6833843502086</v>
      </c>
      <c r="M482" s="4" t="str">
        <f t="shared" si="34"/>
        <v>per Mtonne</v>
      </c>
    </row>
    <row r="483" spans="1:13" s="7" customFormat="1" x14ac:dyDescent="0.25">
      <c r="A483" s="4" t="str">
        <v>CA N2O</v>
      </c>
      <c r="B483" s="35">
        <v>3244.803335773538</v>
      </c>
      <c r="C483" s="35">
        <v>3210.145059685819</v>
      </c>
      <c r="D483" s="35">
        <v>3152.0216777247883</v>
      </c>
      <c r="E483" s="35">
        <v>2995.9040809504222</v>
      </c>
      <c r="F483" s="35">
        <v>2852.5532880639166</v>
      </c>
      <c r="G483" s="35">
        <v>2817.0635377123463</v>
      </c>
      <c r="H483" s="35">
        <v>2789.4808899305663</v>
      </c>
      <c r="I483" s="35">
        <v>2743.9309503321169</v>
      </c>
      <c r="J483" s="35">
        <v>2536.0183851953648</v>
      </c>
      <c r="K483" s="35">
        <v>2343.8597276912051</v>
      </c>
      <c r="M483" s="4" t="str">
        <f t="shared" si="34"/>
        <v>per Mtonne</v>
      </c>
    </row>
    <row r="484" spans="1:13" s="7" customFormat="1" x14ac:dyDescent="0.25">
      <c r="A484" s="4" t="str">
        <v>IA N2O</v>
      </c>
      <c r="B484" s="35">
        <v>3244.803335773538</v>
      </c>
      <c r="C484" s="35">
        <v>3210.145059685819</v>
      </c>
      <c r="D484" s="35">
        <v>3152.0216777247883</v>
      </c>
      <c r="E484" s="35">
        <v>2995.9040809504222</v>
      </c>
      <c r="F484" s="35">
        <v>2852.5532880639166</v>
      </c>
      <c r="G484" s="35">
        <v>2817.0635377123463</v>
      </c>
      <c r="H484" s="35">
        <v>2789.4808899305663</v>
      </c>
      <c r="I484" s="35">
        <v>2743.9309503321169</v>
      </c>
      <c r="J484" s="35">
        <v>2536.0183851953648</v>
      </c>
      <c r="K484" s="35">
        <v>2343.8597276912051</v>
      </c>
      <c r="M484" s="4" t="str">
        <f t="shared" si="34"/>
        <v>per Mtonne</v>
      </c>
    </row>
    <row r="485" spans="1:13" s="7" customFormat="1" x14ac:dyDescent="0.25">
      <c r="A485" s="4" t="str">
        <v>AF N2O</v>
      </c>
      <c r="B485" s="35">
        <v>3258.5235209748348</v>
      </c>
      <c r="C485" s="35">
        <v>3237.3291196102377</v>
      </c>
      <c r="D485" s="35">
        <v>3188.7707660732722</v>
      </c>
      <c r="E485" s="35">
        <v>3064.5536739536237</v>
      </c>
      <c r="F485" s="35">
        <v>2948.0731936280122</v>
      </c>
      <c r="G485" s="35">
        <v>2872.64637014347</v>
      </c>
      <c r="H485" s="35">
        <v>2777.3050603245165</v>
      </c>
      <c r="I485" s="35">
        <v>2712.1289467816341</v>
      </c>
      <c r="J485" s="35">
        <v>2506.6260764420012</v>
      </c>
      <c r="K485" s="35">
        <v>2316.6945268420918</v>
      </c>
      <c r="M485" s="4" t="str">
        <f t="shared" si="34"/>
        <v>per Mtonne</v>
      </c>
    </row>
    <row r="486" spans="1:13" s="7" customFormat="1" ht="13" thickBot="1" x14ac:dyDescent="0.3">
      <c r="A486" s="4" t="str">
        <v>LA N2O</v>
      </c>
      <c r="B486" s="49">
        <v>3258.5235209748348</v>
      </c>
      <c r="C486" s="49">
        <v>3237.3291196102377</v>
      </c>
      <c r="D486" s="49">
        <v>3188.7707660732722</v>
      </c>
      <c r="E486" s="49">
        <v>3064.5536739536237</v>
      </c>
      <c r="F486" s="49">
        <v>2948.0731936280122</v>
      </c>
      <c r="G486" s="49">
        <v>2872.64637014347</v>
      </c>
      <c r="H486" s="49">
        <v>2777.3050603245165</v>
      </c>
      <c r="I486" s="49">
        <v>2712.1289467816341</v>
      </c>
      <c r="J486" s="49">
        <v>2506.6260764420012</v>
      </c>
      <c r="K486" s="49">
        <v>2316.6945268420918</v>
      </c>
      <c r="M486" s="4" t="str">
        <f t="shared" si="34"/>
        <v>per Mtonne</v>
      </c>
    </row>
    <row r="487" spans="1:13" s="2" customFormat="1" ht="15.5" thickTop="1" x14ac:dyDescent="0.4">
      <c r="A487" s="2" t="s">
        <v>396</v>
      </c>
      <c r="B487" s="2" t="s">
        <v>400</v>
      </c>
    </row>
    <row r="488" spans="1:13" s="7" customFormat="1" x14ac:dyDescent="0.25">
      <c r="A488" s="4" t="str">
        <f t="array" ref="A488:A495">R_CODE&amp;" "&amp;GLIN_NAME</f>
        <v>EU Lin</v>
      </c>
      <c r="B488" s="93">
        <f t="array" ref="B488:K495">2*LN((1+CURVE_ABOVE)/(1-CURVE_ABOVE))/(QMAX_GLIN-Q0_GLIN)</f>
        <v>2324.1423808880254</v>
      </c>
      <c r="C488" s="93">
        <v>2233.635119988463</v>
      </c>
      <c r="D488" s="93">
        <v>2440.5409443938497</v>
      </c>
      <c r="E488" s="93">
        <v>2325.9607203484229</v>
      </c>
      <c r="F488" s="93">
        <v>2220.208086605227</v>
      </c>
      <c r="G488" s="93">
        <v>2123.1668284964499</v>
      </c>
      <c r="H488" s="93">
        <v>1934.8136854971615</v>
      </c>
      <c r="I488" s="93">
        <v>1771.5344360677241</v>
      </c>
      <c r="J488" s="93">
        <v>1637.302097317965</v>
      </c>
      <c r="K488" s="93">
        <v>1513.2407834150181</v>
      </c>
      <c r="M488" s="4" t="str">
        <f t="shared" ref="M488:M495" si="35">"per "&amp;EMIT_NAME</f>
        <v>per Mtonne</v>
      </c>
    </row>
    <row r="489" spans="1:13" s="7" customFormat="1" x14ac:dyDescent="0.25">
      <c r="A489" s="4" t="str">
        <v>US Lin</v>
      </c>
      <c r="B489" s="94">
        <v>2324.1423808880254</v>
      </c>
      <c r="C489" s="94">
        <v>2233.635119988463</v>
      </c>
      <c r="D489" s="94">
        <v>2440.5409443938497</v>
      </c>
      <c r="E489" s="94">
        <v>2325.9607203484225</v>
      </c>
      <c r="F489" s="94">
        <v>2220.208086605227</v>
      </c>
      <c r="G489" s="94">
        <v>2123.1668284964499</v>
      </c>
      <c r="H489" s="94">
        <v>1934.8136854971615</v>
      </c>
      <c r="I489" s="94">
        <v>1771.5344360677241</v>
      </c>
      <c r="J489" s="94">
        <v>1637.3020973179648</v>
      </c>
      <c r="K489" s="94">
        <v>1513.2407834150181</v>
      </c>
      <c r="M489" s="4" t="str">
        <f t="shared" si="35"/>
        <v>per Mtonne</v>
      </c>
    </row>
    <row r="490" spans="1:13" s="7" customFormat="1" x14ac:dyDescent="0.25">
      <c r="A490" s="4" t="str">
        <v>OT Lin</v>
      </c>
      <c r="B490" s="94">
        <v>2324.1423808880254</v>
      </c>
      <c r="C490" s="94">
        <v>2233.635119988463</v>
      </c>
      <c r="D490" s="94">
        <v>2440.5409443938497</v>
      </c>
      <c r="E490" s="94">
        <v>2325.9607203484229</v>
      </c>
      <c r="F490" s="94">
        <v>2220.208086605227</v>
      </c>
      <c r="G490" s="94">
        <v>2123.1668284964499</v>
      </c>
      <c r="H490" s="94">
        <v>1934.8136854971615</v>
      </c>
      <c r="I490" s="94">
        <v>1771.5344360677241</v>
      </c>
      <c r="J490" s="94">
        <v>1637.302097317965</v>
      </c>
      <c r="K490" s="94">
        <v>1513.2407834150181</v>
      </c>
      <c r="M490" s="4" t="str">
        <f t="shared" si="35"/>
        <v>per Mtonne</v>
      </c>
    </row>
    <row r="491" spans="1:13" s="7" customFormat="1" x14ac:dyDescent="0.25">
      <c r="A491" s="4" t="str">
        <v>EE Lin</v>
      </c>
      <c r="B491" s="94">
        <v>2316.6768313723137</v>
      </c>
      <c r="C491" s="94">
        <v>2219.7769071517446</v>
      </c>
      <c r="D491" s="94">
        <v>1283.7081191496311</v>
      </c>
      <c r="E491" s="94">
        <v>880.31575557707095</v>
      </c>
      <c r="F491" s="94">
        <v>667.32610154387953</v>
      </c>
      <c r="G491" s="94">
        <v>639.27303530362019</v>
      </c>
      <c r="H491" s="94">
        <v>617.3484546978641</v>
      </c>
      <c r="I491" s="94">
        <v>669.51975387716823</v>
      </c>
      <c r="J491" s="94">
        <v>618.78904236947506</v>
      </c>
      <c r="K491" s="94">
        <v>571.90228778041353</v>
      </c>
      <c r="M491" s="4" t="str">
        <f t="shared" si="35"/>
        <v>per Mtonne</v>
      </c>
    </row>
    <row r="492" spans="1:13" s="7" customFormat="1" x14ac:dyDescent="0.25">
      <c r="A492" s="4" t="str">
        <v>CA Lin</v>
      </c>
      <c r="B492" s="94">
        <v>2258.3402999442219</v>
      </c>
      <c r="C492" s="94">
        <v>2114.2869547744926</v>
      </c>
      <c r="D492" s="94">
        <v>1008.4977531832709</v>
      </c>
      <c r="E492" s="94">
        <v>519.07107478809121</v>
      </c>
      <c r="F492" s="94">
        <v>347.68178786342145</v>
      </c>
      <c r="G492" s="94">
        <v>253.74460575428685</v>
      </c>
      <c r="H492" s="94">
        <v>205.13807000738174</v>
      </c>
      <c r="I492" s="94">
        <v>217.38086312864175</v>
      </c>
      <c r="J492" s="94">
        <v>200.90952559033863</v>
      </c>
      <c r="K492" s="94">
        <v>185.68625081338425</v>
      </c>
      <c r="M492" s="4" t="str">
        <f t="shared" si="35"/>
        <v>per Mtonne</v>
      </c>
    </row>
    <row r="493" spans="1:13" s="7" customFormat="1" x14ac:dyDescent="0.25">
      <c r="A493" s="4" t="str">
        <v>IA Lin</v>
      </c>
      <c r="B493" s="94">
        <v>2258.3402999442219</v>
      </c>
      <c r="C493" s="94">
        <v>2114.2869547744926</v>
      </c>
      <c r="D493" s="94">
        <v>1008.4977531832709</v>
      </c>
      <c r="E493" s="94">
        <v>519.07107478809121</v>
      </c>
      <c r="F493" s="94">
        <v>347.68178786342145</v>
      </c>
      <c r="G493" s="94">
        <v>253.74460575428685</v>
      </c>
      <c r="H493" s="94">
        <v>205.13807000738174</v>
      </c>
      <c r="I493" s="94">
        <v>217.38086312864175</v>
      </c>
      <c r="J493" s="94">
        <v>200.90952559033863</v>
      </c>
      <c r="K493" s="94">
        <v>185.68625081338425</v>
      </c>
      <c r="M493" s="4" t="str">
        <f t="shared" si="35"/>
        <v>per Mtonne</v>
      </c>
    </row>
    <row r="494" spans="1:13" s="7" customFormat="1" x14ac:dyDescent="0.25">
      <c r="A494" s="4" t="str">
        <v>AF Lin</v>
      </c>
      <c r="B494" s="94">
        <v>2231.7941549655452</v>
      </c>
      <c r="C494" s="94">
        <v>2067.8678535514159</v>
      </c>
      <c r="D494" s="94">
        <v>1000.9891993876823</v>
      </c>
      <c r="E494" s="94">
        <v>489.86200509817337</v>
      </c>
      <c r="F494" s="94">
        <v>322.55981720972278</v>
      </c>
      <c r="G494" s="94">
        <v>263.05818147167309</v>
      </c>
      <c r="H494" s="94">
        <v>225.73157979913944</v>
      </c>
      <c r="I494" s="94">
        <v>234.89973925371339</v>
      </c>
      <c r="J494" s="94">
        <v>217.10096507818884</v>
      </c>
      <c r="K494" s="94">
        <v>200.65083591673618</v>
      </c>
      <c r="M494" s="4" t="str">
        <f t="shared" si="35"/>
        <v>per Mtonne</v>
      </c>
    </row>
    <row r="495" spans="1:13" s="7" customFormat="1" ht="13" thickBot="1" x14ac:dyDescent="0.3">
      <c r="A495" s="4" t="str">
        <v>LA Lin</v>
      </c>
      <c r="B495" s="95">
        <v>2231.7941549655452</v>
      </c>
      <c r="C495" s="95">
        <v>2067.8678535514159</v>
      </c>
      <c r="D495" s="95">
        <v>1000.9891993876823</v>
      </c>
      <c r="E495" s="95">
        <v>489.86200509817337</v>
      </c>
      <c r="F495" s="95">
        <v>322.55981720972278</v>
      </c>
      <c r="G495" s="95">
        <v>263.05818147167309</v>
      </c>
      <c r="H495" s="95">
        <v>225.73157979913944</v>
      </c>
      <c r="I495" s="95">
        <v>234.89973925371339</v>
      </c>
      <c r="J495" s="95">
        <v>217.10096507818884</v>
      </c>
      <c r="K495" s="95">
        <v>200.65083591673618</v>
      </c>
      <c r="M495" s="4" t="str">
        <f t="shared" si="35"/>
        <v>per Mtonne</v>
      </c>
    </row>
    <row r="496" spans="1:13" s="2" customFormat="1" ht="15.5" thickTop="1" x14ac:dyDescent="0.4">
      <c r="A496" s="2" t="s">
        <v>401</v>
      </c>
      <c r="B496" s="2" t="s">
        <v>402</v>
      </c>
    </row>
    <row r="497" spans="1:13" s="6" customFormat="1" x14ac:dyDescent="0.25">
      <c r="A497" s="4" t="str">
        <f t="array" ref="A497:A504">R_CODE&amp;" "&amp;'Base data'!$B$11</f>
        <v>EU CO2</v>
      </c>
      <c r="B497" s="37">
        <f t="array" ref="B497:K504">cmax_co2/(EXP(BHI_CO2*(QMAX_CO2-Q0_CO2))-1)</f>
        <v>88.716885694475664</v>
      </c>
      <c r="C497" s="37">
        <v>87.025550849102416</v>
      </c>
      <c r="D497" s="37">
        <v>84.256201267235227</v>
      </c>
      <c r="E497" s="37">
        <v>79.907418752076154</v>
      </c>
      <c r="F497" s="37">
        <v>74.304141674337174</v>
      </c>
      <c r="G497" s="37">
        <v>67.584179376919224</v>
      </c>
      <c r="H497" s="37">
        <v>59.199797609554828</v>
      </c>
      <c r="I497" s="37">
        <v>51.566172218656952</v>
      </c>
      <c r="J497" s="37">
        <v>37.57783526538649</v>
      </c>
      <c r="K497" s="37">
        <v>27.716393890001491</v>
      </c>
      <c r="M497" s="43" t="str">
        <f t="shared" ref="M497:M504" si="36">CURRENCY_NAME&amp;" per "&amp;EMIT_NAME</f>
        <v>$million per Mtonne</v>
      </c>
    </row>
    <row r="498" spans="1:13" s="6" customFormat="1" x14ac:dyDescent="0.25">
      <c r="A498" s="4" t="str">
        <v>US CO2</v>
      </c>
      <c r="B498" s="38">
        <v>88.716885694475664</v>
      </c>
      <c r="C498" s="38">
        <v>85.400834965998911</v>
      </c>
      <c r="D498" s="38">
        <v>79.867812568067691</v>
      </c>
      <c r="E498" s="38">
        <v>73.618301930062387</v>
      </c>
      <c r="F498" s="38">
        <v>67.117482134487844</v>
      </c>
      <c r="G498" s="38">
        <v>60.55981932749652</v>
      </c>
      <c r="H498" s="38">
        <v>52.872214047228709</v>
      </c>
      <c r="I498" s="38">
        <v>46.15194261001777</v>
      </c>
      <c r="J498" s="38">
        <v>33.961541466937156</v>
      </c>
      <c r="K498" s="38">
        <v>24.925818048407514</v>
      </c>
      <c r="M498" s="43" t="str">
        <f t="shared" si="36"/>
        <v>$million per Mtonne</v>
      </c>
    </row>
    <row r="499" spans="1:13" s="6" customFormat="1" x14ac:dyDescent="0.25">
      <c r="A499" s="4" t="str">
        <v>OT CO2</v>
      </c>
      <c r="B499" s="38">
        <v>109.41749232694768</v>
      </c>
      <c r="C499" s="38">
        <v>107.33151268488446</v>
      </c>
      <c r="D499" s="38">
        <v>104.44296926536121</v>
      </c>
      <c r="E499" s="38">
        <v>100.79852728983673</v>
      </c>
      <c r="F499" s="38">
        <v>95.896722971428744</v>
      </c>
      <c r="G499" s="38">
        <v>89.085108690760791</v>
      </c>
      <c r="H499" s="38">
        <v>79.34632655122698</v>
      </c>
      <c r="I499" s="38">
        <v>69.475206221888257</v>
      </c>
      <c r="J499" s="38">
        <v>50.964242039148886</v>
      </c>
      <c r="K499" s="38">
        <v>38.079671114119655</v>
      </c>
      <c r="M499" s="43" t="str">
        <f t="shared" si="36"/>
        <v>$million per Mtonne</v>
      </c>
    </row>
    <row r="500" spans="1:13" s="6" customFormat="1" x14ac:dyDescent="0.25">
      <c r="A500" s="4" t="str">
        <v>EE CO2</v>
      </c>
      <c r="B500" s="38">
        <v>62.101819986132959</v>
      </c>
      <c r="C500" s="38">
        <v>60.917885594371683</v>
      </c>
      <c r="D500" s="38">
        <v>59.278442031496482</v>
      </c>
      <c r="E500" s="38">
        <v>57.209974963747868</v>
      </c>
      <c r="F500" s="38">
        <v>54.42786980930493</v>
      </c>
      <c r="G500" s="38">
        <v>50.561818459772823</v>
      </c>
      <c r="H500" s="38">
        <v>45.101374433824311</v>
      </c>
      <c r="I500" s="38">
        <v>39.494270767152187</v>
      </c>
      <c r="J500" s="38">
        <v>28.968918675841483</v>
      </c>
      <c r="K500" s="38">
        <v>21.633187054696215</v>
      </c>
      <c r="M500" s="43" t="str">
        <f t="shared" si="36"/>
        <v>$million per Mtonne</v>
      </c>
    </row>
    <row r="501" spans="1:13" s="6" customFormat="1" x14ac:dyDescent="0.25">
      <c r="A501" s="4" t="str">
        <v>CA CO2</v>
      </c>
      <c r="B501" s="38">
        <v>88.716885694475664</v>
      </c>
      <c r="C501" s="38">
        <v>87.025550849102416</v>
      </c>
      <c r="D501" s="38">
        <v>84.683488616423574</v>
      </c>
      <c r="E501" s="38">
        <v>81.728535662496981</v>
      </c>
      <c r="F501" s="38">
        <v>77.246154336250541</v>
      </c>
      <c r="G501" s="38">
        <v>70.26098055107397</v>
      </c>
      <c r="H501" s="38">
        <v>61.129453147279115</v>
      </c>
      <c r="I501" s="38">
        <v>52.441809899605623</v>
      </c>
      <c r="J501" s="38">
        <v>37.437357600178117</v>
      </c>
      <c r="K501" s="38">
        <v>27.535703292416116</v>
      </c>
      <c r="M501" s="43" t="str">
        <f t="shared" si="36"/>
        <v>$million per Mtonne</v>
      </c>
    </row>
    <row r="502" spans="1:13" s="6" customFormat="1" x14ac:dyDescent="0.25">
      <c r="A502" s="4" t="str">
        <v>IA CO2</v>
      </c>
      <c r="B502" s="38">
        <v>109.41749232694771</v>
      </c>
      <c r="C502" s="38">
        <v>107.33151268488446</v>
      </c>
      <c r="D502" s="38">
        <v>104.44296926536121</v>
      </c>
      <c r="E502" s="38">
        <v>100.79852728983673</v>
      </c>
      <c r="F502" s="38">
        <v>94.87552785340101</v>
      </c>
      <c r="G502" s="38">
        <v>85.225921652875925</v>
      </c>
      <c r="H502" s="38">
        <v>73.157373687677278</v>
      </c>
      <c r="I502" s="38">
        <v>62.0289889522235</v>
      </c>
      <c r="J502" s="38">
        <v>43.73010353791345</v>
      </c>
      <c r="K502" s="38">
        <v>32.015799352042947</v>
      </c>
      <c r="M502" s="43" t="str">
        <f t="shared" si="36"/>
        <v>$million per Mtonne</v>
      </c>
    </row>
    <row r="503" spans="1:13" s="6" customFormat="1" x14ac:dyDescent="0.25">
      <c r="A503" s="4" t="str">
        <v>AF CO2</v>
      </c>
      <c r="B503" s="38">
        <v>109.41749232694768</v>
      </c>
      <c r="C503" s="38">
        <v>107.33151268488446</v>
      </c>
      <c r="D503" s="38">
        <v>104.44296926536121</v>
      </c>
      <c r="E503" s="38">
        <v>100.79852728983673</v>
      </c>
      <c r="F503" s="38">
        <v>95.224303440718145</v>
      </c>
      <c r="G503" s="38">
        <v>86.676699117294802</v>
      </c>
      <c r="H503" s="38">
        <v>75.356719248818962</v>
      </c>
      <c r="I503" s="38">
        <v>64.648499496251617</v>
      </c>
      <c r="J503" s="38">
        <v>46.325591919096695</v>
      </c>
      <c r="K503" s="38">
        <v>34.125780987075053</v>
      </c>
      <c r="M503" s="43" t="str">
        <f t="shared" si="36"/>
        <v>$million per Mtonne</v>
      </c>
    </row>
    <row r="504" spans="1:13" s="6" customFormat="1" ht="13" thickBot="1" x14ac:dyDescent="0.3">
      <c r="A504" s="4" t="str">
        <v>LA CO2</v>
      </c>
      <c r="B504" s="50">
        <v>62.101819986132959</v>
      </c>
      <c r="C504" s="50">
        <v>60.91788559437169</v>
      </c>
      <c r="D504" s="50">
        <v>59.278442031496482</v>
      </c>
      <c r="E504" s="50">
        <v>57.209974963747868</v>
      </c>
      <c r="F504" s="50">
        <v>54.10164990032392</v>
      </c>
      <c r="G504" s="50">
        <v>49.386432310006164</v>
      </c>
      <c r="H504" s="50">
        <v>43.085367081854812</v>
      </c>
      <c r="I504" s="50">
        <v>37.076516735019602</v>
      </c>
      <c r="J504" s="50">
        <v>26.648767855792052</v>
      </c>
      <c r="K504" s="50">
        <v>19.653666126903229</v>
      </c>
      <c r="M504" s="43" t="str">
        <f t="shared" si="36"/>
        <v>$million per Mtonne</v>
      </c>
    </row>
    <row r="505" spans="1:13" s="2" customFormat="1" ht="15.5" thickTop="1" x14ac:dyDescent="0.4">
      <c r="A505" s="2" t="s">
        <v>401</v>
      </c>
      <c r="B505" s="2" t="s">
        <v>403</v>
      </c>
    </row>
    <row r="506" spans="1:13" s="7" customFormat="1" x14ac:dyDescent="0.25">
      <c r="A506" s="4" t="str">
        <f t="array" ref="A506:A513">R_CODE&amp;" "&amp;'Base data'!$C$11</f>
        <v>EU CH4</v>
      </c>
      <c r="B506" s="37">
        <f t="array" ref="B506:K513">cmax_ch4/(EXP(BHI_CH4*(QMAX_CH4-Q0_CH4))-1)</f>
        <v>1404.6840234219337</v>
      </c>
      <c r="C506" s="37">
        <v>1384.6495515090633</v>
      </c>
      <c r="D506" s="37">
        <v>1364.9034223969563</v>
      </c>
      <c r="E506" s="37">
        <v>1345.4385590590598</v>
      </c>
      <c r="F506" s="37">
        <v>1326.251300269724</v>
      </c>
      <c r="G506" s="37">
        <v>1307.3376876284535</v>
      </c>
      <c r="H506" s="37">
        <v>1270.3188669128253</v>
      </c>
      <c r="I506" s="37">
        <v>1234.3471969293325</v>
      </c>
      <c r="J506" s="37">
        <v>1069.2209838892818</v>
      </c>
      <c r="K506" s="37">
        <v>926.17175843289704</v>
      </c>
      <c r="M506" s="43" t="str">
        <f t="shared" ref="M506:M513" si="37">CURRENCY_NAME&amp;" per "&amp;EMIT_NAME</f>
        <v>$million per Mtonne</v>
      </c>
    </row>
    <row r="507" spans="1:13" s="7" customFormat="1" x14ac:dyDescent="0.25">
      <c r="A507" s="4" t="str">
        <v>US CH4</v>
      </c>
      <c r="B507" s="38">
        <v>1404.6840234219337</v>
      </c>
      <c r="C507" s="38">
        <v>1384.6495515090633</v>
      </c>
      <c r="D507" s="38">
        <v>1364.9034223969563</v>
      </c>
      <c r="E507" s="38">
        <v>1345.4385590590598</v>
      </c>
      <c r="F507" s="38">
        <v>1326.251300269724</v>
      </c>
      <c r="G507" s="38">
        <v>1307.3376876284535</v>
      </c>
      <c r="H507" s="38">
        <v>1270.3188669128253</v>
      </c>
      <c r="I507" s="38">
        <v>1234.3471969293325</v>
      </c>
      <c r="J507" s="38">
        <v>1069.2209838892818</v>
      </c>
      <c r="K507" s="38">
        <v>926.17175843289704</v>
      </c>
      <c r="M507" s="43" t="str">
        <f t="shared" si="37"/>
        <v>$million per Mtonne</v>
      </c>
    </row>
    <row r="508" spans="1:13" s="7" customFormat="1" x14ac:dyDescent="0.25">
      <c r="A508" s="4" t="str">
        <v>OT CH4</v>
      </c>
      <c r="B508" s="38">
        <v>1732.4436284188237</v>
      </c>
      <c r="C508" s="38">
        <v>1707.7344463996285</v>
      </c>
      <c r="D508" s="38">
        <v>1683.3808871679453</v>
      </c>
      <c r="E508" s="38">
        <v>1659.3742223910276</v>
      </c>
      <c r="F508" s="38">
        <v>1635.7099365572426</v>
      </c>
      <c r="G508" s="38">
        <v>1612.3831476393132</v>
      </c>
      <c r="H508" s="38">
        <v>1566.7266021023781</v>
      </c>
      <c r="I508" s="38">
        <v>1522.3615424680611</v>
      </c>
      <c r="J508" s="38">
        <v>1318.705879773707</v>
      </c>
      <c r="K508" s="38">
        <v>1142.2785017585159</v>
      </c>
      <c r="M508" s="43" t="str">
        <f t="shared" si="37"/>
        <v>$million per Mtonne</v>
      </c>
    </row>
    <row r="509" spans="1:13" s="7" customFormat="1" x14ac:dyDescent="0.25">
      <c r="A509" s="4" t="str">
        <v>EE CH4</v>
      </c>
      <c r="B509" s="38">
        <v>983.27881639535326</v>
      </c>
      <c r="C509" s="38">
        <v>969.25461342543372</v>
      </c>
      <c r="D509" s="38">
        <v>955.4322278357206</v>
      </c>
      <c r="E509" s="38">
        <v>941.80661318215709</v>
      </c>
      <c r="F509" s="38">
        <v>928.37535715269075</v>
      </c>
      <c r="G509" s="38">
        <v>915.13568797286973</v>
      </c>
      <c r="H509" s="38">
        <v>889.2223653175206</v>
      </c>
      <c r="I509" s="38">
        <v>864.04207271440202</v>
      </c>
      <c r="J509" s="38">
        <v>748.45360140653543</v>
      </c>
      <c r="K509" s="38">
        <v>648.31889842414625</v>
      </c>
      <c r="M509" s="43" t="str">
        <f t="shared" si="37"/>
        <v>$million per Mtonne</v>
      </c>
    </row>
    <row r="510" spans="1:13" s="7" customFormat="1" x14ac:dyDescent="0.25">
      <c r="A510" s="4" t="str">
        <v>CA CH4</v>
      </c>
      <c r="B510" s="38">
        <v>1404.6840234219337</v>
      </c>
      <c r="C510" s="38">
        <v>1384.6495054151314</v>
      </c>
      <c r="D510" s="38">
        <v>1364.9033158788714</v>
      </c>
      <c r="E510" s="38">
        <v>1345.4380117751055</v>
      </c>
      <c r="F510" s="38">
        <v>1326.2499417361707</v>
      </c>
      <c r="G510" s="38">
        <v>1307.3351574644325</v>
      </c>
      <c r="H510" s="38">
        <v>1270.3147505908112</v>
      </c>
      <c r="I510" s="38">
        <v>1234.3418037695587</v>
      </c>
      <c r="J510" s="38">
        <v>1069.2141563310604</v>
      </c>
      <c r="K510" s="38">
        <v>926.16249305067856</v>
      </c>
      <c r="M510" s="43" t="str">
        <f t="shared" si="37"/>
        <v>$million per Mtonne</v>
      </c>
    </row>
    <row r="511" spans="1:13" s="7" customFormat="1" x14ac:dyDescent="0.25">
      <c r="A511" s="4" t="str">
        <v>IA CH4</v>
      </c>
      <c r="B511" s="38">
        <v>1732.4436284188237</v>
      </c>
      <c r="C511" s="38">
        <v>1707.7343895504459</v>
      </c>
      <c r="D511" s="38">
        <v>1683.3807557956404</v>
      </c>
      <c r="E511" s="38">
        <v>1659.3735474074842</v>
      </c>
      <c r="F511" s="38">
        <v>1635.7082610325274</v>
      </c>
      <c r="G511" s="38">
        <v>1612.3800271036887</v>
      </c>
      <c r="H511" s="38">
        <v>1566.7215253052291</v>
      </c>
      <c r="I511" s="38">
        <v>1522.354890904342</v>
      </c>
      <c r="J511" s="38">
        <v>1318.6974591185701</v>
      </c>
      <c r="K511" s="38">
        <v>1142.2670744537829</v>
      </c>
      <c r="M511" s="43" t="str">
        <f t="shared" si="37"/>
        <v>$million per Mtonne</v>
      </c>
    </row>
    <row r="512" spans="1:13" s="7" customFormat="1" x14ac:dyDescent="0.25">
      <c r="A512" s="4" t="str">
        <v>AF CH4</v>
      </c>
      <c r="B512" s="38">
        <v>1732.4436284188237</v>
      </c>
      <c r="C512" s="38">
        <v>1707.7343868410924</v>
      </c>
      <c r="D512" s="38">
        <v>1683.3807495346196</v>
      </c>
      <c r="E512" s="38">
        <v>1659.3734721425858</v>
      </c>
      <c r="F512" s="38">
        <v>1635.7082077910147</v>
      </c>
      <c r="G512" s="38">
        <v>1612.3800844810485</v>
      </c>
      <c r="H512" s="38">
        <v>1566.7214671757879</v>
      </c>
      <c r="I512" s="38">
        <v>1522.3538939930095</v>
      </c>
      <c r="J512" s="38">
        <v>1318.6948751921736</v>
      </c>
      <c r="K512" s="38">
        <v>1142.2621619783547</v>
      </c>
      <c r="M512" s="43" t="str">
        <f t="shared" si="37"/>
        <v>$million per Mtonne</v>
      </c>
    </row>
    <row r="513" spans="1:13" s="7" customFormat="1" ht="13" thickBot="1" x14ac:dyDescent="0.3">
      <c r="A513" s="4" t="str">
        <v>LA CH4</v>
      </c>
      <c r="B513" s="50">
        <v>983.2788163953536</v>
      </c>
      <c r="C513" s="50">
        <v>969.25465225285097</v>
      </c>
      <c r="D513" s="50">
        <v>955.43231756165756</v>
      </c>
      <c r="E513" s="50">
        <v>941.80656552465848</v>
      </c>
      <c r="F513" s="50">
        <v>928.37492899716369</v>
      </c>
      <c r="G513" s="50">
        <v>915.13464279063135</v>
      </c>
      <c r="H513" s="50">
        <v>889.22029242118242</v>
      </c>
      <c r="I513" s="50">
        <v>864.03869682415097</v>
      </c>
      <c r="J513" s="50">
        <v>748.44844287892226</v>
      </c>
      <c r="K513" s="50">
        <v>648.31095697374474</v>
      </c>
      <c r="M513" s="43" t="str">
        <f t="shared" si="37"/>
        <v>$million per Mtonne</v>
      </c>
    </row>
    <row r="514" spans="1:13" s="2" customFormat="1" ht="15.5" thickTop="1" x14ac:dyDescent="0.4">
      <c r="A514" s="2" t="s">
        <v>401</v>
      </c>
      <c r="B514" s="2" t="s">
        <v>404</v>
      </c>
    </row>
    <row r="515" spans="1:13" s="7" customFormat="1" x14ac:dyDescent="0.25">
      <c r="A515" s="4" t="str">
        <f t="array" ref="A515:A522">R_CODE&amp;" "&amp;'Base data'!$D$11</f>
        <v>EU N2O</v>
      </c>
      <c r="B515" s="37">
        <f t="array" ref="B515:K522">cmax_n2o/(EXP(BHI_N2O*(QMAX_N2O-Q0_N2O))-1)</f>
        <v>6062.3205217165296</v>
      </c>
      <c r="C515" s="37">
        <v>5974.5938090223781</v>
      </c>
      <c r="D515" s="37">
        <v>5888.5636616536895</v>
      </c>
      <c r="E515" s="37">
        <v>5803.7531945730307</v>
      </c>
      <c r="F515" s="37">
        <v>5720.1641167705147</v>
      </c>
      <c r="G515" s="37">
        <v>5637.7788402796541</v>
      </c>
      <c r="H515" s="37">
        <v>5476.9707107533504</v>
      </c>
      <c r="I515" s="37">
        <v>5320.419755936362</v>
      </c>
      <c r="J515" s="37">
        <v>4604.9904519439742</v>
      </c>
      <c r="K515" s="37">
        <v>3983.6110950884554</v>
      </c>
      <c r="M515" s="43" t="str">
        <f t="shared" ref="M515:M522" si="38">CURRENCY_NAME&amp;" per "&amp;EMIT_NAME</f>
        <v>$million per Mtonne</v>
      </c>
    </row>
    <row r="516" spans="1:13" s="7" customFormat="1" x14ac:dyDescent="0.25">
      <c r="A516" s="4" t="str">
        <v>US N2O</v>
      </c>
      <c r="B516" s="38">
        <v>6062.3205217165296</v>
      </c>
      <c r="C516" s="38">
        <v>5974.5938090223781</v>
      </c>
      <c r="D516" s="38">
        <v>5888.5636616536895</v>
      </c>
      <c r="E516" s="38">
        <v>5803.7531945730307</v>
      </c>
      <c r="F516" s="38">
        <v>5720.1641167705147</v>
      </c>
      <c r="G516" s="38">
        <v>5637.7788402796541</v>
      </c>
      <c r="H516" s="38">
        <v>5476.9707107533504</v>
      </c>
      <c r="I516" s="38">
        <v>5320.419755936362</v>
      </c>
      <c r="J516" s="38">
        <v>4604.9904519439742</v>
      </c>
      <c r="K516" s="38">
        <v>3983.6110950884554</v>
      </c>
      <c r="M516" s="43" t="str">
        <f t="shared" si="38"/>
        <v>$million per Mtonne</v>
      </c>
    </row>
    <row r="517" spans="1:13" s="7" customFormat="1" x14ac:dyDescent="0.25">
      <c r="A517" s="4" t="str">
        <v>OT N2O</v>
      </c>
      <c r="B517" s="38">
        <v>7476.8619747629464</v>
      </c>
      <c r="C517" s="38">
        <v>7368.6656958027352</v>
      </c>
      <c r="D517" s="38">
        <v>7262.5618474100283</v>
      </c>
      <c r="E517" s="38">
        <v>7157.9622713721528</v>
      </c>
      <c r="F517" s="38">
        <v>7054.8690754435793</v>
      </c>
      <c r="G517" s="38">
        <v>6953.2605677989804</v>
      </c>
      <c r="H517" s="38">
        <v>6754.9305414368091</v>
      </c>
      <c r="I517" s="38">
        <v>6561.8510305480404</v>
      </c>
      <c r="J517" s="38">
        <v>5679.4882225292376</v>
      </c>
      <c r="K517" s="38">
        <v>4913.1203492812238</v>
      </c>
      <c r="M517" s="43" t="str">
        <f t="shared" si="38"/>
        <v>$million per Mtonne</v>
      </c>
    </row>
    <row r="518" spans="1:13" s="7" customFormat="1" x14ac:dyDescent="0.25">
      <c r="A518" s="4" t="str">
        <v>EE N2O</v>
      </c>
      <c r="B518" s="38">
        <v>4243.6243652015701</v>
      </c>
      <c r="C518" s="38">
        <v>4182.2145834545327</v>
      </c>
      <c r="D518" s="38">
        <v>4121.9920739839354</v>
      </c>
      <c r="E518" s="38">
        <v>4062.6243563362959</v>
      </c>
      <c r="F518" s="38">
        <v>4004.108008141252</v>
      </c>
      <c r="G518" s="38">
        <v>3946.4308787062541</v>
      </c>
      <c r="H518" s="38">
        <v>3833.8562049223738</v>
      </c>
      <c r="I518" s="38">
        <v>3724.2626204680664</v>
      </c>
      <c r="J518" s="38">
        <v>3223.4322532632686</v>
      </c>
      <c r="K518" s="38">
        <v>2788.4261826199072</v>
      </c>
      <c r="M518" s="43" t="str">
        <f t="shared" si="38"/>
        <v>$million per Mtonne</v>
      </c>
    </row>
    <row r="519" spans="1:13" s="7" customFormat="1" x14ac:dyDescent="0.25">
      <c r="A519" s="4" t="str">
        <v>CA N2O</v>
      </c>
      <c r="B519" s="38">
        <v>6062.3205217165296</v>
      </c>
      <c r="C519" s="38">
        <v>5974.5918472445701</v>
      </c>
      <c r="D519" s="38">
        <v>5888.5591521145188</v>
      </c>
      <c r="E519" s="38">
        <v>5803.7519422530631</v>
      </c>
      <c r="F519" s="38">
        <v>5720.1480277363116</v>
      </c>
      <c r="G519" s="38">
        <v>5637.7306253952147</v>
      </c>
      <c r="H519" s="38">
        <v>5476.8655307926929</v>
      </c>
      <c r="I519" s="38">
        <v>5320.2155292311027</v>
      </c>
      <c r="J519" s="38">
        <v>4604.4868523950936</v>
      </c>
      <c r="K519" s="38">
        <v>3982.7075812572666</v>
      </c>
      <c r="M519" s="43" t="str">
        <f t="shared" si="38"/>
        <v>$million per Mtonne</v>
      </c>
    </row>
    <row r="520" spans="1:13" s="7" customFormat="1" x14ac:dyDescent="0.25">
      <c r="A520" s="4" t="str">
        <v>IA N2O</v>
      </c>
      <c r="B520" s="38">
        <v>7476.8619747629464</v>
      </c>
      <c r="C520" s="38">
        <v>7368.6632762767722</v>
      </c>
      <c r="D520" s="38">
        <v>7262.5562856450533</v>
      </c>
      <c r="E520" s="38">
        <v>7157.9607268441932</v>
      </c>
      <c r="F520" s="38">
        <v>7054.8492323014016</v>
      </c>
      <c r="G520" s="38">
        <v>6953.2011027748549</v>
      </c>
      <c r="H520" s="38">
        <v>6754.8008194853655</v>
      </c>
      <c r="I520" s="38">
        <v>6561.599150944955</v>
      </c>
      <c r="J520" s="38">
        <v>5678.8671164191182</v>
      </c>
      <c r="K520" s="38">
        <v>4912.0060155563942</v>
      </c>
      <c r="M520" s="43" t="str">
        <f t="shared" si="38"/>
        <v>$million per Mtonne</v>
      </c>
    </row>
    <row r="521" spans="1:13" s="7" customFormat="1" x14ac:dyDescent="0.25">
      <c r="A521" s="4" t="str">
        <v>AF N2O</v>
      </c>
      <c r="B521" s="38">
        <v>7476.8619747629464</v>
      </c>
      <c r="C521" s="38">
        <v>7368.6655285515344</v>
      </c>
      <c r="D521" s="38">
        <v>7262.5614629493239</v>
      </c>
      <c r="E521" s="38">
        <v>7157.969869070851</v>
      </c>
      <c r="F521" s="38">
        <v>7054.8663176787313</v>
      </c>
      <c r="G521" s="38">
        <v>6953.2299292146727</v>
      </c>
      <c r="H521" s="38">
        <v>6754.8392829002405</v>
      </c>
      <c r="I521" s="38">
        <v>6561.6334250515429</v>
      </c>
      <c r="J521" s="38">
        <v>5678.8755306878966</v>
      </c>
      <c r="K521" s="38">
        <v>4911.9828857002149</v>
      </c>
      <c r="M521" s="43" t="str">
        <f t="shared" si="38"/>
        <v>$million per Mtonne</v>
      </c>
    </row>
    <row r="522" spans="1:13" s="7" customFormat="1" ht="13" thickBot="1" x14ac:dyDescent="0.3">
      <c r="A522" s="4" t="str">
        <v>LA N2O</v>
      </c>
      <c r="B522" s="50">
        <v>4243.6243652015701</v>
      </c>
      <c r="C522" s="50">
        <v>4182.215571389308</v>
      </c>
      <c r="D522" s="50">
        <v>4121.9943449501543</v>
      </c>
      <c r="E522" s="50">
        <v>4062.6315484084903</v>
      </c>
      <c r="F522" s="50">
        <v>4004.1133165214724</v>
      </c>
      <c r="G522" s="50">
        <v>3946.4277987289834</v>
      </c>
      <c r="H522" s="50">
        <v>3833.8277021417111</v>
      </c>
      <c r="I522" s="50">
        <v>3724.1703233330841</v>
      </c>
      <c r="J522" s="50">
        <v>3223.1455723426288</v>
      </c>
      <c r="K522" s="50">
        <v>2787.8821791238738</v>
      </c>
      <c r="M522" s="43" t="str">
        <f t="shared" si="38"/>
        <v>$million per Mtonne</v>
      </c>
    </row>
    <row r="523" spans="1:13" s="2" customFormat="1" ht="15.5" thickTop="1" x14ac:dyDescent="0.4">
      <c r="A523" s="2" t="s">
        <v>401</v>
      </c>
      <c r="B523" s="2" t="s">
        <v>405</v>
      </c>
    </row>
    <row r="524" spans="1:13" s="7" customFormat="1" x14ac:dyDescent="0.25">
      <c r="A524" s="4" t="str">
        <f t="array" ref="A524:A531">R_CODE&amp;" "&amp;GLIN_NAME</f>
        <v>EU Lin</v>
      </c>
      <c r="B524" s="37">
        <f t="array" ref="B524:K531">cmax_glin/(EXP(BHI_GLIN*(QMAX_GLIN-Q0_GLIN))-1)</f>
        <v>73.930738071336634</v>
      </c>
      <c r="C524" s="37">
        <v>72.876278771336032</v>
      </c>
      <c r="D524" s="37">
        <v>71.836991411326906</v>
      </c>
      <c r="E524" s="37">
        <v>70.812412815495847</v>
      </c>
      <c r="F524" s="37">
        <v>69.802215806158856</v>
      </c>
      <c r="G524" s="37">
        <v>68.806201890916853</v>
      </c>
      <c r="H524" s="37">
        <v>66.856754667749911</v>
      </c>
      <c r="I524" s="37">
        <v>64.961746959064016</v>
      </c>
      <c r="J524" s="37">
        <v>56.266776089377984</v>
      </c>
      <c r="K524" s="37">
        <v>48.732358773182384</v>
      </c>
      <c r="M524" s="43" t="str">
        <f t="shared" ref="M524:M531" si="39">CURRENCY_NAME&amp;" per "&amp;EMIT_NAME</f>
        <v>$million per Mtonne</v>
      </c>
    </row>
    <row r="525" spans="1:13" s="7" customFormat="1" x14ac:dyDescent="0.25">
      <c r="A525" s="4" t="str">
        <v>US Lin</v>
      </c>
      <c r="B525" s="38">
        <v>73.930738071336634</v>
      </c>
      <c r="C525" s="38">
        <v>72.876278771336032</v>
      </c>
      <c r="D525" s="38">
        <v>71.836991411326906</v>
      </c>
      <c r="E525" s="38">
        <v>70.812412815495847</v>
      </c>
      <c r="F525" s="38">
        <v>69.802215806158856</v>
      </c>
      <c r="G525" s="38">
        <v>68.806201890916853</v>
      </c>
      <c r="H525" s="38">
        <v>66.856754667749911</v>
      </c>
      <c r="I525" s="38">
        <v>64.961746959064016</v>
      </c>
      <c r="J525" s="38">
        <v>56.266776089377984</v>
      </c>
      <c r="K525" s="38">
        <v>48.732358773182384</v>
      </c>
      <c r="M525" s="43" t="str">
        <f t="shared" si="39"/>
        <v>$million per Mtonne</v>
      </c>
    </row>
    <row r="526" spans="1:13" s="7" customFormat="1" x14ac:dyDescent="0.25">
      <c r="A526" s="4" t="str">
        <v>OT Lin</v>
      </c>
      <c r="B526" s="38">
        <v>91.181243596671621</v>
      </c>
      <c r="C526" s="38">
        <v>89.880743793689007</v>
      </c>
      <c r="D526" s="38">
        <v>88.598956050024199</v>
      </c>
      <c r="E526" s="38">
        <v>87.335309115507428</v>
      </c>
      <c r="F526" s="38">
        <v>86.08939947099519</v>
      </c>
      <c r="G526" s="38">
        <v>84.860982309195393</v>
      </c>
      <c r="H526" s="38">
        <v>82.4566640679393</v>
      </c>
      <c r="I526" s="38">
        <v>80.119487894525051</v>
      </c>
      <c r="J526" s="38">
        <v>69.395690491477254</v>
      </c>
      <c r="K526" s="38">
        <v>60.103242470680819</v>
      </c>
      <c r="M526" s="43" t="str">
        <f t="shared" si="39"/>
        <v>$million per Mtonne</v>
      </c>
    </row>
    <row r="527" spans="1:13" s="7" customFormat="1" x14ac:dyDescent="0.25">
      <c r="A527" s="4" t="str">
        <v>EE Lin</v>
      </c>
      <c r="B527" s="38">
        <v>51.751516649935652</v>
      </c>
      <c r="C527" s="38">
        <v>51.013394811790228</v>
      </c>
      <c r="D527" s="38">
        <v>50.285893233186343</v>
      </c>
      <c r="E527" s="38">
        <v>49.568632505276604</v>
      </c>
      <c r="F527" s="38">
        <v>48.861391210400839</v>
      </c>
      <c r="G527" s="38">
        <v>48.164032487972122</v>
      </c>
      <c r="H527" s="38">
        <v>46.799200051005073</v>
      </c>
      <c r="I527" s="38">
        <v>45.472416180275687</v>
      </c>
      <c r="J527" s="38">
        <v>39.385412594221187</v>
      </c>
      <c r="K527" s="38">
        <v>34.110587276270529</v>
      </c>
      <c r="M527" s="43" t="str">
        <f t="shared" si="39"/>
        <v>$million per Mtonne</v>
      </c>
    </row>
    <row r="528" spans="1:13" s="7" customFormat="1" x14ac:dyDescent="0.25">
      <c r="A528" s="4" t="str">
        <v>CA Lin</v>
      </c>
      <c r="B528" s="38">
        <v>73.930738071336663</v>
      </c>
      <c r="C528" s="38">
        <v>72.876274532744276</v>
      </c>
      <c r="D528" s="38">
        <v>71.836981662450498</v>
      </c>
      <c r="E528" s="38">
        <v>70.81227777576818</v>
      </c>
      <c r="F528" s="38">
        <v>69.80176717525444</v>
      </c>
      <c r="G528" s="38">
        <v>68.805259543125032</v>
      </c>
      <c r="H528" s="38">
        <v>66.854804661174285</v>
      </c>
      <c r="I528" s="38">
        <v>64.958195995723912</v>
      </c>
      <c r="J528" s="38">
        <v>56.259779713907228</v>
      </c>
      <c r="K528" s="38">
        <v>48.720646595854511</v>
      </c>
      <c r="M528" s="43" t="str">
        <f t="shared" si="39"/>
        <v>$million per Mtonne</v>
      </c>
    </row>
    <row r="529" spans="1:13" s="7" customFormat="1" x14ac:dyDescent="0.25">
      <c r="A529" s="4" t="str">
        <v>IA Lin</v>
      </c>
      <c r="B529" s="38">
        <v>91.181243596671635</v>
      </c>
      <c r="C529" s="38">
        <v>89.880738566092518</v>
      </c>
      <c r="D529" s="38">
        <v>88.598944026409953</v>
      </c>
      <c r="E529" s="38">
        <v>87.335142566509987</v>
      </c>
      <c r="F529" s="38">
        <v>86.088846159546549</v>
      </c>
      <c r="G529" s="38">
        <v>84.859820080252462</v>
      </c>
      <c r="H529" s="38">
        <v>82.454259059830008</v>
      </c>
      <c r="I529" s="38">
        <v>80.115108373073411</v>
      </c>
      <c r="J529" s="38">
        <v>69.387061628398982</v>
      </c>
      <c r="K529" s="38">
        <v>60.088797451980355</v>
      </c>
      <c r="M529" s="43" t="str">
        <f t="shared" si="39"/>
        <v>$million per Mtonne</v>
      </c>
    </row>
    <row r="530" spans="1:13" s="7" customFormat="1" x14ac:dyDescent="0.25">
      <c r="A530" s="4" t="str">
        <v>AF Lin</v>
      </c>
      <c r="B530" s="38">
        <v>91.181243596671578</v>
      </c>
      <c r="C530" s="38">
        <v>89.880736369889817</v>
      </c>
      <c r="D530" s="38">
        <v>88.598938975085176</v>
      </c>
      <c r="E530" s="38">
        <v>87.335135609761195</v>
      </c>
      <c r="F530" s="38">
        <v>86.088809433442762</v>
      </c>
      <c r="G530" s="38">
        <v>84.859726920735056</v>
      </c>
      <c r="H530" s="38">
        <v>82.454219850357106</v>
      </c>
      <c r="I530" s="38">
        <v>80.115278754149486</v>
      </c>
      <c r="J530" s="38">
        <v>69.387620243510071</v>
      </c>
      <c r="K530" s="38">
        <v>60.089873672875392</v>
      </c>
      <c r="M530" s="43" t="str">
        <f t="shared" si="39"/>
        <v>$million per Mtonne</v>
      </c>
    </row>
    <row r="531" spans="1:13" s="7" customFormat="1" ht="13" thickBot="1" x14ac:dyDescent="0.3">
      <c r="A531" s="4" t="str">
        <v>LA Lin</v>
      </c>
      <c r="B531" s="50">
        <v>51.751516649935617</v>
      </c>
      <c r="C531" s="50">
        <v>51.013390926427554</v>
      </c>
      <c r="D531" s="50">
        <v>50.285884296747227</v>
      </c>
      <c r="E531" s="50">
        <v>49.568590494612714</v>
      </c>
      <c r="F531" s="50">
        <v>48.8612161781327</v>
      </c>
      <c r="G531" s="50">
        <v>48.163628805866814</v>
      </c>
      <c r="H531" s="50">
        <v>46.798341008796818</v>
      </c>
      <c r="I531" s="50">
        <v>45.470833899779656</v>
      </c>
      <c r="J531" s="50">
        <v>39.382162851554945</v>
      </c>
      <c r="K531" s="50">
        <v>34.105063445173883</v>
      </c>
      <c r="M531" s="43" t="str">
        <f t="shared" si="39"/>
        <v>$million per Mtonne</v>
      </c>
    </row>
    <row r="532" spans="1:13" s="2" customFormat="1" ht="15.5" thickTop="1" x14ac:dyDescent="0.4">
      <c r="A532" s="2" t="s">
        <v>406</v>
      </c>
      <c r="B532" s="2" t="s">
        <v>407</v>
      </c>
    </row>
    <row r="533" spans="1:13" s="6" customFormat="1" x14ac:dyDescent="0.25">
      <c r="A533" s="4" t="str">
        <f t="array" ref="A533:A540">R_CODE&amp;" "&amp;'Base data'!$B$11</f>
        <v>EU CO2</v>
      </c>
      <c r="B533" s="39">
        <f t="array" ref="B533:K540">IF(Q0_CO2=0,0,(ALO_CO2/BLO_CO2)*(1-EXP(-BLO_CO2*Q0_CO2))-ALO_CO2*Q0_CO2)</f>
        <v>-69730.400557610337</v>
      </c>
      <c r="C533" s="39">
        <v>-69297.93460054262</v>
      </c>
      <c r="D533" s="39">
        <v>-70119.9612599057</v>
      </c>
      <c r="E533" s="39">
        <v>-67929.426515259751</v>
      </c>
      <c r="F533" s="39">
        <v>-65784.938872335741</v>
      </c>
      <c r="G533" s="39">
        <v>-61543.305546932505</v>
      </c>
      <c r="H533" s="39">
        <v>-51190.935629079104</v>
      </c>
      <c r="I533" s="39">
        <v>-41588.000527111551</v>
      </c>
      <c r="J533" s="39">
        <v>-36245.712392480069</v>
      </c>
      <c r="K533" s="39">
        <v>-31567.80441173898</v>
      </c>
      <c r="M533" s="43" t="str">
        <f t="shared" ref="M533:M540" si="40">CURRENCY_NAME</f>
        <v>$million</v>
      </c>
    </row>
    <row r="534" spans="1:13" s="6" customFormat="1" x14ac:dyDescent="0.25">
      <c r="A534" s="4" t="str">
        <v>US CO2</v>
      </c>
      <c r="B534" s="35">
        <v>-163945.72982955526</v>
      </c>
      <c r="C534" s="35">
        <v>-162928.94308530982</v>
      </c>
      <c r="D534" s="35">
        <v>-164861.64043870146</v>
      </c>
      <c r="E534" s="35">
        <v>-159711.39299201901</v>
      </c>
      <c r="F534" s="35">
        <v>-154669.40859327503</v>
      </c>
      <c r="G534" s="35">
        <v>-144696.74723407245</v>
      </c>
      <c r="H534" s="35">
        <v>-120356.90653222846</v>
      </c>
      <c r="I534" s="35">
        <v>-97779.089809417463</v>
      </c>
      <c r="J534" s="35">
        <v>-85218.638124240009</v>
      </c>
      <c r="K534" s="35">
        <v>-74220.235249091245</v>
      </c>
      <c r="M534" s="43" t="str">
        <f t="shared" si="40"/>
        <v>$million</v>
      </c>
    </row>
    <row r="535" spans="1:13" s="6" customFormat="1" x14ac:dyDescent="0.25">
      <c r="A535" s="4" t="str">
        <v>OT CO2</v>
      </c>
      <c r="B535" s="35">
        <v>-25588.213154217181</v>
      </c>
      <c r="C535" s="35">
        <v>-25429.515785452611</v>
      </c>
      <c r="D535" s="35">
        <v>-25731.166044307123</v>
      </c>
      <c r="E535" s="35">
        <v>-24927.329130715763</v>
      </c>
      <c r="F535" s="35">
        <v>-24140.389625493954</v>
      </c>
      <c r="G535" s="35">
        <v>-22583.8831837623</v>
      </c>
      <c r="H535" s="35">
        <v>-18784.985629882874</v>
      </c>
      <c r="I535" s="35">
        <v>-15261.100088851917</v>
      </c>
      <c r="J535" s="35">
        <v>-13300.69822069892</v>
      </c>
      <c r="K535" s="35">
        <v>-11584.096773269655</v>
      </c>
      <c r="M535" s="43" t="str">
        <f t="shared" si="40"/>
        <v>$million</v>
      </c>
    </row>
    <row r="536" spans="1:13" s="6" customFormat="1" x14ac:dyDescent="0.25">
      <c r="A536" s="4" t="str">
        <v>EE CO2</v>
      </c>
      <c r="B536" s="35">
        <v>-24191.395412728139</v>
      </c>
      <c r="C536" s="35">
        <v>-24521.671241026175</v>
      </c>
      <c r="D536" s="35">
        <v>-22202.925665155366</v>
      </c>
      <c r="E536" s="35">
        <v>-21485.174079726501</v>
      </c>
      <c r="F536" s="35">
        <v>-20782.658450776733</v>
      </c>
      <c r="G536" s="35">
        <v>-19306.558842689057</v>
      </c>
      <c r="H536" s="35">
        <v>-15794.758398612179</v>
      </c>
      <c r="I536" s="35">
        <v>-13182.968967625788</v>
      </c>
      <c r="J536" s="35">
        <v>-11489.518505898239</v>
      </c>
      <c r="K536" s="35">
        <v>-10006.66972832077</v>
      </c>
      <c r="M536" s="43" t="str">
        <f t="shared" si="40"/>
        <v>$million</v>
      </c>
    </row>
    <row r="537" spans="1:13" s="6" customFormat="1" x14ac:dyDescent="0.25">
      <c r="A537" s="4" t="str">
        <v>CA CO2</v>
      </c>
      <c r="B537" s="35">
        <v>-27523.368530662607</v>
      </c>
      <c r="C537" s="35">
        <v>-28205.1474701314</v>
      </c>
      <c r="D537" s="35">
        <v>-35570.951193170447</v>
      </c>
      <c r="E537" s="35">
        <v>-41345.224063343681</v>
      </c>
      <c r="F537" s="35">
        <v>-46955.85466924186</v>
      </c>
      <c r="G537" s="35">
        <v>-47906.769941988408</v>
      </c>
      <c r="H537" s="35">
        <v>-47975.416002677426</v>
      </c>
      <c r="I537" s="35">
        <v>-42475.340089898469</v>
      </c>
      <c r="J537" s="35">
        <v>-37019.06658550688</v>
      </c>
      <c r="K537" s="35">
        <v>-32241.348737261302</v>
      </c>
      <c r="M537" s="43" t="str">
        <f t="shared" si="40"/>
        <v>$million</v>
      </c>
    </row>
    <row r="538" spans="1:13" s="6" customFormat="1" x14ac:dyDescent="0.25">
      <c r="A538" s="4" t="str">
        <v>IA CO2</v>
      </c>
      <c r="B538" s="35">
        <v>-45250.785466003363</v>
      </c>
      <c r="C538" s="35">
        <v>-46371.688690140763</v>
      </c>
      <c r="D538" s="35">
        <v>-58481.703628341507</v>
      </c>
      <c r="E538" s="35">
        <v>-67975.104938551056</v>
      </c>
      <c r="F538" s="35">
        <v>-77199.464289538504</v>
      </c>
      <c r="G538" s="35">
        <v>-78762.850797097126</v>
      </c>
      <c r="H538" s="35">
        <v>-78875.710825907328</v>
      </c>
      <c r="I538" s="35">
        <v>-69833.112900488981</v>
      </c>
      <c r="J538" s="35">
        <v>-60862.529902408598</v>
      </c>
      <c r="K538" s="35">
        <v>-53007.550773411313</v>
      </c>
      <c r="M538" s="43" t="str">
        <f t="shared" si="40"/>
        <v>$million</v>
      </c>
    </row>
    <row r="539" spans="1:13" s="6" customFormat="1" x14ac:dyDescent="0.25">
      <c r="A539" s="4" t="str">
        <v>AF CO2</v>
      </c>
      <c r="B539" s="35">
        <v>-25367.952494849014</v>
      </c>
      <c r="C539" s="35">
        <v>-26001.099749206271</v>
      </c>
      <c r="D539" s="35">
        <v>-33260.23252772048</v>
      </c>
      <c r="E539" s="35">
        <v>-38850.338015756352</v>
      </c>
      <c r="F539" s="35">
        <v>-44282.246051244074</v>
      </c>
      <c r="G539" s="35">
        <v>-46819.582217895048</v>
      </c>
      <c r="H539" s="35">
        <v>-47007.294146936416</v>
      </c>
      <c r="I539" s="35">
        <v>-39524.998865367044</v>
      </c>
      <c r="J539" s="35">
        <v>-34447.718645508387</v>
      </c>
      <c r="K539" s="35">
        <v>-30001.861540391066</v>
      </c>
      <c r="M539" s="43" t="str">
        <f t="shared" si="40"/>
        <v>$million</v>
      </c>
    </row>
    <row r="540" spans="1:13" s="6" customFormat="1" ht="13" thickBot="1" x14ac:dyDescent="0.3">
      <c r="A540" s="4" t="str">
        <v>LA CO2</v>
      </c>
      <c r="B540" s="49">
        <v>-21638.24185966701</v>
      </c>
      <c r="C540" s="49">
        <v>-22178.300952940226</v>
      </c>
      <c r="D540" s="49">
        <v>-28370.163334613371</v>
      </c>
      <c r="E540" s="49">
        <v>-33138.386335493444</v>
      </c>
      <c r="F540" s="49">
        <v>-37771.670785833616</v>
      </c>
      <c r="G540" s="49">
        <v>-39935.956360888289</v>
      </c>
      <c r="H540" s="49">
        <v>-40096.070036651698</v>
      </c>
      <c r="I540" s="49">
        <v>-33713.855508265209</v>
      </c>
      <c r="J540" s="49">
        <v>-29383.05989482686</v>
      </c>
      <c r="K540" s="49">
        <v>-25590.8527258178</v>
      </c>
      <c r="M540" s="43" t="str">
        <f t="shared" si="40"/>
        <v>$million</v>
      </c>
    </row>
    <row r="541" spans="1:13" s="2" customFormat="1" ht="15.5" thickTop="1" x14ac:dyDescent="0.4">
      <c r="A541" s="2" t="s">
        <v>406</v>
      </c>
      <c r="B541" s="2" t="s">
        <v>408</v>
      </c>
    </row>
    <row r="542" spans="1:13" s="6" customFormat="1" x14ac:dyDescent="0.25">
      <c r="A542" s="4" t="str">
        <f t="array" ref="A542:A549">R_CODE&amp;" "&amp;'Base data'!$C$11</f>
        <v>EU CH4</v>
      </c>
      <c r="B542" s="39">
        <f t="array" ref="B542:K549">IF(Q0_CH4=0,0,(ALO_CH4/BLO_CH4)*(1-EXP(-BLO_CH4*Q0_CH4))-ALO_CH4*Q0_CH4)</f>
        <v>-0.14142464996262274</v>
      </c>
      <c r="C542" s="39">
        <v>-0.13980487789694163</v>
      </c>
      <c r="D542" s="39">
        <v>-0.13433188146601807</v>
      </c>
      <c r="E542" s="39">
        <v>-0.12291734922854922</v>
      </c>
      <c r="F542" s="39">
        <v>-0.11167545450319522</v>
      </c>
      <c r="G542" s="39">
        <v>-0.10235154769112251</v>
      </c>
      <c r="H542" s="39">
        <v>-8.7016721769097527E-2</v>
      </c>
      <c r="I542" s="39">
        <v>-7.7814401507345171E-2</v>
      </c>
      <c r="J542" s="39">
        <v>-7.1113391549058394E-2</v>
      </c>
      <c r="K542" s="39">
        <v>-6.4657862243651679E-2</v>
      </c>
      <c r="M542" s="43" t="str">
        <f t="shared" ref="M542:M549" si="41">CURRENCY_NAME</f>
        <v>$million</v>
      </c>
    </row>
    <row r="543" spans="1:13" s="6" customFormat="1" x14ac:dyDescent="0.25">
      <c r="A543" s="4" t="str">
        <v>US CH4</v>
      </c>
      <c r="B543" s="35">
        <v>-0.15321003741236638</v>
      </c>
      <c r="C543" s="35">
        <v>-0.15145528434175182</v>
      </c>
      <c r="D543" s="35">
        <v>-0.14552620487674234</v>
      </c>
      <c r="E543" s="35">
        <v>-0.13316046162328918</v>
      </c>
      <c r="F543" s="35">
        <v>-0.12098174234123629</v>
      </c>
      <c r="G543" s="35">
        <v>-0.11088084329793221</v>
      </c>
      <c r="H543" s="35">
        <v>-9.4268115220850088E-2</v>
      </c>
      <c r="I543" s="35">
        <v>-8.4298934940352441E-2</v>
      </c>
      <c r="J543" s="35">
        <v>-7.7039507487775424E-2</v>
      </c>
      <c r="K543" s="35">
        <v>-7.004601740907003E-2</v>
      </c>
      <c r="M543" s="43" t="str">
        <f t="shared" si="41"/>
        <v>$million</v>
      </c>
    </row>
    <row r="544" spans="1:13" s="6" customFormat="1" x14ac:dyDescent="0.25">
      <c r="A544" s="4" t="str">
        <v>OT CH4</v>
      </c>
      <c r="B544" s="35">
        <v>-0.14142464996262274</v>
      </c>
      <c r="C544" s="35">
        <v>-0.13980487789694163</v>
      </c>
      <c r="D544" s="35">
        <v>-0.13433188146601807</v>
      </c>
      <c r="E544" s="35">
        <v>-0.12291734922854922</v>
      </c>
      <c r="F544" s="35">
        <v>-0.11167545450319522</v>
      </c>
      <c r="G544" s="35">
        <v>-0.10235154769112251</v>
      </c>
      <c r="H544" s="35">
        <v>-8.7016721769097527E-2</v>
      </c>
      <c r="I544" s="35">
        <v>-7.7814401507345171E-2</v>
      </c>
      <c r="J544" s="35">
        <v>-7.1113391549058394E-2</v>
      </c>
      <c r="K544" s="35">
        <v>-6.4657862243651679E-2</v>
      </c>
      <c r="M544" s="43" t="str">
        <f t="shared" si="41"/>
        <v>$million</v>
      </c>
    </row>
    <row r="545" spans="1:13" s="6" customFormat="1" x14ac:dyDescent="0.25">
      <c r="A545" s="4" t="str">
        <v>EE CH4</v>
      </c>
      <c r="B545" s="35">
        <v>-0.10281884050399172</v>
      </c>
      <c r="C545" s="35">
        <v>-0.10544427865131045</v>
      </c>
      <c r="D545" s="35">
        <v>-0.11075229921145417</v>
      </c>
      <c r="E545" s="35">
        <v>-0.10018352400805847</v>
      </c>
      <c r="F545" s="35">
        <v>-8.9776416063868325E-2</v>
      </c>
      <c r="G545" s="35">
        <v>-8.0512077604909887E-2</v>
      </c>
      <c r="H545" s="35">
        <v>-6.6731403831043173E-2</v>
      </c>
      <c r="I545" s="35">
        <v>-5.8164055625413526E-2</v>
      </c>
      <c r="J545" s="35">
        <v>-5.3155240953447529E-2</v>
      </c>
      <c r="K545" s="35">
        <v>-4.8329916099208073E-2</v>
      </c>
      <c r="M545" s="43" t="str">
        <f t="shared" si="41"/>
        <v>$million</v>
      </c>
    </row>
    <row r="546" spans="1:13" s="6" customFormat="1" x14ac:dyDescent="0.25">
      <c r="A546" s="4" t="str">
        <v>CA CH4</v>
      </c>
      <c r="B546" s="35">
        <v>-0.10069496634110597</v>
      </c>
      <c r="C546" s="35">
        <v>-0.10123115786228304</v>
      </c>
      <c r="D546" s="35">
        <v>-0.11836800529668404</v>
      </c>
      <c r="E546" s="35">
        <v>-0.13101721652968126</v>
      </c>
      <c r="F546" s="35">
        <v>-0.14343939869066957</v>
      </c>
      <c r="G546" s="35">
        <v>-0.13296300297105507</v>
      </c>
      <c r="H546" s="35">
        <v>-9.9408735979513524E-2</v>
      </c>
      <c r="I546" s="35">
        <v>-7.6652886853997182E-2</v>
      </c>
      <c r="J546" s="35">
        <v>-7.0051901070002143E-2</v>
      </c>
      <c r="K546" s="35">
        <v>-6.3692731715171452E-2</v>
      </c>
      <c r="M546" s="43" t="str">
        <f t="shared" si="41"/>
        <v>$million</v>
      </c>
    </row>
    <row r="547" spans="1:13" s="6" customFormat="1" x14ac:dyDescent="0.25">
      <c r="A547" s="4" t="str">
        <v>IA CH4</v>
      </c>
      <c r="B547" s="35">
        <v>-0.10069496634110597</v>
      </c>
      <c r="C547" s="35">
        <v>-0.10123115786228304</v>
      </c>
      <c r="D547" s="35">
        <v>-0.11836800529668404</v>
      </c>
      <c r="E547" s="35">
        <v>-0.13101721652968126</v>
      </c>
      <c r="F547" s="35">
        <v>-0.14343939869066957</v>
      </c>
      <c r="G547" s="35">
        <v>-0.13296300297105507</v>
      </c>
      <c r="H547" s="35">
        <v>-9.9408735979513524E-2</v>
      </c>
      <c r="I547" s="35">
        <v>-7.6652886853997182E-2</v>
      </c>
      <c r="J547" s="35">
        <v>-7.0051901070002143E-2</v>
      </c>
      <c r="K547" s="35">
        <v>-6.3692731715171452E-2</v>
      </c>
      <c r="M547" s="43" t="str">
        <f t="shared" si="41"/>
        <v>$million</v>
      </c>
    </row>
    <row r="548" spans="1:13" s="6" customFormat="1" x14ac:dyDescent="0.25">
      <c r="A548" s="4" t="str">
        <v>AF CH4</v>
      </c>
      <c r="B548" s="35">
        <v>-0.10077587690911491</v>
      </c>
      <c r="C548" s="35">
        <v>-0.1013916598364995</v>
      </c>
      <c r="D548" s="35">
        <v>-0.1214504526629219</v>
      </c>
      <c r="E548" s="35">
        <v>-0.13008452868254494</v>
      </c>
      <c r="F548" s="35">
        <v>-0.13855820567649904</v>
      </c>
      <c r="G548" s="35">
        <v>-0.13637812824021428</v>
      </c>
      <c r="H548" s="35">
        <v>-0.12047426439466404</v>
      </c>
      <c r="I548" s="35">
        <v>-9.1004568336158109E-2</v>
      </c>
      <c r="J548" s="35">
        <v>-8.3167683301289291E-2</v>
      </c>
      <c r="K548" s="35">
        <v>-7.5617889864087323E-2</v>
      </c>
      <c r="M548" s="43" t="str">
        <f t="shared" si="41"/>
        <v>$million</v>
      </c>
    </row>
    <row r="549" spans="1:13" s="6" customFormat="1" ht="13" thickBot="1" x14ac:dyDescent="0.3">
      <c r="A549" s="4" t="str">
        <v>LA CH4</v>
      </c>
      <c r="B549" s="49">
        <v>-0.10077587690911491</v>
      </c>
      <c r="C549" s="49">
        <v>-0.1013916598364995</v>
      </c>
      <c r="D549" s="49">
        <v>-0.1214504526629219</v>
      </c>
      <c r="E549" s="49">
        <v>-0.13008452868254494</v>
      </c>
      <c r="F549" s="49">
        <v>-0.13855820567649904</v>
      </c>
      <c r="G549" s="49">
        <v>-0.13637812824021428</v>
      </c>
      <c r="H549" s="49">
        <v>-0.12047426439466404</v>
      </c>
      <c r="I549" s="49">
        <v>-9.1004568336158109E-2</v>
      </c>
      <c r="J549" s="49">
        <v>-8.3167683301289291E-2</v>
      </c>
      <c r="K549" s="49">
        <v>-7.5617889864087323E-2</v>
      </c>
      <c r="M549" s="43" t="str">
        <f t="shared" si="41"/>
        <v>$million</v>
      </c>
    </row>
    <row r="550" spans="1:13" s="2" customFormat="1" ht="15.5" thickTop="1" x14ac:dyDescent="0.4">
      <c r="A550" s="2" t="s">
        <v>406</v>
      </c>
      <c r="B550" s="2" t="s">
        <v>409</v>
      </c>
    </row>
    <row r="551" spans="1:13" s="7" customFormat="1" x14ac:dyDescent="0.25">
      <c r="A551" s="4" t="str">
        <f t="array" ref="A551:A558">R_CODE&amp;" "&amp;'Base data'!$D$11</f>
        <v>EU N2O</v>
      </c>
      <c r="B551" s="39">
        <f t="array" ref="B551:K558">IF(Q0_N2O=0,0,(ALO_N2O/BLO_N2O)*(1-EXP(-BLO_N2O*Q0_N2O))-ALO_N2O*Q0_N2O)</f>
        <v>-0.23774958279862912</v>
      </c>
      <c r="C551" s="39">
        <v>-0.23348853775697204</v>
      </c>
      <c r="D551" s="39">
        <v>-0.23682644098885788</v>
      </c>
      <c r="E551" s="39">
        <v>-0.22827171228931989</v>
      </c>
      <c r="F551" s="39">
        <v>-0.2199327750906164</v>
      </c>
      <c r="G551" s="39">
        <v>-0.21124203342015246</v>
      </c>
      <c r="H551" s="39">
        <v>-0.19198852958669996</v>
      </c>
      <c r="I551" s="39">
        <v>-0.176213648873389</v>
      </c>
      <c r="J551" s="39">
        <v>-0.1495361761506904</v>
      </c>
      <c r="K551" s="39">
        <v>-0.12689747996670175</v>
      </c>
      <c r="M551" s="43" t="str">
        <f t="shared" ref="M551:M558" si="42">CURRENCY_NAME</f>
        <v>$million</v>
      </c>
    </row>
    <row r="552" spans="1:13" s="7" customFormat="1" x14ac:dyDescent="0.25">
      <c r="A552" s="4" t="str">
        <v>US N2O</v>
      </c>
      <c r="B552" s="35">
        <v>-0.25756204795259829</v>
      </c>
      <c r="C552" s="35">
        <v>-0.25294591582555687</v>
      </c>
      <c r="D552" s="35">
        <v>-0.25656197765898725</v>
      </c>
      <c r="E552" s="35">
        <v>-0.24729435490400598</v>
      </c>
      <c r="F552" s="35">
        <v>-0.23826050627485679</v>
      </c>
      <c r="G552" s="35">
        <v>-0.22884553613475112</v>
      </c>
      <c r="H552" s="35">
        <v>-0.20798757365492881</v>
      </c>
      <c r="I552" s="35">
        <v>-0.1908981195541001</v>
      </c>
      <c r="J552" s="35">
        <v>-0.16199752411340249</v>
      </c>
      <c r="K552" s="35">
        <v>-0.13747226992162775</v>
      </c>
      <c r="M552" s="43" t="str">
        <f t="shared" si="42"/>
        <v>$million</v>
      </c>
    </row>
    <row r="553" spans="1:13" s="7" customFormat="1" x14ac:dyDescent="0.25">
      <c r="A553" s="4" t="str">
        <v>OT N2O</v>
      </c>
      <c r="B553" s="35">
        <v>-0.23774958279862912</v>
      </c>
      <c r="C553" s="35">
        <v>-0.23348853775697204</v>
      </c>
      <c r="D553" s="35">
        <v>-0.23682644098885788</v>
      </c>
      <c r="E553" s="35">
        <v>-0.22827171228931989</v>
      </c>
      <c r="F553" s="35">
        <v>-0.2199327750906164</v>
      </c>
      <c r="G553" s="35">
        <v>-0.21124203342015246</v>
      </c>
      <c r="H553" s="35">
        <v>-0.19198852958669996</v>
      </c>
      <c r="I553" s="35">
        <v>-0.176213648873389</v>
      </c>
      <c r="J553" s="35">
        <v>-0.1495361761506904</v>
      </c>
      <c r="K553" s="35">
        <v>-0.12689747996670175</v>
      </c>
      <c r="M553" s="43" t="str">
        <f t="shared" si="42"/>
        <v>$million</v>
      </c>
    </row>
    <row r="554" spans="1:13" s="7" customFormat="1" x14ac:dyDescent="0.25">
      <c r="A554" s="4" t="str">
        <v>EE N2O</v>
      </c>
      <c r="B554" s="35">
        <v>-0.16702100070585801</v>
      </c>
      <c r="C554" s="35">
        <v>-0.16461514439377589</v>
      </c>
      <c r="D554" s="35">
        <v>-0.1661307346021561</v>
      </c>
      <c r="E554" s="35">
        <v>-0.16310984926846606</v>
      </c>
      <c r="F554" s="35">
        <v>-0.16014329412356254</v>
      </c>
      <c r="G554" s="35">
        <v>-0.15308457854822169</v>
      </c>
      <c r="H554" s="35">
        <v>-0.1379603107615342</v>
      </c>
      <c r="I554" s="35">
        <v>-0.12863814598927845</v>
      </c>
      <c r="J554" s="35">
        <v>-0.10916326051549069</v>
      </c>
      <c r="K554" s="35">
        <v>-9.2636731933046529E-2</v>
      </c>
      <c r="M554" s="43" t="str">
        <f t="shared" si="42"/>
        <v>$million</v>
      </c>
    </row>
    <row r="555" spans="1:13" s="7" customFormat="1" x14ac:dyDescent="0.25">
      <c r="A555" s="4" t="str">
        <v>CA N2O</v>
      </c>
      <c r="B555" s="35">
        <v>-0.16718090448926654</v>
      </c>
      <c r="C555" s="35">
        <v>-0.1649297448932816</v>
      </c>
      <c r="D555" s="35">
        <v>-0.16393928773539571</v>
      </c>
      <c r="E555" s="35">
        <v>-0.16834217327776768</v>
      </c>
      <c r="F555" s="35">
        <v>-0.17255822411905447</v>
      </c>
      <c r="G555" s="35">
        <v>-0.17053808460243217</v>
      </c>
      <c r="H555" s="35">
        <v>-0.16405588803754495</v>
      </c>
      <c r="I555" s="35">
        <v>-0.15886902248863533</v>
      </c>
      <c r="J555" s="35">
        <v>-0.13481740082925089</v>
      </c>
      <c r="K555" s="35">
        <v>-0.11440702083790506</v>
      </c>
      <c r="M555" s="43" t="str">
        <f t="shared" si="42"/>
        <v>$million</v>
      </c>
    </row>
    <row r="556" spans="1:13" s="7" customFormat="1" x14ac:dyDescent="0.25">
      <c r="A556" s="4" t="str">
        <v>IA N2O</v>
      </c>
      <c r="B556" s="35">
        <v>-0.16718090448926654</v>
      </c>
      <c r="C556" s="35">
        <v>-0.1649297448932816</v>
      </c>
      <c r="D556" s="35">
        <v>-0.16393928773539571</v>
      </c>
      <c r="E556" s="35">
        <v>-0.16834217327776768</v>
      </c>
      <c r="F556" s="35">
        <v>-0.17255822411905447</v>
      </c>
      <c r="G556" s="35">
        <v>-0.17053808460243217</v>
      </c>
      <c r="H556" s="35">
        <v>-0.16405588803754495</v>
      </c>
      <c r="I556" s="35">
        <v>-0.15886902248863533</v>
      </c>
      <c r="J556" s="35">
        <v>-0.13481740082925089</v>
      </c>
      <c r="K556" s="35">
        <v>-0.11440702083790506</v>
      </c>
      <c r="M556" s="43" t="str">
        <f t="shared" si="42"/>
        <v>$million</v>
      </c>
    </row>
    <row r="557" spans="1:13" s="7" customFormat="1" x14ac:dyDescent="0.25">
      <c r="A557" s="4" t="str">
        <v>AF N2O</v>
      </c>
      <c r="B557" s="35">
        <v>-0.16647698047062792</v>
      </c>
      <c r="C557" s="35">
        <v>-0.16354481926389802</v>
      </c>
      <c r="D557" s="35">
        <v>-0.16204996429048896</v>
      </c>
      <c r="E557" s="35">
        <v>-0.16457111135151858</v>
      </c>
      <c r="F557" s="35">
        <v>-0.16696720103733931</v>
      </c>
      <c r="G557" s="35">
        <v>-0.16723834333316201</v>
      </c>
      <c r="H557" s="35">
        <v>-0.16477511638849207</v>
      </c>
      <c r="I557" s="35">
        <v>-0.1607318960158107</v>
      </c>
      <c r="J557" s="35">
        <v>-0.13639824876973194</v>
      </c>
      <c r="K557" s="35">
        <v>-0.11574853982696522</v>
      </c>
      <c r="M557" s="43" t="str">
        <f t="shared" si="42"/>
        <v>$million</v>
      </c>
    </row>
    <row r="558" spans="1:13" s="7" customFormat="1" ht="13" thickBot="1" x14ac:dyDescent="0.3">
      <c r="A558" s="4" t="str">
        <v>LA N2O</v>
      </c>
      <c r="B558" s="49">
        <v>-0.16647698047062792</v>
      </c>
      <c r="C558" s="49">
        <v>-0.16354481926389802</v>
      </c>
      <c r="D558" s="49">
        <v>-0.16204996429048896</v>
      </c>
      <c r="E558" s="49">
        <v>-0.16457111135151858</v>
      </c>
      <c r="F558" s="49">
        <v>-0.16696720103733931</v>
      </c>
      <c r="G558" s="49">
        <v>-0.16723834333316201</v>
      </c>
      <c r="H558" s="49">
        <v>-0.16477511638849207</v>
      </c>
      <c r="I558" s="49">
        <v>-0.1607318960158107</v>
      </c>
      <c r="J558" s="49">
        <v>-0.13639824876973194</v>
      </c>
      <c r="K558" s="49">
        <v>-0.11574853982696522</v>
      </c>
      <c r="M558" s="43" t="str">
        <f t="shared" si="42"/>
        <v>$million</v>
      </c>
    </row>
    <row r="559" spans="1:13" s="2" customFormat="1" ht="15.5" thickTop="1" x14ac:dyDescent="0.4">
      <c r="A559" s="2" t="s">
        <v>406</v>
      </c>
      <c r="B559" s="2" t="s">
        <v>410</v>
      </c>
    </row>
    <row r="560" spans="1:13" s="7" customFormat="1" x14ac:dyDescent="0.25">
      <c r="A560" s="4" t="str">
        <f t="array" ref="A560:A567">R_CODE&amp;" "&amp;GLIN_NAME</f>
        <v>EU Lin</v>
      </c>
      <c r="B560" s="45">
        <f t="array" ref="B560:K567">IF(Q0_GLIN=0,0,(ALO_GLIN/BLO_GLIN)*(1-EXP(-BLO_GLIN*Q0_GLIN))-ALO_GLIN*Q0_GLIN)</f>
        <v>-7.8307262645488894E-3</v>
      </c>
      <c r="C560" s="45">
        <v>-7.9524534936939572E-3</v>
      </c>
      <c r="D560" s="45">
        <v>-7.1035569077637535E-3</v>
      </c>
      <c r="E560" s="45">
        <v>-7.2745842907163405E-3</v>
      </c>
      <c r="F560" s="45">
        <v>-7.4381592308048741E-3</v>
      </c>
      <c r="G560" s="45">
        <v>-7.5914305910102266E-3</v>
      </c>
      <c r="H560" s="45">
        <v>-7.935344478558504E-3</v>
      </c>
      <c r="I560" s="45">
        <v>-8.2556738159381624E-3</v>
      </c>
      <c r="J560" s="45">
        <v>-7.0058244742992959E-3</v>
      </c>
      <c r="K560" s="45">
        <v>-5.9451932887580336E-3</v>
      </c>
      <c r="M560" s="43" t="str">
        <f t="shared" ref="M560:M567" si="43">CURRENCY_NAME</f>
        <v>$million</v>
      </c>
    </row>
    <row r="561" spans="1:13" s="7" customFormat="1" x14ac:dyDescent="0.25">
      <c r="A561" s="4" t="str">
        <v>US Lin</v>
      </c>
      <c r="B561" s="46">
        <v>-8.4832867839843874E-3</v>
      </c>
      <c r="C561" s="46">
        <v>-8.6151579488509735E-3</v>
      </c>
      <c r="D561" s="46">
        <v>-7.6955199810428785E-3</v>
      </c>
      <c r="E561" s="46">
        <v>-7.8807996458511685E-3</v>
      </c>
      <c r="F561" s="46">
        <v>-8.0580058308925579E-3</v>
      </c>
      <c r="G561" s="46">
        <v>-8.2240498043972682E-3</v>
      </c>
      <c r="H561" s="46">
        <v>-8.596623182459932E-3</v>
      </c>
      <c r="I561" s="46">
        <v>-8.9436466311811139E-3</v>
      </c>
      <c r="J561" s="46">
        <v>-7.5896431781556258E-3</v>
      </c>
      <c r="K561" s="46">
        <v>-6.440626060839472E-3</v>
      </c>
      <c r="M561" s="43" t="str">
        <f t="shared" si="43"/>
        <v>$million</v>
      </c>
    </row>
    <row r="562" spans="1:13" s="7" customFormat="1" x14ac:dyDescent="0.25">
      <c r="A562" s="4" t="str">
        <v>OT Lin</v>
      </c>
      <c r="B562" s="46">
        <v>-7.8307262645488894E-3</v>
      </c>
      <c r="C562" s="46">
        <v>-7.9524534936939572E-3</v>
      </c>
      <c r="D562" s="46">
        <v>-7.1035569077637535E-3</v>
      </c>
      <c r="E562" s="46">
        <v>-7.2745842907163405E-3</v>
      </c>
      <c r="F562" s="46">
        <v>-7.4381592308048741E-3</v>
      </c>
      <c r="G562" s="46">
        <v>-7.5914305910102266E-3</v>
      </c>
      <c r="H562" s="46">
        <v>-7.935344478558504E-3</v>
      </c>
      <c r="I562" s="46">
        <v>-8.2556738159381624E-3</v>
      </c>
      <c r="J562" s="46">
        <v>-7.0058244742992959E-3</v>
      </c>
      <c r="K562" s="46">
        <v>-5.9451932887580336E-3</v>
      </c>
      <c r="M562" s="43" t="str">
        <f t="shared" si="43"/>
        <v>$million</v>
      </c>
    </row>
    <row r="563" spans="1:13" s="7" customFormat="1" x14ac:dyDescent="0.25">
      <c r="A563" s="4" t="str">
        <v>EE Lin</v>
      </c>
      <c r="B563" s="46">
        <v>-5.49917268419918E-3</v>
      </c>
      <c r="C563" s="46">
        <v>-5.6014708277451458E-3</v>
      </c>
      <c r="D563" s="46">
        <v>-9.4535236304335475E-3</v>
      </c>
      <c r="E563" s="46">
        <v>-1.3454579276710414E-2</v>
      </c>
      <c r="F563" s="46">
        <v>-1.732283941065519E-2</v>
      </c>
      <c r="G563" s="46">
        <v>-1.7648971417678669E-2</v>
      </c>
      <c r="H563" s="46">
        <v>-1.7408951274745482E-2</v>
      </c>
      <c r="I563" s="46">
        <v>-1.5291031013242046E-2</v>
      </c>
      <c r="J563" s="46">
        <v>-1.2976079445268998E-2</v>
      </c>
      <c r="K563" s="46">
        <v>-1.101159481163282E-2</v>
      </c>
      <c r="M563" s="43" t="str">
        <f t="shared" si="43"/>
        <v>$million</v>
      </c>
    </row>
    <row r="564" spans="1:13" s="7" customFormat="1" x14ac:dyDescent="0.25">
      <c r="A564" s="4" t="str">
        <v>CA Lin</v>
      </c>
      <c r="B564" s="46">
        <v>-5.641225084419027E-3</v>
      </c>
      <c r="C564" s="46">
        <v>-5.8809498689070053E-3</v>
      </c>
      <c r="D564" s="46">
        <v>-1.2033308949529295E-2</v>
      </c>
      <c r="E564" s="46">
        <v>-2.2818220273176093E-2</v>
      </c>
      <c r="F564" s="46">
        <v>-3.3248744383827973E-2</v>
      </c>
      <c r="G564" s="46">
        <v>-4.4464044839998204E-2</v>
      </c>
      <c r="H564" s="46">
        <v>-5.2391002640259768E-2</v>
      </c>
      <c r="I564" s="46">
        <v>-4.709543964988086E-2</v>
      </c>
      <c r="J564" s="46">
        <v>-3.9965530504614134E-2</v>
      </c>
      <c r="K564" s="46">
        <v>-3.3915038067157816E-2</v>
      </c>
      <c r="M564" s="43" t="str">
        <f t="shared" si="43"/>
        <v>$million</v>
      </c>
    </row>
    <row r="565" spans="1:13" s="7" customFormat="1" x14ac:dyDescent="0.25">
      <c r="A565" s="4" t="str">
        <v>IA Lin</v>
      </c>
      <c r="B565" s="46">
        <v>-5.641225084419027E-3</v>
      </c>
      <c r="C565" s="46">
        <v>-5.8809498689070053E-3</v>
      </c>
      <c r="D565" s="46">
        <v>-1.2033308949529295E-2</v>
      </c>
      <c r="E565" s="46">
        <v>-2.2818220273176093E-2</v>
      </c>
      <c r="F565" s="46">
        <v>-3.3248744383827973E-2</v>
      </c>
      <c r="G565" s="46">
        <v>-4.4464044839998204E-2</v>
      </c>
      <c r="H565" s="46">
        <v>-5.2391002640259768E-2</v>
      </c>
      <c r="I565" s="46">
        <v>-4.709543964988086E-2</v>
      </c>
      <c r="J565" s="46">
        <v>-3.9965530504614134E-2</v>
      </c>
      <c r="K565" s="46">
        <v>-3.3915038067157816E-2</v>
      </c>
      <c r="M565" s="43" t="str">
        <f t="shared" si="43"/>
        <v>$million</v>
      </c>
    </row>
    <row r="566" spans="1:13" s="7" customFormat="1" x14ac:dyDescent="0.25">
      <c r="A566" s="4" t="str">
        <v>AF Lin</v>
      </c>
      <c r="B566" s="46">
        <v>-5.7083248116116753E-3</v>
      </c>
      <c r="C566" s="46">
        <v>-6.0129643043477414E-3</v>
      </c>
      <c r="D566" s="46">
        <v>-1.2123572408557375E-2</v>
      </c>
      <c r="E566" s="46">
        <v>-2.4178805456804536E-2</v>
      </c>
      <c r="F566" s="46">
        <v>-3.5838260920352347E-2</v>
      </c>
      <c r="G566" s="46">
        <v>-4.2889795196813574E-2</v>
      </c>
      <c r="H566" s="46">
        <v>-4.7611367345844029E-2</v>
      </c>
      <c r="I566" s="46">
        <v>-4.3583051020147617E-2</v>
      </c>
      <c r="J566" s="46">
        <v>-3.6984892124990898E-2</v>
      </c>
      <c r="K566" s="46">
        <v>-3.1385646793402999E-2</v>
      </c>
      <c r="M566" s="43" t="str">
        <f t="shared" si="43"/>
        <v>$million</v>
      </c>
    </row>
    <row r="567" spans="1:13" s="7" customFormat="1" ht="13" thickBot="1" x14ac:dyDescent="0.3">
      <c r="A567" s="4" t="str">
        <v>LA Lin</v>
      </c>
      <c r="B567" s="47">
        <v>-5.7083248116116753E-3</v>
      </c>
      <c r="C567" s="47">
        <v>-6.0129643043477414E-3</v>
      </c>
      <c r="D567" s="47">
        <v>-1.2123572408557375E-2</v>
      </c>
      <c r="E567" s="47">
        <v>-2.4178805456804536E-2</v>
      </c>
      <c r="F567" s="47">
        <v>-3.5838260920352347E-2</v>
      </c>
      <c r="G567" s="47">
        <v>-4.2889795196813574E-2</v>
      </c>
      <c r="H567" s="47">
        <v>-4.7611367345844029E-2</v>
      </c>
      <c r="I567" s="47">
        <v>-4.3583051020147617E-2</v>
      </c>
      <c r="J567" s="47">
        <v>-3.6984892124990898E-2</v>
      </c>
      <c r="K567" s="47">
        <v>-3.1385646793402999E-2</v>
      </c>
      <c r="M567" s="43" t="str">
        <f t="shared" si="43"/>
        <v>$million</v>
      </c>
    </row>
    <row r="568" spans="1:13" s="2" customFormat="1" ht="15.5" thickTop="1" x14ac:dyDescent="0.4">
      <c r="A568" s="2" t="s">
        <v>411</v>
      </c>
      <c r="B568" s="2" t="s">
        <v>412</v>
      </c>
    </row>
    <row r="569" spans="1:13" s="6" customFormat="1" x14ac:dyDescent="0.25">
      <c r="A569" s="4" t="str">
        <f t="array" ref="A569:A576">R_CODE&amp;" "&amp;'Base data'!$B$11</f>
        <v>EU CO2</v>
      </c>
      <c r="B569" s="39">
        <f t="array" ref="B569:K576">IF(cbe_co2&lt;Q0_CO2,ALO_CO2*(EXP(BLO_CO2*(cbe_co2-Q0_CO2))-1),ahi_co2*(EXP(BHI_CO2*(cbe_co2-Q0_CO2))-1))</f>
        <v>-231.91957706904191</v>
      </c>
      <c r="C569" s="39">
        <v>-92.801153684434794</v>
      </c>
      <c r="D569" s="39">
        <v>13.161600680478616</v>
      </c>
      <c r="E569" s="39">
        <v>61.057161295854947</v>
      </c>
      <c r="F569" s="39">
        <v>134.79039242170822</v>
      </c>
      <c r="G569" s="39">
        <v>157.93570713264256</v>
      </c>
      <c r="H569" s="39">
        <v>181.92936130681662</v>
      </c>
      <c r="I569" s="39">
        <v>144.07558599827394</v>
      </c>
      <c r="J569" s="39">
        <v>91.218261403910475</v>
      </c>
      <c r="K569" s="39">
        <v>84.191416794027845</v>
      </c>
      <c r="M569" s="43" t="str">
        <f t="shared" ref="M569:M576" si="44">CURRENCY_NAME&amp;" per "&amp;EMIT_NAME</f>
        <v>$million per Mtonne</v>
      </c>
    </row>
    <row r="570" spans="1:13" s="6" customFormat="1" x14ac:dyDescent="0.25">
      <c r="A570" s="4" t="str">
        <v>US CO2</v>
      </c>
      <c r="B570" s="35">
        <v>-90.005145287074541</v>
      </c>
      <c r="C570" s="35">
        <v>14.495859999385996</v>
      </c>
      <c r="D570" s="35">
        <v>45.655314962930007</v>
      </c>
      <c r="E570" s="35">
        <v>88.777905553284796</v>
      </c>
      <c r="F570" s="35">
        <v>143.78565117805715</v>
      </c>
      <c r="G570" s="35">
        <v>154.07420654210813</v>
      </c>
      <c r="H570" s="35">
        <v>168.73874625368674</v>
      </c>
      <c r="I570" s="35">
        <v>102.44393317590421</v>
      </c>
      <c r="J570" s="35">
        <v>88.697297327487362</v>
      </c>
      <c r="K570" s="35">
        <v>77.1827514891459</v>
      </c>
      <c r="M570" s="43" t="str">
        <f t="shared" si="44"/>
        <v>$million per Mtonne</v>
      </c>
    </row>
    <row r="571" spans="1:13" s="6" customFormat="1" x14ac:dyDescent="0.25">
      <c r="A571" s="4" t="str">
        <v>OT CO2</v>
      </c>
      <c r="B571" s="35">
        <v>-231.91957706904191</v>
      </c>
      <c r="C571" s="35">
        <v>-230.51438672385891</v>
      </c>
      <c r="D571" s="35">
        <v>-229.11771036413222</v>
      </c>
      <c r="E571" s="35">
        <v>-227.72949640400472</v>
      </c>
      <c r="F571" s="35">
        <v>-226.3496935701757</v>
      </c>
      <c r="G571" s="35">
        <v>-53.542851290454799</v>
      </c>
      <c r="H571" s="35">
        <v>21.103815712714848</v>
      </c>
      <c r="I571" s="35">
        <v>4.891416825251186</v>
      </c>
      <c r="J571" s="35">
        <v>-206.62805508381373</v>
      </c>
      <c r="K571" s="35">
        <v>26.07091343695172</v>
      </c>
      <c r="M571" s="43" t="str">
        <f t="shared" si="44"/>
        <v>$million per Mtonne</v>
      </c>
    </row>
    <row r="572" spans="1:13" s="6" customFormat="1" x14ac:dyDescent="0.25">
      <c r="A572" s="4" t="str">
        <v>EE CO2</v>
      </c>
      <c r="B572" s="35">
        <v>-231.91957706904191</v>
      </c>
      <c r="C572" s="35">
        <v>-230.51438672385891</v>
      </c>
      <c r="D572" s="35">
        <v>-229.11771036413222</v>
      </c>
      <c r="E572" s="35">
        <v>-227.72949640400472</v>
      </c>
      <c r="F572" s="35">
        <v>-226.3496935701757</v>
      </c>
      <c r="G572" s="35">
        <v>-148.9977970345349</v>
      </c>
      <c r="H572" s="35">
        <v>9.8178353348489633</v>
      </c>
      <c r="I572" s="35">
        <v>2.5057204618470639</v>
      </c>
      <c r="J572" s="35">
        <v>-206.62805508381373</v>
      </c>
      <c r="K572" s="35">
        <v>14.954952089471764</v>
      </c>
      <c r="M572" s="43" t="str">
        <f t="shared" si="44"/>
        <v>$million per Mtonne</v>
      </c>
    </row>
    <row r="573" spans="1:13" s="6" customFormat="1" x14ac:dyDescent="0.25">
      <c r="A573" s="4" t="str">
        <v>CA CO2</v>
      </c>
      <c r="B573" s="35">
        <v>-231.91957706904191</v>
      </c>
      <c r="C573" s="35">
        <v>-230.51438672385891</v>
      </c>
      <c r="D573" s="35">
        <v>-229.11771036413222</v>
      </c>
      <c r="E573" s="35">
        <v>-8.2882875088334043</v>
      </c>
      <c r="F573" s="35">
        <v>79.260977159669096</v>
      </c>
      <c r="G573" s="35">
        <v>117.16173033114117</v>
      </c>
      <c r="H573" s="35">
        <v>167.67270738366815</v>
      </c>
      <c r="I573" s="35">
        <v>138.84989500339631</v>
      </c>
      <c r="J573" s="35">
        <v>59.411832968641498</v>
      </c>
      <c r="K573" s="35">
        <v>73.483179595954496</v>
      </c>
      <c r="M573" s="43" t="str">
        <f t="shared" si="44"/>
        <v>$million per Mtonne</v>
      </c>
    </row>
    <row r="574" spans="1:13" s="6" customFormat="1" x14ac:dyDescent="0.25">
      <c r="A574" s="4" t="str">
        <v>IA CO2</v>
      </c>
      <c r="B574" s="35">
        <v>-231.91957706904191</v>
      </c>
      <c r="C574" s="35">
        <v>-230.51438672385891</v>
      </c>
      <c r="D574" s="35">
        <v>-229.11771036413222</v>
      </c>
      <c r="E574" s="35">
        <v>-8.2882875088333989</v>
      </c>
      <c r="F574" s="35">
        <v>97.35018022341815</v>
      </c>
      <c r="G574" s="35">
        <v>142.11609874500371</v>
      </c>
      <c r="H574" s="35">
        <v>200.66423433787199</v>
      </c>
      <c r="I574" s="35">
        <v>164.23381686618396</v>
      </c>
      <c r="J574" s="35">
        <v>69.398210067142927</v>
      </c>
      <c r="K574" s="35">
        <v>85.438992013767574</v>
      </c>
      <c r="M574" s="43" t="str">
        <f t="shared" si="44"/>
        <v>$million per Mtonne</v>
      </c>
    </row>
    <row r="575" spans="1:13" s="6" customFormat="1" x14ac:dyDescent="0.25">
      <c r="A575" s="4" t="str">
        <v>AF CO2</v>
      </c>
      <c r="B575" s="35">
        <v>-231.91957706904191</v>
      </c>
      <c r="C575" s="35">
        <v>-230.51438672385891</v>
      </c>
      <c r="D575" s="35">
        <v>-229.11771036413222</v>
      </c>
      <c r="E575" s="35">
        <v>0.33196113286470169</v>
      </c>
      <c r="F575" s="35">
        <v>103.58064195748294</v>
      </c>
      <c r="G575" s="35">
        <v>158.45775577537856</v>
      </c>
      <c r="H575" s="35">
        <v>217.9990051105371</v>
      </c>
      <c r="I575" s="35">
        <v>172.68738720115283</v>
      </c>
      <c r="J575" s="35">
        <v>74.547782529554425</v>
      </c>
      <c r="K575" s="35">
        <v>91.575444322194073</v>
      </c>
      <c r="M575" s="43" t="str">
        <f t="shared" si="44"/>
        <v>$million per Mtonne</v>
      </c>
    </row>
    <row r="576" spans="1:13" s="6" customFormat="1" ht="13" thickBot="1" x14ac:dyDescent="0.3">
      <c r="A576" s="4" t="str">
        <v>LA CO2</v>
      </c>
      <c r="B576" s="49">
        <v>-231.91957706904191</v>
      </c>
      <c r="C576" s="49">
        <v>-230.51438672385891</v>
      </c>
      <c r="D576" s="49">
        <v>-229.11771036413222</v>
      </c>
      <c r="E576" s="49">
        <v>0.18841037275788916</v>
      </c>
      <c r="F576" s="49">
        <v>58.849300285228502</v>
      </c>
      <c r="G576" s="49">
        <v>90.285662805481095</v>
      </c>
      <c r="H576" s="49">
        <v>124.64140228363034</v>
      </c>
      <c r="I576" s="49">
        <v>99.037825338259964</v>
      </c>
      <c r="J576" s="49">
        <v>42.883565400817496</v>
      </c>
      <c r="K576" s="49">
        <v>52.739985901359418</v>
      </c>
      <c r="M576" s="43" t="str">
        <f t="shared" si="44"/>
        <v>$million per Mtonne</v>
      </c>
    </row>
    <row r="577" spans="1:13" s="2" customFormat="1" ht="15.5" thickTop="1" x14ac:dyDescent="0.4">
      <c r="A577" s="2" t="s">
        <v>411</v>
      </c>
      <c r="B577" s="2" t="s">
        <v>413</v>
      </c>
    </row>
    <row r="578" spans="1:13" s="6" customFormat="1" x14ac:dyDescent="0.25">
      <c r="A578" s="4" t="str">
        <f t="array" ref="A578:A585">R_CODE&amp;" "&amp;'Base data'!$C$11</f>
        <v>EU CH4</v>
      </c>
      <c r="B578" s="39">
        <f t="array" ref="B578:K585">IF(cbe_ch4&lt;Q0_CH4,ALO_CH4*(EXP(BLO_CH4*(cbe_ch4-Q0_CH4))-1),ahi_ch4*(EXP(BHI_CH4*(cbe_ch4-Q0_CH4))-1))</f>
        <v>24955.836514721763</v>
      </c>
      <c r="C578" s="39">
        <v>24092.347149475656</v>
      </c>
      <c r="D578" s="39">
        <v>23260.580763192313</v>
      </c>
      <c r="E578" s="39">
        <v>22459.267938164183</v>
      </c>
      <c r="F578" s="39">
        <v>21687.246462219668</v>
      </c>
      <c r="G578" s="39">
        <v>20943.394117409694</v>
      </c>
      <c r="H578" s="39">
        <v>19535.974224826678</v>
      </c>
      <c r="I578" s="39">
        <v>18228.815975765596</v>
      </c>
      <c r="J578" s="39">
        <v>12954.490642330316</v>
      </c>
      <c r="K578" s="39">
        <v>9277.8600020901395</v>
      </c>
      <c r="M578" s="43" t="str">
        <f t="shared" ref="M578:M585" si="45">CURRENCY_NAME&amp;" per "&amp;EMIT_NAME</f>
        <v>$million per Mtonne</v>
      </c>
    </row>
    <row r="579" spans="1:13" s="6" customFormat="1" x14ac:dyDescent="0.25">
      <c r="A579" s="4" t="str">
        <v>US CH4</v>
      </c>
      <c r="B579" s="35">
        <v>24257.762554290279</v>
      </c>
      <c r="C579" s="35">
        <v>23429.690739324327</v>
      </c>
      <c r="D579" s="35">
        <v>22631.486413524115</v>
      </c>
      <c r="E579" s="35">
        <v>21861.98126899726</v>
      </c>
      <c r="F579" s="35">
        <v>21120.10710031485</v>
      </c>
      <c r="G579" s="35">
        <v>20404.830708246849</v>
      </c>
      <c r="H579" s="35">
        <v>19050.179490141345</v>
      </c>
      <c r="I579" s="35">
        <v>17790.456595603504</v>
      </c>
      <c r="J579" s="35">
        <v>12690.747887337689</v>
      </c>
      <c r="K579" s="35">
        <v>9117.6632469613833</v>
      </c>
      <c r="M579" s="43" t="str">
        <f t="shared" si="45"/>
        <v>$million per Mtonne</v>
      </c>
    </row>
    <row r="580" spans="1:13" s="6" customFormat="1" x14ac:dyDescent="0.25">
      <c r="A580" s="4" t="str">
        <v>OT CH4</v>
      </c>
      <c r="B580" s="35">
        <v>30778.8650265049</v>
      </c>
      <c r="C580" s="35">
        <v>29713.894809655863</v>
      </c>
      <c r="D580" s="35">
        <v>28688.049600183662</v>
      </c>
      <c r="E580" s="35">
        <v>27699.76378291607</v>
      </c>
      <c r="F580" s="35">
        <v>26747.603962841844</v>
      </c>
      <c r="G580" s="35">
        <v>25830.186071157485</v>
      </c>
      <c r="H580" s="35">
        <v>24094.368204107577</v>
      </c>
      <c r="I580" s="35">
        <v>22482.206364034628</v>
      </c>
      <c r="J580" s="35">
        <v>15977.205121222556</v>
      </c>
      <c r="K580" s="35">
        <v>11442.69399948522</v>
      </c>
      <c r="M580" s="43" t="str">
        <f t="shared" si="45"/>
        <v>$million per Mtonne</v>
      </c>
    </row>
    <row r="581" spans="1:13" s="6" customFormat="1" x14ac:dyDescent="0.25">
      <c r="A581" s="4" t="str">
        <v>EE CH4</v>
      </c>
      <c r="B581" s="35">
        <v>19340.915916427115</v>
      </c>
      <c r="C581" s="35">
        <v>18639.500756178819</v>
      </c>
      <c r="D581" s="35">
        <v>17965.50622101621</v>
      </c>
      <c r="E581" s="35">
        <v>17317.748729660074</v>
      </c>
      <c r="F581" s="35">
        <v>16695.145189162587</v>
      </c>
      <c r="G581" s="35">
        <v>16096.652697381493</v>
      </c>
      <c r="H581" s="35">
        <v>14968.091675534184</v>
      </c>
      <c r="I581" s="35">
        <v>13924.543288509934</v>
      </c>
      <c r="J581" s="35">
        <v>9762.5517774235032</v>
      </c>
      <c r="K581" s="35">
        <v>6913.1989958531385</v>
      </c>
      <c r="M581" s="43" t="str">
        <f t="shared" si="45"/>
        <v>$million per Mtonne</v>
      </c>
    </row>
    <row r="582" spans="1:13" s="6" customFormat="1" x14ac:dyDescent="0.25">
      <c r="A582" s="4" t="str">
        <v>CA CH4</v>
      </c>
      <c r="B582" s="35">
        <v>27629.879880610148</v>
      </c>
      <c r="C582" s="35">
        <v>26627.859332044845</v>
      </c>
      <c r="D582" s="35">
        <v>25665.01139285805</v>
      </c>
      <c r="E582" s="35">
        <v>24739.640912617167</v>
      </c>
      <c r="F582" s="35">
        <v>23850.19718997354</v>
      </c>
      <c r="G582" s="35">
        <v>22995.191057837277</v>
      </c>
      <c r="H582" s="35">
        <v>21382.939054661634</v>
      </c>
      <c r="I582" s="35">
        <v>19892.140003566481</v>
      </c>
      <c r="J582" s="35">
        <v>13946.433743815271</v>
      </c>
      <c r="K582" s="35">
        <v>9875.9200642119067</v>
      </c>
      <c r="M582" s="43" t="str">
        <f t="shared" si="45"/>
        <v>$million per Mtonne</v>
      </c>
    </row>
    <row r="583" spans="1:13" s="6" customFormat="1" x14ac:dyDescent="0.25">
      <c r="A583" s="4" t="str">
        <v>IA CH4</v>
      </c>
      <c r="B583" s="35">
        <v>34076.851843542558</v>
      </c>
      <c r="C583" s="35">
        <v>32841.026500646032</v>
      </c>
      <c r="D583" s="35">
        <v>31653.514042636594</v>
      </c>
      <c r="E583" s="35">
        <v>30512.223783981299</v>
      </c>
      <c r="F583" s="35">
        <v>29415.243193017301</v>
      </c>
      <c r="G583" s="35">
        <v>28360.735630334249</v>
      </c>
      <c r="H583" s="35">
        <v>26372.291493621706</v>
      </c>
      <c r="I583" s="35">
        <v>24533.639331101283</v>
      </c>
      <c r="J583" s="35">
        <v>17200.60161272336</v>
      </c>
      <c r="K583" s="35">
        <v>12180.301409236046</v>
      </c>
      <c r="M583" s="43" t="str">
        <f t="shared" si="45"/>
        <v>$million per Mtonne</v>
      </c>
    </row>
    <row r="584" spans="1:13" s="6" customFormat="1" x14ac:dyDescent="0.25">
      <c r="A584" s="4" t="str">
        <v>AF CH4</v>
      </c>
      <c r="B584" s="35">
        <v>34076.851843542579</v>
      </c>
      <c r="C584" s="35">
        <v>32841.026448543125</v>
      </c>
      <c r="D584" s="35">
        <v>31653.513924907249</v>
      </c>
      <c r="E584" s="35">
        <v>30512.222400025614</v>
      </c>
      <c r="F584" s="35">
        <v>29415.242235565394</v>
      </c>
      <c r="G584" s="35">
        <v>28360.736639565399</v>
      </c>
      <c r="H584" s="35">
        <v>26372.290515141165</v>
      </c>
      <c r="I584" s="35">
        <v>24533.623265292172</v>
      </c>
      <c r="J584" s="35">
        <v>17200.567908943751</v>
      </c>
      <c r="K584" s="35">
        <v>12180.24902618771</v>
      </c>
      <c r="M584" s="43" t="str">
        <f t="shared" si="45"/>
        <v>$million per Mtonne</v>
      </c>
    </row>
    <row r="585" spans="1:13" s="6" customFormat="1" ht="13" thickBot="1" x14ac:dyDescent="0.3">
      <c r="A585" s="4" t="str">
        <v>LA CH4</v>
      </c>
      <c r="B585" s="49">
        <v>19340.915916427115</v>
      </c>
      <c r="C585" s="49">
        <v>18639.501502859475</v>
      </c>
      <c r="D585" s="49">
        <v>17965.507908181276</v>
      </c>
      <c r="E585" s="49">
        <v>17317.747853343655</v>
      </c>
      <c r="F585" s="49">
        <v>16695.137489562825</v>
      </c>
      <c r="G585" s="49">
        <v>16096.634313292963</v>
      </c>
      <c r="H585" s="49">
        <v>14968.056782909325</v>
      </c>
      <c r="I585" s="49">
        <v>13924.488884064338</v>
      </c>
      <c r="J585" s="49">
        <v>9762.4844914984751</v>
      </c>
      <c r="K585" s="49">
        <v>6913.1143140290005</v>
      </c>
      <c r="M585" s="43" t="str">
        <f t="shared" si="45"/>
        <v>$million per Mtonne</v>
      </c>
    </row>
    <row r="586" spans="1:13" s="2" customFormat="1" ht="15.5" thickTop="1" x14ac:dyDescent="0.4">
      <c r="A586" s="2" t="s">
        <v>411</v>
      </c>
      <c r="B586" s="2" t="s">
        <v>414</v>
      </c>
    </row>
    <row r="587" spans="1:13" s="7" customFormat="1" x14ac:dyDescent="0.25">
      <c r="A587" s="4" t="str">
        <f t="array" ref="A587:A594">R_CODE&amp;" "&amp;'Base data'!$D$11</f>
        <v>EU N2O</v>
      </c>
      <c r="B587" s="39">
        <f t="array" ref="B587:K594">IF(cbe_n2o&lt;Q0_N2O,ALO_N2O*(EXP(BLO_N2O*(cbe_n2o-Q0_N2O))-1),ahi_n2o*(EXP(BHI_N2O*(cbe_n2o-Q0_N2O))-1))</f>
        <v>107704.13652975413</v>
      </c>
      <c r="C587" s="39">
        <v>103955.53731787209</v>
      </c>
      <c r="D587" s="39">
        <v>100352.45599322667</v>
      </c>
      <c r="E587" s="39">
        <v>96881.457102769244</v>
      </c>
      <c r="F587" s="39">
        <v>93537.785018207229</v>
      </c>
      <c r="G587" s="39">
        <v>90316.54584437146</v>
      </c>
      <c r="H587" s="39">
        <v>84229.213170263611</v>
      </c>
      <c r="I587" s="39">
        <v>78571.857971614299</v>
      </c>
      <c r="J587" s="39">
        <v>55793.242572487703</v>
      </c>
      <c r="K587" s="39">
        <v>39905.542040646731</v>
      </c>
      <c r="M587" s="43" t="str">
        <f t="shared" ref="M587:M594" si="46">CURRENCY_NAME&amp;" per "&amp;EMIT_NAME</f>
        <v>$million per Mtonne</v>
      </c>
    </row>
    <row r="588" spans="1:13" s="7" customFormat="1" x14ac:dyDescent="0.25">
      <c r="A588" s="4" t="str">
        <v>US N2O</v>
      </c>
      <c r="B588" s="35">
        <v>104691.3962796798</v>
      </c>
      <c r="C588" s="35">
        <v>101096.25578971619</v>
      </c>
      <c r="D588" s="35">
        <v>97638.372295859794</v>
      </c>
      <c r="E588" s="35">
        <v>94304.970505954479</v>
      </c>
      <c r="F588" s="35">
        <v>91091.694879395523</v>
      </c>
      <c r="G588" s="35">
        <v>87994.038491405066</v>
      </c>
      <c r="H588" s="35">
        <v>82134.712645544292</v>
      </c>
      <c r="I588" s="35">
        <v>76682.392906828332</v>
      </c>
      <c r="J588" s="35">
        <v>54657.338127278854</v>
      </c>
      <c r="K588" s="35">
        <v>39216.510481092526</v>
      </c>
      <c r="M588" s="43" t="str">
        <f t="shared" si="46"/>
        <v>$million per Mtonne</v>
      </c>
    </row>
    <row r="589" spans="1:13" s="7" customFormat="1" x14ac:dyDescent="0.25">
      <c r="A589" s="4" t="str">
        <v>OT N2O</v>
      </c>
      <c r="B589" s="35">
        <v>132835.10168412872</v>
      </c>
      <c r="C589" s="35">
        <v>128211.82932405706</v>
      </c>
      <c r="D589" s="35">
        <v>123768.02902486206</v>
      </c>
      <c r="E589" s="35">
        <v>119487.13039445491</v>
      </c>
      <c r="F589" s="35">
        <v>115363.26815794296</v>
      </c>
      <c r="G589" s="35">
        <v>111390.40651128595</v>
      </c>
      <c r="H589" s="35">
        <v>103882.69621524872</v>
      </c>
      <c r="I589" s="35">
        <v>96905.291472133686</v>
      </c>
      <c r="J589" s="35">
        <v>68811.665820803755</v>
      </c>
      <c r="K589" s="35">
        <v>49216.835170162441</v>
      </c>
      <c r="M589" s="43" t="str">
        <f t="shared" si="46"/>
        <v>$million per Mtonne</v>
      </c>
    </row>
    <row r="590" spans="1:13" s="7" customFormat="1" x14ac:dyDescent="0.25">
      <c r="A590" s="4" t="str">
        <v>EE N2O</v>
      </c>
      <c r="B590" s="35">
        <v>83471.321317741415</v>
      </c>
      <c r="C590" s="35">
        <v>80427.155889725356</v>
      </c>
      <c r="D590" s="35">
        <v>77508.0346785945</v>
      </c>
      <c r="E590" s="35">
        <v>74702.711577181573</v>
      </c>
      <c r="F590" s="35">
        <v>72006.612448257903</v>
      </c>
      <c r="G590" s="35">
        <v>69415.200481876396</v>
      </c>
      <c r="H590" s="35">
        <v>64534.489216994261</v>
      </c>
      <c r="I590" s="35">
        <v>60018.670055697883</v>
      </c>
      <c r="J590" s="35">
        <v>42045.257333736445</v>
      </c>
      <c r="K590" s="35">
        <v>29733.739264048243</v>
      </c>
      <c r="M590" s="43" t="str">
        <f t="shared" si="46"/>
        <v>$million per Mtonne</v>
      </c>
    </row>
    <row r="591" spans="1:13" s="7" customFormat="1" x14ac:dyDescent="0.25">
      <c r="A591" s="4" t="str">
        <v>CA N2O</v>
      </c>
      <c r="B591" s="35">
        <v>119244.74473963051</v>
      </c>
      <c r="C591" s="35">
        <v>114895.92900776255</v>
      </c>
      <c r="D591" s="35">
        <v>110725.74589594577</v>
      </c>
      <c r="E591" s="35">
        <v>106718.21201766792</v>
      </c>
      <c r="F591" s="35">
        <v>102866.47646427451</v>
      </c>
      <c r="G591" s="35">
        <v>99164.083611903174</v>
      </c>
      <c r="H591" s="35">
        <v>92190.917094404926</v>
      </c>
      <c r="I591" s="35">
        <v>85738.384484279537</v>
      </c>
      <c r="J591" s="35">
        <v>60059.222402694635</v>
      </c>
      <c r="K591" s="35">
        <v>42468.683418683075</v>
      </c>
      <c r="M591" s="43" t="str">
        <f t="shared" si="46"/>
        <v>$million per Mtonne</v>
      </c>
    </row>
    <row r="592" spans="1:13" s="7" customFormat="1" x14ac:dyDescent="0.25">
      <c r="A592" s="4" t="str">
        <v>IA N2O</v>
      </c>
      <c r="B592" s="35">
        <v>147068.51847246272</v>
      </c>
      <c r="C592" s="35">
        <v>141704.97907127516</v>
      </c>
      <c r="D592" s="35">
        <v>136561.75323475787</v>
      </c>
      <c r="E592" s="35">
        <v>131619.12811955102</v>
      </c>
      <c r="F592" s="35">
        <v>126868.65427164975</v>
      </c>
      <c r="G592" s="35">
        <v>122302.36975495922</v>
      </c>
      <c r="H592" s="35">
        <v>113702.13105236909</v>
      </c>
      <c r="I592" s="35">
        <v>105744.00750203196</v>
      </c>
      <c r="J592" s="35">
        <v>74073.040943303626</v>
      </c>
      <c r="K592" s="35">
        <v>52378.042868886245</v>
      </c>
      <c r="M592" s="43" t="str">
        <f t="shared" si="46"/>
        <v>$million per Mtonne</v>
      </c>
    </row>
    <row r="593" spans="1:13" s="7" customFormat="1" x14ac:dyDescent="0.25">
      <c r="A593" s="4" t="str">
        <v>AF N2O</v>
      </c>
      <c r="B593" s="35">
        <v>147068.51847246263</v>
      </c>
      <c r="C593" s="35">
        <v>141705.02238422583</v>
      </c>
      <c r="D593" s="35">
        <v>136561.85058639542</v>
      </c>
      <c r="E593" s="35">
        <v>131619.29622495797</v>
      </c>
      <c r="F593" s="35">
        <v>126868.96152113999</v>
      </c>
      <c r="G593" s="35">
        <v>122302.87679363818</v>
      </c>
      <c r="H593" s="35">
        <v>113702.77849888247</v>
      </c>
      <c r="I593" s="35">
        <v>105744.55984930297</v>
      </c>
      <c r="J593" s="35">
        <v>74073.15069591155</v>
      </c>
      <c r="K593" s="35">
        <v>52377.796229001302</v>
      </c>
      <c r="M593" s="43" t="str">
        <f t="shared" si="46"/>
        <v>$million per Mtonne</v>
      </c>
    </row>
    <row r="594" spans="1:13" s="7" customFormat="1" ht="13" thickBot="1" x14ac:dyDescent="0.3">
      <c r="A594" s="4" t="str">
        <v>LA N2O</v>
      </c>
      <c r="B594" s="49">
        <v>83471.321317741298</v>
      </c>
      <c r="C594" s="49">
        <v>80427.174888459849</v>
      </c>
      <c r="D594" s="49">
        <v>77508.077380794159</v>
      </c>
      <c r="E594" s="49">
        <v>74702.843823544448</v>
      </c>
      <c r="F594" s="49">
        <v>72006.70790983802</v>
      </c>
      <c r="G594" s="49">
        <v>69415.14630704197</v>
      </c>
      <c r="H594" s="49">
        <v>64534.009435726264</v>
      </c>
      <c r="I594" s="49">
        <v>60017.182633392818</v>
      </c>
      <c r="J594" s="49">
        <v>42041.517973906964</v>
      </c>
      <c r="K594" s="49">
        <v>29727.938408278558</v>
      </c>
      <c r="M594" s="43" t="str">
        <f t="shared" si="46"/>
        <v>$million per Mtonne</v>
      </c>
    </row>
    <row r="595" spans="1:13" s="2" customFormat="1" ht="15.5" thickTop="1" x14ac:dyDescent="0.4">
      <c r="A595" s="2" t="s">
        <v>411</v>
      </c>
      <c r="B595" s="2" t="s">
        <v>415</v>
      </c>
    </row>
    <row r="596" spans="1:13" s="7" customFormat="1" x14ac:dyDescent="0.25">
      <c r="A596" s="4" t="str">
        <f t="array" ref="A596:A603">R_CODE&amp;" "&amp;GLIN_NAME</f>
        <v>EU Lin</v>
      </c>
      <c r="B596" s="39">
        <f t="array" ref="B596:K603">IF(cbe_glin&lt;Q0_GLIN,ALO_GLIN*(EXP(BLO_GLIN*(cbe_glin-Q0_GLIN))-1),ahi_glin*(EXP(BHI_GLIN*(cbe_glin-Q0_GLIN))-1))</f>
        <v>569.78972652275559</v>
      </c>
      <c r="C596" s="39">
        <v>552.4910913342469</v>
      </c>
      <c r="D596" s="39">
        <v>535.74449068281172</v>
      </c>
      <c r="E596" s="39">
        <v>519.52983403119174</v>
      </c>
      <c r="F596" s="39">
        <v>503.82872391855909</v>
      </c>
      <c r="G596" s="39">
        <v>488.62430079293352</v>
      </c>
      <c r="H596" s="39">
        <v>459.6464592194211</v>
      </c>
      <c r="I596" s="39">
        <v>432.46659081688455</v>
      </c>
      <c r="J596" s="39">
        <v>319.82303463306948</v>
      </c>
      <c r="K596" s="39">
        <v>237.66691752770913</v>
      </c>
      <c r="M596" s="43" t="str">
        <f t="shared" ref="M596:M603" si="47">CURRENCY_NAME&amp;" per "&amp;EMIT_NAME</f>
        <v>$million per Mtonne</v>
      </c>
    </row>
    <row r="597" spans="1:13" s="7" customFormat="1" x14ac:dyDescent="0.25">
      <c r="A597" s="4" t="str">
        <v>US Lin</v>
      </c>
      <c r="B597" s="35">
        <v>557.16338264151545</v>
      </c>
      <c r="C597" s="35">
        <v>540.4440364970576</v>
      </c>
      <c r="D597" s="35">
        <v>524.24935296235537</v>
      </c>
      <c r="E597" s="35">
        <v>508.56060446005745</v>
      </c>
      <c r="F597" s="35">
        <v>493.36066644940081</v>
      </c>
      <c r="G597" s="35">
        <v>478.63387013766049</v>
      </c>
      <c r="H597" s="35">
        <v>450.5450101766412</v>
      </c>
      <c r="I597" s="35">
        <v>424.17283824036269</v>
      </c>
      <c r="J597" s="35">
        <v>314.58946101034741</v>
      </c>
      <c r="K597" s="35">
        <v>234.34136275252851</v>
      </c>
      <c r="M597" s="43" t="str">
        <f t="shared" si="47"/>
        <v>$million per Mtonne</v>
      </c>
    </row>
    <row r="598" spans="1:13" s="7" customFormat="1" x14ac:dyDescent="0.25">
      <c r="A598" s="4" t="str">
        <v>OT Lin</v>
      </c>
      <c r="B598" s="35">
        <v>702.74066252146872</v>
      </c>
      <c r="C598" s="35">
        <v>681.4056791280741</v>
      </c>
      <c r="D598" s="35">
        <v>660.75153833021977</v>
      </c>
      <c r="E598" s="35">
        <v>640.75346179862663</v>
      </c>
      <c r="F598" s="35">
        <v>621.3887593316133</v>
      </c>
      <c r="G598" s="35">
        <v>602.63663748174338</v>
      </c>
      <c r="H598" s="35">
        <v>566.89729955073722</v>
      </c>
      <c r="I598" s="35">
        <v>533.37546186333554</v>
      </c>
      <c r="J598" s="35">
        <v>394.448409274178</v>
      </c>
      <c r="K598" s="35">
        <v>293.12253153828561</v>
      </c>
      <c r="M598" s="43" t="str">
        <f t="shared" si="47"/>
        <v>$million per Mtonne</v>
      </c>
    </row>
    <row r="599" spans="1:13" s="7" customFormat="1" x14ac:dyDescent="0.25">
      <c r="A599" s="4" t="str">
        <v>EE Lin</v>
      </c>
      <c r="B599" s="35">
        <v>432.16094988319986</v>
      </c>
      <c r="C599" s="35">
        <v>418.49739344256028</v>
      </c>
      <c r="D599" s="35">
        <v>405.29535979103093</v>
      </c>
      <c r="E599" s="35">
        <v>392.53650774265645</v>
      </c>
      <c r="F599" s="35">
        <v>380.204456958766</v>
      </c>
      <c r="G599" s="35">
        <v>368.28409059124584</v>
      </c>
      <c r="H599" s="35">
        <v>345.62646213137157</v>
      </c>
      <c r="I599" s="35">
        <v>324.44825716926755</v>
      </c>
      <c r="J599" s="35">
        <v>237.4900458168151</v>
      </c>
      <c r="K599" s="35">
        <v>174.96541245744757</v>
      </c>
      <c r="M599" s="43" t="str">
        <f t="shared" si="47"/>
        <v>$million per Mtonne</v>
      </c>
    </row>
    <row r="600" spans="1:13" s="7" customFormat="1" x14ac:dyDescent="0.25">
      <c r="A600" s="4" t="str">
        <v>CA Lin</v>
      </c>
      <c r="B600" s="35">
        <v>617.37278554742761</v>
      </c>
      <c r="C600" s="35">
        <v>597.85338827732926</v>
      </c>
      <c r="D600" s="35">
        <v>578.99330124596247</v>
      </c>
      <c r="E600" s="35">
        <v>560.76600903694543</v>
      </c>
      <c r="F600" s="35">
        <v>543.14751025715043</v>
      </c>
      <c r="G600" s="35">
        <v>526.11629736489556</v>
      </c>
      <c r="H600" s="35">
        <v>493.7432602767181</v>
      </c>
      <c r="I600" s="35">
        <v>463.48039646976491</v>
      </c>
      <c r="J600" s="35">
        <v>339.24076915370853</v>
      </c>
      <c r="K600" s="35">
        <v>249.90563656367632</v>
      </c>
      <c r="M600" s="43" t="str">
        <f t="shared" si="47"/>
        <v>$million per Mtonne</v>
      </c>
    </row>
    <row r="601" spans="1:13" s="7" customFormat="1" x14ac:dyDescent="0.25">
      <c r="A601" s="4" t="str">
        <v>IA Lin</v>
      </c>
      <c r="B601" s="35">
        <v>761.42643530270311</v>
      </c>
      <c r="C601" s="35">
        <v>737.35251200942162</v>
      </c>
      <c r="D601" s="35">
        <v>714.09173801035593</v>
      </c>
      <c r="E601" s="35">
        <v>691.61141095864389</v>
      </c>
      <c r="F601" s="35">
        <v>669.88192913610305</v>
      </c>
      <c r="G601" s="35">
        <v>648.87676657466579</v>
      </c>
      <c r="H601" s="35">
        <v>608.95002084337125</v>
      </c>
      <c r="I601" s="35">
        <v>571.62582215821647</v>
      </c>
      <c r="J601" s="35">
        <v>418.39694850982687</v>
      </c>
      <c r="K601" s="35">
        <v>308.21695167856564</v>
      </c>
      <c r="M601" s="43" t="str">
        <f t="shared" si="47"/>
        <v>$million per Mtonne</v>
      </c>
    </row>
    <row r="602" spans="1:13" s="7" customFormat="1" x14ac:dyDescent="0.25">
      <c r="A602" s="4" t="str">
        <v>AF Lin</v>
      </c>
      <c r="B602" s="35">
        <v>761.42643530270345</v>
      </c>
      <c r="C602" s="35">
        <v>737.35249399248494</v>
      </c>
      <c r="D602" s="35">
        <v>714.09169729757662</v>
      </c>
      <c r="E602" s="35">
        <v>691.61135586779812</v>
      </c>
      <c r="F602" s="35">
        <v>669.88164335978729</v>
      </c>
      <c r="G602" s="35">
        <v>648.87605423464026</v>
      </c>
      <c r="H602" s="35">
        <v>608.94973126937475</v>
      </c>
      <c r="I602" s="35">
        <v>571.62703783681502</v>
      </c>
      <c r="J602" s="35">
        <v>418.4003169023249</v>
      </c>
      <c r="K602" s="35">
        <v>308.22247200078289</v>
      </c>
      <c r="M602" s="43" t="str">
        <f t="shared" si="47"/>
        <v>$million per Mtonne</v>
      </c>
    </row>
    <row r="603" spans="1:13" s="7" customFormat="1" ht="13" thickBot="1" x14ac:dyDescent="0.3">
      <c r="A603" s="4" t="str">
        <v>LA Lin</v>
      </c>
      <c r="B603" s="49">
        <v>432.16094988319941</v>
      </c>
      <c r="C603" s="49">
        <v>418.49736156830141</v>
      </c>
      <c r="D603" s="49">
        <v>405.29528776492054</v>
      </c>
      <c r="E603" s="49">
        <v>392.53617505808427</v>
      </c>
      <c r="F603" s="49">
        <v>380.2030949826368</v>
      </c>
      <c r="G603" s="49">
        <v>368.28100385433112</v>
      </c>
      <c r="H603" s="49">
        <v>345.62011784089378</v>
      </c>
      <c r="I603" s="49">
        <v>324.43696750858066</v>
      </c>
      <c r="J603" s="49">
        <v>237.47045019793316</v>
      </c>
      <c r="K603" s="49">
        <v>174.9370787504273</v>
      </c>
      <c r="M603" s="43" t="str">
        <f t="shared" si="47"/>
        <v>$million per Mtonne</v>
      </c>
    </row>
    <row r="604" spans="1:13" s="2" customFormat="1" ht="15.5" thickTop="1" x14ac:dyDescent="0.4">
      <c r="A604" s="2" t="s">
        <v>416</v>
      </c>
      <c r="B604" s="2" t="s">
        <v>417</v>
      </c>
    </row>
    <row r="605" spans="1:13" s="6" customFormat="1" x14ac:dyDescent="0.25">
      <c r="A605" s="4" t="str">
        <f t="array" ref="A605:A612">R_CODE&amp;" "&amp;'Base data'!$B$11</f>
        <v>EU CO2</v>
      </c>
      <c r="B605" s="107">
        <f t="array" ref="B605:K612">IF(cbe_co2&lt;Q0_CO2,(ALO_CO2/BLO_CO2)*(EXP(BLO_CO2*(cbe_co2-Q0_CO2))-EXP(-BLO_CO2*Q0_CO2))-ALO_CO2*cbe_co2,(ahi_co2/BHI_CO2)*(EXP(BHI_CO2*(cbe_co2-Q0_CO2))-1)-ahi_co2*(cbe_co2-Q0_CO2)+TCQ0_CO2)</f>
        <v>0</v>
      </c>
      <c r="C605" s="107">
        <v>-48032.795984681725</v>
      </c>
      <c r="D605" s="107">
        <v>-68234.99140531497</v>
      </c>
      <c r="E605" s="107">
        <v>-36417.42098533512</v>
      </c>
      <c r="F605" s="107">
        <v>49565.652941149718</v>
      </c>
      <c r="G605" s="107">
        <v>84497.080894675135</v>
      </c>
      <c r="H605" s="107">
        <v>113497.7088331757</v>
      </c>
      <c r="I605" s="107">
        <v>65496.011806320123</v>
      </c>
      <c r="J605" s="107">
        <v>34739.521187516366</v>
      </c>
      <c r="K605" s="107">
        <v>48275.335169646103</v>
      </c>
      <c r="M605" s="43" t="str">
        <f t="shared" ref="M605:M612" si="48">CURRENCY_NAME</f>
        <v>$million</v>
      </c>
    </row>
    <row r="606" spans="1:13" s="6" customFormat="1" x14ac:dyDescent="0.25">
      <c r="A606" s="4" t="str">
        <v>US CO2</v>
      </c>
      <c r="B606" s="91">
        <v>-116125.60769868035</v>
      </c>
      <c r="C606" s="91">
        <v>-158243.99124211352</v>
      </c>
      <c r="D606" s="91">
        <v>-122965.51668185979</v>
      </c>
      <c r="E606" s="91">
        <v>-26686.498486508906</v>
      </c>
      <c r="F606" s="91">
        <v>134687.36747042256</v>
      </c>
      <c r="G606" s="91">
        <v>176201.57760606977</v>
      </c>
      <c r="H606" s="91">
        <v>216014.41208106308</v>
      </c>
      <c r="I606" s="91">
        <v>51811.483321427135</v>
      </c>
      <c r="J606" s="91">
        <v>69371.906975286984</v>
      </c>
      <c r="K606" s="91">
        <v>85830.396332595134</v>
      </c>
      <c r="M606" s="43" t="str">
        <f t="shared" si="48"/>
        <v>$million</v>
      </c>
    </row>
    <row r="607" spans="1:13" s="6" customFormat="1" x14ac:dyDescent="0.25">
      <c r="A607" s="4" t="str">
        <v>OT CO2</v>
      </c>
      <c r="B607" s="91">
        <v>0</v>
      </c>
      <c r="C607" s="91">
        <v>0</v>
      </c>
      <c r="D607" s="91">
        <v>0</v>
      </c>
      <c r="E607" s="91">
        <v>0</v>
      </c>
      <c r="F607" s="91">
        <v>0</v>
      </c>
      <c r="G607" s="91">
        <v>-19322.987827328048</v>
      </c>
      <c r="H607" s="91">
        <v>-17322.389291258558</v>
      </c>
      <c r="I607" s="91">
        <v>-15175.267363472405</v>
      </c>
      <c r="J607" s="91">
        <v>0</v>
      </c>
      <c r="K607" s="91">
        <v>-7585.8002635201465</v>
      </c>
      <c r="M607" s="43" t="str">
        <f t="shared" si="48"/>
        <v>$million</v>
      </c>
    </row>
    <row r="608" spans="1:13" s="6" customFormat="1" x14ac:dyDescent="0.25">
      <c r="A608" s="4" t="str">
        <v>EE CO2</v>
      </c>
      <c r="B608" s="91">
        <v>0</v>
      </c>
      <c r="C608" s="91">
        <v>0</v>
      </c>
      <c r="D608" s="91">
        <v>0</v>
      </c>
      <c r="E608" s="91">
        <v>0</v>
      </c>
      <c r="F608" s="91">
        <v>0</v>
      </c>
      <c r="G608" s="91">
        <v>-7801.5408865916843</v>
      </c>
      <c r="H608" s="91">
        <v>-15107.63089127354</v>
      </c>
      <c r="I608" s="91">
        <v>-13133.857492562123</v>
      </c>
      <c r="J608" s="91">
        <v>0</v>
      </c>
      <c r="K608" s="91">
        <v>-7156.9921969943589</v>
      </c>
      <c r="M608" s="43" t="str">
        <f t="shared" si="48"/>
        <v>$million</v>
      </c>
    </row>
    <row r="609" spans="1:13" s="6" customFormat="1" x14ac:dyDescent="0.25">
      <c r="A609" s="4" t="str">
        <v>CA CO2</v>
      </c>
      <c r="B609" s="91">
        <v>0</v>
      </c>
      <c r="C609" s="91">
        <v>0</v>
      </c>
      <c r="D609" s="91">
        <v>0</v>
      </c>
      <c r="E609" s="91">
        <v>-41091.43211847666</v>
      </c>
      <c r="F609" s="91">
        <v>3243.773796053807</v>
      </c>
      <c r="G609" s="91">
        <v>54477.892157903487</v>
      </c>
      <c r="H609" s="91">
        <v>146182.83522297413</v>
      </c>
      <c r="I609" s="91">
        <v>104781.1595636213</v>
      </c>
      <c r="J609" s="91">
        <v>17909.679727279261</v>
      </c>
      <c r="K609" s="91">
        <v>64242.775247841433</v>
      </c>
      <c r="M609" s="43" t="str">
        <f t="shared" si="48"/>
        <v>$million</v>
      </c>
    </row>
    <row r="610" spans="1:13" s="6" customFormat="1" x14ac:dyDescent="0.25">
      <c r="A610" s="4" t="str">
        <v>IA CO2</v>
      </c>
      <c r="B610" s="91">
        <v>0</v>
      </c>
      <c r="C610" s="91">
        <v>0</v>
      </c>
      <c r="D610" s="91">
        <v>0</v>
      </c>
      <c r="E610" s="91">
        <v>-67557.849149624526</v>
      </c>
      <c r="F610" s="91">
        <v>24168.885709890921</v>
      </c>
      <c r="G610" s="91">
        <v>125418.90695218883</v>
      </c>
      <c r="H610" s="91">
        <v>303145.94616716646</v>
      </c>
      <c r="I610" s="91">
        <v>216529.31789596219</v>
      </c>
      <c r="J610" s="91">
        <v>44624.615862270293</v>
      </c>
      <c r="K610" s="91">
        <v>131429.67075498885</v>
      </c>
      <c r="M610" s="43" t="str">
        <f t="shared" si="48"/>
        <v>$million</v>
      </c>
    </row>
    <row r="611" spans="1:13" s="6" customFormat="1" x14ac:dyDescent="0.25">
      <c r="A611" s="4" t="str">
        <v>AF CO2</v>
      </c>
      <c r="B611" s="91">
        <v>0</v>
      </c>
      <c r="C611" s="91">
        <v>0</v>
      </c>
      <c r="D611" s="91">
        <v>0</v>
      </c>
      <c r="E611" s="91">
        <v>-38849.443487019853</v>
      </c>
      <c r="F611" s="91">
        <v>19856.396287228257</v>
      </c>
      <c r="G611" s="91">
        <v>94991.368298763584</v>
      </c>
      <c r="H611" s="91">
        <v>205751.54312533775</v>
      </c>
      <c r="I611" s="91">
        <v>131527.99203923892</v>
      </c>
      <c r="J611" s="91">
        <v>30160.6580536455</v>
      </c>
      <c r="K611" s="91">
        <v>82144.746576946767</v>
      </c>
      <c r="M611" s="43" t="str">
        <f t="shared" si="48"/>
        <v>$million</v>
      </c>
    </row>
    <row r="612" spans="1:13" s="6" customFormat="1" ht="13" thickBot="1" x14ac:dyDescent="0.3">
      <c r="A612" s="4" t="str">
        <v>LA CO2</v>
      </c>
      <c r="B612" s="108">
        <v>0</v>
      </c>
      <c r="C612" s="108">
        <v>0</v>
      </c>
      <c r="D612" s="108">
        <v>0</v>
      </c>
      <c r="E612" s="108">
        <v>-33137.953275143453</v>
      </c>
      <c r="F612" s="108">
        <v>-6688.9503059722483</v>
      </c>
      <c r="G612" s="108">
        <v>28985.050421072185</v>
      </c>
      <c r="H612" s="108">
        <v>83172.034704418096</v>
      </c>
      <c r="I612" s="108">
        <v>49963.453341293505</v>
      </c>
      <c r="J612" s="108">
        <v>2318.5663104420819</v>
      </c>
      <c r="K612" s="108">
        <v>29500.529993267075</v>
      </c>
      <c r="M612" s="43" t="str">
        <f t="shared" si="48"/>
        <v>$million</v>
      </c>
    </row>
    <row r="613" spans="1:13" s="2" customFormat="1" ht="15.5" thickTop="1" x14ac:dyDescent="0.4">
      <c r="A613" s="2" t="s">
        <v>416</v>
      </c>
      <c r="B613" s="2" t="s">
        <v>418</v>
      </c>
    </row>
    <row r="614" spans="1:13" s="6" customFormat="1" x14ac:dyDescent="0.25">
      <c r="A614" s="4" t="str">
        <f t="array" ref="A614:A621">R_CODE&amp;" "&amp;'Base data'!$C$11</f>
        <v>EU CH4</v>
      </c>
      <c r="B614" s="107">
        <f t="array" ref="B614:K621">IF(cbe_ch4&lt;Q0_CH4,(ALO_CH4/BLO_CH4)*(EXP(BLO_CH4*(cbe_ch4-Q0_CH4))-EXP(-BLO_CH4*Q0_CH4))-ALO_CH4*cbe_ch4,(ahi_ch4/BHI_CH4)*(EXP(BHI_CH4*(cbe_ch4-Q0_CH4))-1)-ahi_ch4*(cbe_ch4-Q0_CH4)+TCQ0_CH4)</f>
        <v>6.2938535207478541</v>
      </c>
      <c r="C614" s="107">
        <v>6.135032567882857</v>
      </c>
      <c r="D614" s="107">
        <v>5.812954280919131</v>
      </c>
      <c r="E614" s="107">
        <v>5.2453394204462622</v>
      </c>
      <c r="F614" s="107">
        <v>4.6998094023470207</v>
      </c>
      <c r="G614" s="107">
        <v>4.2481377512508125</v>
      </c>
      <c r="H614" s="107">
        <v>3.513420098432178</v>
      </c>
      <c r="I614" s="107">
        <v>3.0569526857438021</v>
      </c>
      <c r="J614" s="107">
        <v>2.442725278564883</v>
      </c>
      <c r="K614" s="107">
        <v>1.9506625692946724</v>
      </c>
      <c r="M614" s="43" t="str">
        <f t="shared" ref="M614:M621" si="49">CURRENCY_NAME</f>
        <v>$million</v>
      </c>
    </row>
    <row r="615" spans="1:13" s="6" customFormat="1" x14ac:dyDescent="0.25">
      <c r="A615" s="4" t="str">
        <v>US CH4</v>
      </c>
      <c r="B615" s="91">
        <v>6.0781211014284127</v>
      </c>
      <c r="C615" s="91">
        <v>5.927513542306956</v>
      </c>
      <c r="D615" s="91">
        <v>5.6189059443892244</v>
      </c>
      <c r="E615" s="91">
        <v>5.0725215106468902</v>
      </c>
      <c r="F615" s="91">
        <v>4.5469725526630214</v>
      </c>
      <c r="G615" s="91">
        <v>4.1117705158285949</v>
      </c>
      <c r="H615" s="91">
        <v>3.403503563883119</v>
      </c>
      <c r="I615" s="91">
        <v>2.9637192612151111</v>
      </c>
      <c r="J615" s="91">
        <v>2.3768163495153192</v>
      </c>
      <c r="K615" s="91">
        <v>1.9037024934446436</v>
      </c>
      <c r="M615" s="43" t="str">
        <f t="shared" si="49"/>
        <v>$million</v>
      </c>
    </row>
    <row r="616" spans="1:13" s="6" customFormat="1" x14ac:dyDescent="0.25">
      <c r="A616" s="4" t="str">
        <v>OT CH4</v>
      </c>
      <c r="B616" s="91">
        <v>7.7954184251018734</v>
      </c>
      <c r="C616" s="91">
        <v>7.5991613031398666</v>
      </c>
      <c r="D616" s="91">
        <v>7.2006543834932382</v>
      </c>
      <c r="E616" s="91">
        <v>6.497932664914301</v>
      </c>
      <c r="F616" s="91">
        <v>5.8224892006749105</v>
      </c>
      <c r="G616" s="91">
        <v>5.2632519195537659</v>
      </c>
      <c r="H616" s="91">
        <v>4.3535220219456638</v>
      </c>
      <c r="I616" s="91">
        <v>3.7883983383908135</v>
      </c>
      <c r="J616" s="91">
        <v>3.0292876340868555</v>
      </c>
      <c r="K616" s="91">
        <v>2.4209040026485087</v>
      </c>
      <c r="M616" s="43" t="str">
        <f t="shared" si="49"/>
        <v>$million</v>
      </c>
    </row>
    <row r="617" spans="1:13" s="6" customFormat="1" x14ac:dyDescent="0.25">
      <c r="A617" s="4" t="str">
        <v>EE CH4</v>
      </c>
      <c r="B617" s="91">
        <v>5.1457009716781874</v>
      </c>
      <c r="C617" s="91">
        <v>5.194393443448357</v>
      </c>
      <c r="D617" s="91">
        <v>5.370785844640829</v>
      </c>
      <c r="E617" s="91">
        <v>4.782849966408584</v>
      </c>
      <c r="F617" s="91">
        <v>4.219783695134085</v>
      </c>
      <c r="G617" s="91">
        <v>3.7261329554838376</v>
      </c>
      <c r="H617" s="91">
        <v>2.9947626446022868</v>
      </c>
      <c r="I617" s="91">
        <v>2.5318999972660801</v>
      </c>
      <c r="J617" s="91">
        <v>1.995110492031652</v>
      </c>
      <c r="K617" s="91">
        <v>1.5745071454965529</v>
      </c>
      <c r="M617" s="43" t="str">
        <f t="shared" si="49"/>
        <v>$million</v>
      </c>
    </row>
    <row r="618" spans="1:13" s="6" customFormat="1" x14ac:dyDescent="0.25">
      <c r="A618" s="4" t="str">
        <v>CA CH4</v>
      </c>
      <c r="B618" s="91">
        <v>7.2423106434387794</v>
      </c>
      <c r="C618" s="91">
        <v>7.167451929625134</v>
      </c>
      <c r="D618" s="91">
        <v>8.2508719758106288</v>
      </c>
      <c r="E618" s="91">
        <v>8.9916897514304956</v>
      </c>
      <c r="F618" s="91">
        <v>9.6930676724555234</v>
      </c>
      <c r="G618" s="91">
        <v>8.8478077587539996</v>
      </c>
      <c r="H618" s="91">
        <v>6.4158050898471082</v>
      </c>
      <c r="I618" s="91">
        <v>4.7995850225502128</v>
      </c>
      <c r="J618" s="91">
        <v>3.7861516624534177</v>
      </c>
      <c r="K618" s="91">
        <v>2.9915608350757577</v>
      </c>
      <c r="M618" s="43" t="str">
        <f t="shared" si="49"/>
        <v>$million</v>
      </c>
    </row>
    <row r="619" spans="1:13" s="6" customFormat="1" x14ac:dyDescent="0.25">
      <c r="A619" s="4" t="str">
        <v>IA CH4</v>
      </c>
      <c r="B619" s="91">
        <v>8.95567861660642</v>
      </c>
      <c r="C619" s="91">
        <v>8.8634779809493054</v>
      </c>
      <c r="D619" s="91">
        <v>10.203694635279259</v>
      </c>
      <c r="E619" s="91">
        <v>11.12032137424697</v>
      </c>
      <c r="F619" s="91">
        <v>11.988252652444134</v>
      </c>
      <c r="G619" s="91">
        <v>10.943320933496256</v>
      </c>
      <c r="H619" s="91">
        <v>7.9360216470349156</v>
      </c>
      <c r="I619" s="91">
        <v>5.9373738664524502</v>
      </c>
      <c r="J619" s="91">
        <v>4.6859324926568151</v>
      </c>
      <c r="K619" s="91">
        <v>3.7044533329752234</v>
      </c>
      <c r="M619" s="43" t="str">
        <f t="shared" si="49"/>
        <v>$million</v>
      </c>
    </row>
    <row r="620" spans="1:13" s="6" customFormat="1" x14ac:dyDescent="0.25">
      <c r="A620" s="4" t="str">
        <v>AF CH4</v>
      </c>
      <c r="B620" s="91">
        <v>8.9628746967095783</v>
      </c>
      <c r="C620" s="91">
        <v>8.877531008716117</v>
      </c>
      <c r="D620" s="91">
        <v>10.469411261262564</v>
      </c>
      <c r="E620" s="91">
        <v>11.041157312736665</v>
      </c>
      <c r="F620" s="91">
        <v>11.580296188966647</v>
      </c>
      <c r="G620" s="91">
        <v>11.224398111113725</v>
      </c>
      <c r="H620" s="91">
        <v>9.6177295165090797</v>
      </c>
      <c r="I620" s="91">
        <v>7.0490207158811735</v>
      </c>
      <c r="J620" s="91">
        <v>5.5632662142969469</v>
      </c>
      <c r="K620" s="91">
        <v>4.3980170291974172</v>
      </c>
      <c r="M620" s="43" t="str">
        <f t="shared" si="49"/>
        <v>$million</v>
      </c>
    </row>
    <row r="621" spans="1:13" s="6" customFormat="1" ht="13" thickBot="1" x14ac:dyDescent="0.3">
      <c r="A621" s="4" t="str">
        <v>LA CH4</v>
      </c>
      <c r="B621" s="108">
        <v>5.0434582338323688</v>
      </c>
      <c r="C621" s="108">
        <v>4.9947536399085379</v>
      </c>
      <c r="D621" s="108">
        <v>5.8895791703788483</v>
      </c>
      <c r="E621" s="108">
        <v>6.2103500316744213</v>
      </c>
      <c r="F621" s="108">
        <v>6.5126834795672446</v>
      </c>
      <c r="G621" s="108">
        <v>6.3116300093520223</v>
      </c>
      <c r="H621" s="108">
        <v>5.4066143695039717</v>
      </c>
      <c r="I621" s="108">
        <v>3.9614422156932592</v>
      </c>
      <c r="J621" s="108">
        <v>3.1215650702557447</v>
      </c>
      <c r="K621" s="108">
        <v>2.4634722000192233</v>
      </c>
      <c r="M621" s="43" t="str">
        <f t="shared" si="49"/>
        <v>$million</v>
      </c>
    </row>
    <row r="622" spans="1:13" s="2" customFormat="1" ht="15.5" thickTop="1" x14ac:dyDescent="0.4">
      <c r="A622" s="2" t="s">
        <v>416</v>
      </c>
      <c r="B622" s="2" t="s">
        <v>419</v>
      </c>
    </row>
    <row r="623" spans="1:13" s="7" customFormat="1" x14ac:dyDescent="0.25">
      <c r="A623" s="4" t="str">
        <f t="array" ref="A623:A630">R_CODE&amp;" "&amp;'Base data'!$D$11</f>
        <v>EU N2O</v>
      </c>
      <c r="B623" s="107">
        <f t="array" ref="B623:K630">IF(cbe_n2o&lt;Q0_N2O,(ALO_N2O/BLO_N2O)*(EXP(BLO_N2O*(cbe_n2o-Q0_N2O))-EXP(-BLO_N2O*Q0_N2O))-ALO_N2O*cbe_n2o,(ahi_n2o/BHI_N2O)*(EXP(BHI_N2O*(cbe_n2o-Q0_N2O))-1)-ahi_n2o*(cbe_n2o-Q0_N2O)+TCQ0_N2O)</f>
        <v>27.351691235323962</v>
      </c>
      <c r="C623" s="107">
        <v>26.486416298459641</v>
      </c>
      <c r="D623" s="107">
        <v>26.493117625582215</v>
      </c>
      <c r="E623" s="107">
        <v>25.183674547068421</v>
      </c>
      <c r="F623" s="107">
        <v>23.9299310832901</v>
      </c>
      <c r="G623" s="107">
        <v>22.669228721348372</v>
      </c>
      <c r="H623" s="107">
        <v>20.046407991974551</v>
      </c>
      <c r="I623" s="107">
        <v>17.904437829949334</v>
      </c>
      <c r="J623" s="107">
        <v>13.303311171452576</v>
      </c>
      <c r="K623" s="107">
        <v>9.92578197398546</v>
      </c>
      <c r="M623" s="43" t="str">
        <f t="shared" ref="M623:M630" si="50">CURRENCY_NAME</f>
        <v>$million</v>
      </c>
    </row>
    <row r="624" spans="1:13" s="7" customFormat="1" x14ac:dyDescent="0.25">
      <c r="A624" s="4" t="str">
        <v>US N2O</v>
      </c>
      <c r="B624" s="91">
        <v>26.457513371109169</v>
      </c>
      <c r="C624" s="91">
        <v>25.632898929386204</v>
      </c>
      <c r="D624" s="91">
        <v>25.651548834286309</v>
      </c>
      <c r="E624" s="91">
        <v>24.395064645120236</v>
      </c>
      <c r="F624" s="91">
        <v>23.191192994134617</v>
      </c>
      <c r="G624" s="91">
        <v>21.979288834768244</v>
      </c>
      <c r="H624" s="91">
        <v>19.453318461882134</v>
      </c>
      <c r="I624" s="91">
        <v>17.389404713765003</v>
      </c>
      <c r="J624" s="91">
        <v>12.969850851736661</v>
      </c>
      <c r="K624" s="91">
        <v>9.7078410568442361</v>
      </c>
      <c r="M624" s="43" t="str">
        <f t="shared" si="50"/>
        <v>$million</v>
      </c>
    </row>
    <row r="625" spans="1:13" s="7" customFormat="1" x14ac:dyDescent="0.25">
      <c r="A625" s="4" t="str">
        <v>OT N2O</v>
      </c>
      <c r="B625" s="91">
        <v>33.789227417022751</v>
      </c>
      <c r="C625" s="91">
        <v>32.721060751336886</v>
      </c>
      <c r="D625" s="91">
        <v>32.730104565538817</v>
      </c>
      <c r="E625" s="91">
        <v>31.11312866578124</v>
      </c>
      <c r="F625" s="91">
        <v>29.564899308862312</v>
      </c>
      <c r="G625" s="91">
        <v>28.00800522316754</v>
      </c>
      <c r="H625" s="91">
        <v>24.768700506926045</v>
      </c>
      <c r="I625" s="91">
        <v>22.123256502314415</v>
      </c>
      <c r="J625" s="91">
        <v>16.442308881409055</v>
      </c>
      <c r="K625" s="91">
        <v>12.271407176556735</v>
      </c>
      <c r="M625" s="43" t="str">
        <f t="shared" si="50"/>
        <v>$million</v>
      </c>
    </row>
    <row r="626" spans="1:13" s="7" customFormat="1" x14ac:dyDescent="0.25">
      <c r="A626" s="4" t="str">
        <v>EE N2O</v>
      </c>
      <c r="B626" s="91">
        <v>21.575812652673171</v>
      </c>
      <c r="C626" s="91">
        <v>20.931303688971731</v>
      </c>
      <c r="D626" s="91">
        <v>20.79562290357697</v>
      </c>
      <c r="E626" s="91">
        <v>20.101543958286776</v>
      </c>
      <c r="F626" s="91">
        <v>19.432015296672702</v>
      </c>
      <c r="G626" s="91">
        <v>18.290803163381145</v>
      </c>
      <c r="H626" s="91">
        <v>15.9871775500827</v>
      </c>
      <c r="I626" s="91">
        <v>14.46124034615152</v>
      </c>
      <c r="J626" s="91">
        <v>10.595944494847984</v>
      </c>
      <c r="K626" s="91">
        <v>7.8129342727522726</v>
      </c>
      <c r="M626" s="43" t="str">
        <f t="shared" si="50"/>
        <v>$million</v>
      </c>
    </row>
    <row r="627" spans="1:13" s="7" customFormat="1" x14ac:dyDescent="0.25">
      <c r="A627" s="4" t="str">
        <v>CA N2O</v>
      </c>
      <c r="B627" s="91">
        <v>30.923747618352767</v>
      </c>
      <c r="C627" s="91">
        <v>30.029690758833102</v>
      </c>
      <c r="D627" s="91">
        <v>29.386406046081731</v>
      </c>
      <c r="E627" s="91">
        <v>29.709835544829208</v>
      </c>
      <c r="F627" s="91">
        <v>29.986007007428508</v>
      </c>
      <c r="G627" s="91">
        <v>29.181768082593837</v>
      </c>
      <c r="H627" s="91">
        <v>27.228802515898145</v>
      </c>
      <c r="I627" s="91">
        <v>25.58122059407324</v>
      </c>
      <c r="J627" s="91">
        <v>18.750452002429721</v>
      </c>
      <c r="K627" s="91">
        <v>13.830703599531819</v>
      </c>
      <c r="M627" s="43" t="str">
        <f t="shared" si="50"/>
        <v>$million</v>
      </c>
    </row>
    <row r="628" spans="1:13" s="7" customFormat="1" x14ac:dyDescent="0.25">
      <c r="A628" s="4" t="str">
        <v>IA N2O</v>
      </c>
      <c r="B628" s="91">
        <v>38.178297596652278</v>
      </c>
      <c r="C628" s="91">
        <v>37.075102199637719</v>
      </c>
      <c r="D628" s="91">
        <v>36.281486614122279</v>
      </c>
      <c r="E628" s="91">
        <v>36.681410335761441</v>
      </c>
      <c r="F628" s="91">
        <v>37.023005551403415</v>
      </c>
      <c r="G628" s="91">
        <v>36.030639511822194</v>
      </c>
      <c r="H628" s="91">
        <v>33.620469467685517</v>
      </c>
      <c r="I628" s="91">
        <v>31.587241496024316</v>
      </c>
      <c r="J628" s="91">
        <v>23.157014856895056</v>
      </c>
      <c r="K628" s="91">
        <v>17.084562739636386</v>
      </c>
      <c r="M628" s="43" t="str">
        <f t="shared" si="50"/>
        <v>$million</v>
      </c>
    </row>
    <row r="629" spans="1:13" s="7" customFormat="1" x14ac:dyDescent="0.25">
      <c r="A629" s="4" t="str">
        <v>AF N2O</v>
      </c>
      <c r="B629" s="91">
        <v>38.017545860375208</v>
      </c>
      <c r="C629" s="91">
        <v>36.763791479361153</v>
      </c>
      <c r="D629" s="91">
        <v>35.863385169436185</v>
      </c>
      <c r="E629" s="91">
        <v>35.859749775604264</v>
      </c>
      <c r="F629" s="91">
        <v>35.823518020413673</v>
      </c>
      <c r="G629" s="91">
        <v>35.333629873478728</v>
      </c>
      <c r="H629" s="91">
        <v>33.768056329961667</v>
      </c>
      <c r="I629" s="91">
        <v>31.9577963608914</v>
      </c>
      <c r="J629" s="91">
        <v>23.428585338653917</v>
      </c>
      <c r="K629" s="91">
        <v>17.28481173672688</v>
      </c>
      <c r="M629" s="43" t="str">
        <f t="shared" si="50"/>
        <v>$million</v>
      </c>
    </row>
    <row r="630" spans="1:13" s="7" customFormat="1" ht="13" thickBot="1" x14ac:dyDescent="0.3">
      <c r="A630" s="4" t="str">
        <v>LA N2O</v>
      </c>
      <c r="B630" s="108">
        <v>21.50553598910998</v>
      </c>
      <c r="C630" s="108">
        <v>20.795213626160798</v>
      </c>
      <c r="D630" s="108">
        <v>20.284818630648122</v>
      </c>
      <c r="E630" s="108">
        <v>20.281665073257496</v>
      </c>
      <c r="F630" s="108">
        <v>20.260064957198914</v>
      </c>
      <c r="G630" s="108">
        <v>19.981903082465251</v>
      </c>
      <c r="H630" s="108">
        <v>19.094399493501914</v>
      </c>
      <c r="I630" s="108">
        <v>18.06870306553407</v>
      </c>
      <c r="J630" s="108">
        <v>13.238322169328752</v>
      </c>
      <c r="K630" s="108">
        <v>9.7602451333187279</v>
      </c>
      <c r="M630" s="43" t="str">
        <f t="shared" si="50"/>
        <v>$million</v>
      </c>
    </row>
    <row r="631" spans="1:13" s="2" customFormat="1" ht="15.5" thickTop="1" x14ac:dyDescent="0.4">
      <c r="A631" s="2" t="s">
        <v>416</v>
      </c>
      <c r="B631" s="2" t="s">
        <v>420</v>
      </c>
    </row>
    <row r="632" spans="1:13" s="7" customFormat="1" x14ac:dyDescent="0.25">
      <c r="A632" s="4" t="str">
        <f t="array" ref="A632:A639">R_CODE&amp;" "&amp;GLIN_NAME</f>
        <v>EU Lin</v>
      </c>
      <c r="B632" s="107">
        <f t="array" ref="B632:K639">IF(cbe_glin&lt;Q0_GLIN,(ALO_GLIN/BLO_GLIN)*(EXP(BLO_GLIN*(cbe_glin-Q0_GLIN))-EXP(-BLO_GLIN*Q0_GLIN))-ALO_GLIN*cbe_glin,(ahi_glin/BHI_GLIN)*(EXP(BHI_GLIN*(cbe_glin-Q0_GLIN))-1)-ahi_glin*(cbe_glin-Q0_GLIN)+TCQ0_GLIN)</f>
        <v>0.16848960867796414</v>
      </c>
      <c r="C632" s="107">
        <v>0.16926448867673116</v>
      </c>
      <c r="D632" s="107">
        <v>0.14956920169067109</v>
      </c>
      <c r="E632" s="107">
        <v>0.15152440272040354</v>
      </c>
      <c r="F632" s="107">
        <v>0.15326879875889921</v>
      </c>
      <c r="G632" s="107">
        <v>0.1547503588701879</v>
      </c>
      <c r="H632" s="107">
        <v>0.15832037118725267</v>
      </c>
      <c r="I632" s="107">
        <v>0.1612171940321184</v>
      </c>
      <c r="J632" s="107">
        <v>0.12304452173546819</v>
      </c>
      <c r="K632" s="107">
        <v>9.4078401601339248E-2</v>
      </c>
      <c r="M632" s="43" t="str">
        <f t="shared" ref="M632:M639" si="51">CURRENCY_NAME</f>
        <v>$million</v>
      </c>
    </row>
    <row r="633" spans="1:13" s="7" customFormat="1" x14ac:dyDescent="0.25">
      <c r="A633" s="4" t="str">
        <v>US Lin</v>
      </c>
      <c r="B633" s="91">
        <v>0.1630344987433672</v>
      </c>
      <c r="C633" s="91">
        <v>0.16384296292714898</v>
      </c>
      <c r="D633" s="91">
        <v>0.14482938919721344</v>
      </c>
      <c r="E633" s="91">
        <v>0.14677320050165069</v>
      </c>
      <c r="F633" s="91">
        <v>0.14851308440128319</v>
      </c>
      <c r="G633" s="91">
        <v>0.14999838290627965</v>
      </c>
      <c r="H633" s="91">
        <v>0.15355760333767274</v>
      </c>
      <c r="I633" s="91">
        <v>0.15646410285867721</v>
      </c>
      <c r="J633" s="91">
        <v>0.11974582230844967</v>
      </c>
      <c r="K633" s="91">
        <v>9.1761458956000547E-2</v>
      </c>
      <c r="M633" s="43" t="str">
        <f t="shared" si="51"/>
        <v>$million</v>
      </c>
    </row>
    <row r="634" spans="1:13" s="7" customFormat="1" x14ac:dyDescent="0.25">
      <c r="A634" s="4" t="str">
        <v>OT Lin</v>
      </c>
      <c r="B634" s="91">
        <v>0.20963102010577717</v>
      </c>
      <c r="C634" s="91">
        <v>0.21061510845742465</v>
      </c>
      <c r="D634" s="91">
        <v>0.18612617864474834</v>
      </c>
      <c r="E634" s="91">
        <v>0.1885774996367319</v>
      </c>
      <c r="F634" s="91">
        <v>0.19076708890292787</v>
      </c>
      <c r="G634" s="91">
        <v>0.19263010969035357</v>
      </c>
      <c r="H634" s="91">
        <v>0.19711337145385666</v>
      </c>
      <c r="I634" s="91">
        <v>0.20076086314017405</v>
      </c>
      <c r="J634" s="91">
        <v>0.15338960247439717</v>
      </c>
      <c r="K634" s="91">
        <v>0.11741724037568742</v>
      </c>
      <c r="M634" s="43" t="str">
        <f t="shared" si="51"/>
        <v>$million</v>
      </c>
    </row>
    <row r="635" spans="1:13" s="7" customFormat="1" x14ac:dyDescent="0.25">
      <c r="A635" s="4" t="str">
        <v>EE Lin</v>
      </c>
      <c r="B635" s="91">
        <v>0.13110728114896614</v>
      </c>
      <c r="C635" s="91">
        <v>0.13192041549853012</v>
      </c>
      <c r="D635" s="91">
        <v>0.2199388240966772</v>
      </c>
      <c r="E635" s="91">
        <v>0.30923752819679468</v>
      </c>
      <c r="F635" s="91">
        <v>0.39334157305920242</v>
      </c>
      <c r="G635" s="91">
        <v>0.39592561035108664</v>
      </c>
      <c r="H635" s="91">
        <v>0.38124573052247801</v>
      </c>
      <c r="I635" s="91">
        <v>0.32693899959858497</v>
      </c>
      <c r="J635" s="91">
        <v>0.2466951407028308</v>
      </c>
      <c r="K635" s="91">
        <v>0.18678416494029165</v>
      </c>
      <c r="M635" s="43" t="str">
        <f t="shared" si="51"/>
        <v>$million</v>
      </c>
    </row>
    <row r="636" spans="1:13" s="7" customFormat="1" x14ac:dyDescent="0.25">
      <c r="A636" s="4" t="str">
        <v>CA Lin</v>
      </c>
      <c r="B636" s="91">
        <v>0.19455194118465904</v>
      </c>
      <c r="C636" s="91">
        <v>0.2003810181026239</v>
      </c>
      <c r="D636" s="91">
        <v>0.4050974223442515</v>
      </c>
      <c r="E636" s="91">
        <v>0.75899249087038978</v>
      </c>
      <c r="F636" s="91">
        <v>1.0927653548606919</v>
      </c>
      <c r="G636" s="91">
        <v>1.4440132132552295</v>
      </c>
      <c r="H636" s="91">
        <v>1.6614682896698532</v>
      </c>
      <c r="I636" s="91">
        <v>1.4586311742769404</v>
      </c>
      <c r="J636" s="91">
        <v>1.1024616649407364</v>
      </c>
      <c r="K636" s="91">
        <v>0.83621249346472126</v>
      </c>
      <c r="M636" s="43" t="str">
        <f t="shared" si="51"/>
        <v>$million</v>
      </c>
    </row>
    <row r="637" spans="1:13" s="7" customFormat="1" x14ac:dyDescent="0.25">
      <c r="A637" s="4" t="str">
        <v>IA Lin</v>
      </c>
      <c r="B637" s="91">
        <v>0.24126367991404615</v>
      </c>
      <c r="C637" s="91">
        <v>0.24850881056056043</v>
      </c>
      <c r="D637" s="91">
        <v>0.50242792617375687</v>
      </c>
      <c r="E637" s="91">
        <v>0.94141498987661842</v>
      </c>
      <c r="F637" s="91">
        <v>1.3555019776424084</v>
      </c>
      <c r="G637" s="91">
        <v>1.7913245729812901</v>
      </c>
      <c r="H637" s="91">
        <v>2.0613687906375935</v>
      </c>
      <c r="I637" s="91">
        <v>1.80996738369129</v>
      </c>
      <c r="J637" s="91">
        <v>1.3690280101638423</v>
      </c>
      <c r="K637" s="91">
        <v>1.0392422505321175</v>
      </c>
      <c r="M637" s="43" t="str">
        <f t="shared" si="51"/>
        <v>$million</v>
      </c>
    </row>
    <row r="638" spans="1:13" s="7" customFormat="1" x14ac:dyDescent="0.25">
      <c r="A638" s="4" t="str">
        <v>AF Lin</v>
      </c>
      <c r="B638" s="91">
        <v>0.24413339825739697</v>
      </c>
      <c r="C638" s="91">
        <v>0.25408728235225986</v>
      </c>
      <c r="D638" s="91">
        <v>0.5061966756607339</v>
      </c>
      <c r="E638" s="91">
        <v>0.99754879060437129</v>
      </c>
      <c r="F638" s="91">
        <v>1.4610720861996056</v>
      </c>
      <c r="G638" s="91">
        <v>1.7279007770264636</v>
      </c>
      <c r="H638" s="91">
        <v>1.8733090401676342</v>
      </c>
      <c r="I638" s="91">
        <v>1.6749832583052546</v>
      </c>
      <c r="J638" s="91">
        <v>1.266936086348726</v>
      </c>
      <c r="K638" s="91">
        <v>0.96175311377779904</v>
      </c>
      <c r="M638" s="43" t="str">
        <f t="shared" si="51"/>
        <v>$million</v>
      </c>
    </row>
    <row r="639" spans="1:13" s="7" customFormat="1" ht="13" thickBot="1" x14ac:dyDescent="0.3">
      <c r="A639" s="4" t="str">
        <v>LA Lin</v>
      </c>
      <c r="B639" s="108">
        <v>0.1360937342658802</v>
      </c>
      <c r="C639" s="108">
        <v>0.14161150005416584</v>
      </c>
      <c r="D639" s="108">
        <v>0.28205819008865701</v>
      </c>
      <c r="E639" s="108">
        <v>0.55572064111302466</v>
      </c>
      <c r="F639" s="108">
        <v>0.81375950389086649</v>
      </c>
      <c r="G639" s="108">
        <v>0.96215350282316614</v>
      </c>
      <c r="H639" s="108">
        <v>1.042640756132144</v>
      </c>
      <c r="I639" s="108">
        <v>0.93181944913086512</v>
      </c>
      <c r="J639" s="108">
        <v>0.70307836612767616</v>
      </c>
      <c r="K639" s="108">
        <v>0.5322877039534073</v>
      </c>
      <c r="M639" s="43" t="str">
        <f t="shared" si="51"/>
        <v>$million</v>
      </c>
    </row>
    <row r="640" spans="1:13" s="2" customFormat="1" ht="15.5" thickTop="1" x14ac:dyDescent="0.4">
      <c r="A640" s="2" t="s">
        <v>416</v>
      </c>
      <c r="B640" s="2" t="s">
        <v>456</v>
      </c>
    </row>
    <row r="641" spans="1:13" s="7" customFormat="1" x14ac:dyDescent="0.25">
      <c r="A641" s="4" t="str">
        <f t="array" ref="A641:A648">R_CODE</f>
        <v>EU</v>
      </c>
      <c r="B641" s="107">
        <f t="array" ref="B641:K648">tc_co2+tc_ch4+tc_n2o+tc_glin</f>
        <v>33.81403436474978</v>
      </c>
      <c r="C641" s="107">
        <v>-48000.005271326707</v>
      </c>
      <c r="D641" s="107">
        <v>-68202.535764206783</v>
      </c>
      <c r="E641" s="107">
        <v>-36386.840446964881</v>
      </c>
      <c r="F641" s="107">
        <v>49594.435950434105</v>
      </c>
      <c r="G641" s="107">
        <v>84524.153011506598</v>
      </c>
      <c r="H641" s="107">
        <v>113521.4269816373</v>
      </c>
      <c r="I641" s="107">
        <v>65517.134414029846</v>
      </c>
      <c r="J641" s="107">
        <v>34755.390268488125</v>
      </c>
      <c r="K641" s="107">
        <v>48287.305692590984</v>
      </c>
      <c r="M641" s="43" t="str">
        <f t="shared" ref="M641:M648" si="52">CURRENCY_NAME</f>
        <v>$million</v>
      </c>
    </row>
    <row r="642" spans="1:13" s="7" customFormat="1" x14ac:dyDescent="0.25">
      <c r="A642" s="4" t="str">
        <v>US</v>
      </c>
      <c r="B642" s="91">
        <v>-116092.90902970907</v>
      </c>
      <c r="C642" s="91">
        <v>-158212.26698667891</v>
      </c>
      <c r="D642" s="91">
        <v>-122934.10139769192</v>
      </c>
      <c r="E642" s="91">
        <v>-26656.88412715264</v>
      </c>
      <c r="F642" s="91">
        <v>134715.25414905374</v>
      </c>
      <c r="G642" s="91">
        <v>176227.81866380325</v>
      </c>
      <c r="H642" s="91">
        <v>216037.42246069221</v>
      </c>
      <c r="I642" s="91">
        <v>51831.992909504974</v>
      </c>
      <c r="J642" s="91">
        <v>69387.373388310531</v>
      </c>
      <c r="K642" s="91">
        <v>85842.099637604391</v>
      </c>
      <c r="M642" s="43" t="str">
        <f t="shared" si="52"/>
        <v>$million</v>
      </c>
    </row>
    <row r="643" spans="1:13" s="7" customFormat="1" x14ac:dyDescent="0.25">
      <c r="A643" s="4" t="str">
        <v>OT</v>
      </c>
      <c r="B643" s="91">
        <v>41.794276862230397</v>
      </c>
      <c r="C643" s="91">
        <v>40.530837162934176</v>
      </c>
      <c r="D643" s="91">
        <v>40.116885127676802</v>
      </c>
      <c r="E643" s="91">
        <v>37.79963883033227</v>
      </c>
      <c r="F643" s="91">
        <v>35.578155598440155</v>
      </c>
      <c r="G643" s="91">
        <v>-19289.523940075636</v>
      </c>
      <c r="H643" s="91">
        <v>-17293.069955358231</v>
      </c>
      <c r="I643" s="91">
        <v>-15149.15494776856</v>
      </c>
      <c r="J643" s="91">
        <v>19.624986117970309</v>
      </c>
      <c r="K643" s="91">
        <v>-7570.9905351005664</v>
      </c>
      <c r="M643" s="43" t="str">
        <f t="shared" si="52"/>
        <v>$million</v>
      </c>
    </row>
    <row r="644" spans="1:13" s="7" customFormat="1" x14ac:dyDescent="0.25">
      <c r="A644" s="4" t="str">
        <v>EE</v>
      </c>
      <c r="B644" s="91">
        <v>26.852620905500327</v>
      </c>
      <c r="C644" s="91">
        <v>26.257617547918617</v>
      </c>
      <c r="D644" s="91">
        <v>26.386347572314474</v>
      </c>
      <c r="E644" s="91">
        <v>25.193631452892156</v>
      </c>
      <c r="F644" s="91">
        <v>24.045140564865989</v>
      </c>
      <c r="G644" s="91">
        <v>-7779.128024862468</v>
      </c>
      <c r="H644" s="91">
        <v>-15088.267705348331</v>
      </c>
      <c r="I644" s="91">
        <v>-13116.537413219106</v>
      </c>
      <c r="J644" s="91">
        <v>12.837750127582467</v>
      </c>
      <c r="K644" s="91">
        <v>-7147.4179714111697</v>
      </c>
      <c r="M644" s="43" t="str">
        <f t="shared" si="52"/>
        <v>$million</v>
      </c>
    </row>
    <row r="645" spans="1:13" s="7" customFormat="1" x14ac:dyDescent="0.25">
      <c r="A645" s="4" t="str">
        <v>CA</v>
      </c>
      <c r="B645" s="91">
        <v>38.360610202976204</v>
      </c>
      <c r="C645" s="91">
        <v>37.397523706560861</v>
      </c>
      <c r="D645" s="91">
        <v>38.042375444236605</v>
      </c>
      <c r="E645" s="91">
        <v>-41051.971600689525</v>
      </c>
      <c r="F645" s="91">
        <v>3284.5456360885519</v>
      </c>
      <c r="G645" s="91">
        <v>54517.365746958094</v>
      </c>
      <c r="H645" s="91">
        <v>146218.14129886954</v>
      </c>
      <c r="I645" s="91">
        <v>104812.99900041221</v>
      </c>
      <c r="J645" s="91">
        <v>17933.318792609087</v>
      </c>
      <c r="K645" s="91">
        <v>64260.433724769508</v>
      </c>
      <c r="M645" s="43" t="str">
        <f t="shared" si="52"/>
        <v>$million</v>
      </c>
    </row>
    <row r="646" spans="1:13" s="7" customFormat="1" x14ac:dyDescent="0.25">
      <c r="A646" s="4" t="str">
        <v>IA</v>
      </c>
      <c r="B646" s="91">
        <v>47.375239893172747</v>
      </c>
      <c r="C646" s="91">
        <v>46.187088991147583</v>
      </c>
      <c r="D646" s="91">
        <v>46.987609175575294</v>
      </c>
      <c r="E646" s="91">
        <v>-67509.106002924644</v>
      </c>
      <c r="F646" s="91">
        <v>24219.252470072413</v>
      </c>
      <c r="G646" s="91">
        <v>125467.67223720714</v>
      </c>
      <c r="H646" s="91">
        <v>303189.56402707181</v>
      </c>
      <c r="I646" s="91">
        <v>216568.65247870833</v>
      </c>
      <c r="J646" s="91">
        <v>44653.827837630008</v>
      </c>
      <c r="K646" s="91">
        <v>131451.49901331199</v>
      </c>
      <c r="M646" s="43" t="str">
        <f t="shared" si="52"/>
        <v>$million</v>
      </c>
    </row>
    <row r="647" spans="1:13" s="7" customFormat="1" x14ac:dyDescent="0.25">
      <c r="A647" s="4" t="str">
        <v>AF</v>
      </c>
      <c r="B647" s="91">
        <v>47.224553955342181</v>
      </c>
      <c r="C647" s="91">
        <v>45.895409770429531</v>
      </c>
      <c r="D647" s="91">
        <v>46.838993106359482</v>
      </c>
      <c r="E647" s="91">
        <v>-38801.545031140908</v>
      </c>
      <c r="F647" s="91">
        <v>19905.261173523839</v>
      </c>
      <c r="G647" s="91">
        <v>95039.6542275252</v>
      </c>
      <c r="H647" s="91">
        <v>205796.80222022437</v>
      </c>
      <c r="I647" s="91">
        <v>131568.67383957398</v>
      </c>
      <c r="J647" s="91">
        <v>30190.916841284798</v>
      </c>
      <c r="K647" s="91">
        <v>82167.39115882646</v>
      </c>
      <c r="M647" s="43" t="str">
        <f t="shared" si="52"/>
        <v>$million</v>
      </c>
    </row>
    <row r="648" spans="1:13" s="7" customFormat="1" ht="13" thickBot="1" x14ac:dyDescent="0.3">
      <c r="A648" s="4" t="str">
        <v>LA</v>
      </c>
      <c r="B648" s="108">
        <v>26.685087957208228</v>
      </c>
      <c r="C648" s="108">
        <v>25.931578766123501</v>
      </c>
      <c r="D648" s="108">
        <v>26.456455991115629</v>
      </c>
      <c r="E648" s="108">
        <v>-33110.905539397412</v>
      </c>
      <c r="F648" s="108">
        <v>-6661.3637980315916</v>
      </c>
      <c r="G648" s="108">
        <v>29012.306107666827</v>
      </c>
      <c r="H648" s="108">
        <v>83197.578359037245</v>
      </c>
      <c r="I648" s="108">
        <v>49986.41530602386</v>
      </c>
      <c r="J648" s="108">
        <v>2335.6292760477941</v>
      </c>
      <c r="K648" s="108">
        <v>29513.285998304367</v>
      </c>
      <c r="M648" s="43" t="str">
        <f t="shared" si="52"/>
        <v>$million</v>
      </c>
    </row>
    <row r="649" spans="1:13" s="2" customFormat="1" ht="15.5" thickTop="1" x14ac:dyDescent="0.4">
      <c r="A649" s="2" t="s">
        <v>421</v>
      </c>
      <c r="B649" s="2" t="s">
        <v>460</v>
      </c>
    </row>
    <row r="650" spans="1:13" s="7" customFormat="1" x14ac:dyDescent="0.25">
      <c r="A650" s="4" t="str">
        <f t="array" ref="A650:A657">R_CODE</f>
        <v>EU</v>
      </c>
      <c r="B650" s="45">
        <f t="array" ref="B650:K657">tct/POP</f>
        <v>6.0846947982702577E-2</v>
      </c>
      <c r="C650" s="45">
        <v>-85.710330013257263</v>
      </c>
      <c r="D650" s="45">
        <v>-122.2414521202069</v>
      </c>
      <c r="E650" s="45">
        <v>-66.189730364939138</v>
      </c>
      <c r="F650" s="45">
        <v>92.388120173865914</v>
      </c>
      <c r="G650" s="45">
        <v>161.66760351992093</v>
      </c>
      <c r="H650" s="45">
        <v>227.44972985769041</v>
      </c>
      <c r="I650" s="45">
        <v>134.29686624052624</v>
      </c>
      <c r="J650" s="45">
        <v>74.550850103156193</v>
      </c>
      <c r="K650" s="45">
        <v>103.57701814781626</v>
      </c>
      <c r="M650" s="1" t="str">
        <f t="shared" ref="M650:M657" si="53">CURRENCY_NAME&amp;"/"&amp;POP_UNIT_NAME</f>
        <v>$million/million</v>
      </c>
    </row>
    <row r="651" spans="1:13" s="7" customFormat="1" x14ac:dyDescent="0.25">
      <c r="A651" s="4" t="str">
        <v>US</v>
      </c>
      <c r="B651" s="46">
        <v>-367.03260693254543</v>
      </c>
      <c r="C651" s="46">
        <v>-460.87487133452754</v>
      </c>
      <c r="D651" s="46">
        <v>-335.41298626657539</v>
      </c>
      <c r="E651" s="46">
        <v>-69.25190762955944</v>
      </c>
      <c r="F651" s="46">
        <v>335.76314602950833</v>
      </c>
      <c r="G651" s="46">
        <v>426.3753067879947</v>
      </c>
      <c r="H651" s="46">
        <v>498.85855057066942</v>
      </c>
      <c r="I651" s="46">
        <v>116.05694045862779</v>
      </c>
      <c r="J651" s="46">
        <v>145.35428292622416</v>
      </c>
      <c r="K651" s="46">
        <v>179.82402602095789</v>
      </c>
      <c r="M651" s="1" t="str">
        <f t="shared" si="53"/>
        <v>$million/million</v>
      </c>
    </row>
    <row r="652" spans="1:13" s="7" customFormat="1" x14ac:dyDescent="0.25">
      <c r="A652" s="4" t="str">
        <v>OT</v>
      </c>
      <c r="B652" s="46">
        <v>0.18905874896272826</v>
      </c>
      <c r="C652" s="46">
        <v>0.16394534298192653</v>
      </c>
      <c r="D652" s="46">
        <v>0.14903419805051535</v>
      </c>
      <c r="E652" s="46">
        <v>0.13183770333189834</v>
      </c>
      <c r="F652" s="46">
        <v>0.11866992150333892</v>
      </c>
      <c r="G652" s="46">
        <v>-62.418923504292636</v>
      </c>
      <c r="H652" s="46">
        <v>-54.434476849895908</v>
      </c>
      <c r="I652" s="46">
        <v>-48.016039117352761</v>
      </c>
      <c r="J652" s="46">
        <v>6.3641342299471326E-2</v>
      </c>
      <c r="K652" s="46">
        <v>-24.551762599678479</v>
      </c>
      <c r="M652" s="1" t="str">
        <f t="shared" si="53"/>
        <v>$million/million</v>
      </c>
    </row>
    <row r="653" spans="1:13" s="7" customFormat="1" x14ac:dyDescent="0.25">
      <c r="A653" s="4" t="str">
        <v>EE</v>
      </c>
      <c r="B653" s="46">
        <v>4.0489777515863218E-2</v>
      </c>
      <c r="C653" s="46">
        <v>3.5403612130983919E-2</v>
      </c>
      <c r="D653" s="46">
        <v>3.2675087122762229E-2</v>
      </c>
      <c r="E653" s="46">
        <v>2.9290143258143778E-2</v>
      </c>
      <c r="F653" s="46">
        <v>2.6733959788652832E-2</v>
      </c>
      <c r="G653" s="46">
        <v>-8.3908204719901036</v>
      </c>
      <c r="H653" s="46">
        <v>-15.831427680414659</v>
      </c>
      <c r="I653" s="46">
        <v>-13.857850502526297</v>
      </c>
      <c r="J653" s="46">
        <v>1.3877065446285546E-2</v>
      </c>
      <c r="K653" s="46">
        <v>-7.7260568226925193</v>
      </c>
      <c r="M653" s="1" t="str">
        <f t="shared" si="53"/>
        <v>$million/million</v>
      </c>
    </row>
    <row r="654" spans="1:13" s="7" customFormat="1" x14ac:dyDescent="0.25">
      <c r="A654" s="4" t="str">
        <v>CA</v>
      </c>
      <c r="B654" s="46">
        <v>2.6696363966579258E-2</v>
      </c>
      <c r="C654" s="46">
        <v>2.3272497910663371E-2</v>
      </c>
      <c r="D654" s="46">
        <v>2.1742676328948392E-2</v>
      </c>
      <c r="E654" s="46">
        <v>-22.027876946632915</v>
      </c>
      <c r="F654" s="46">
        <v>1.6854627887968248</v>
      </c>
      <c r="G654" s="46">
        <v>27.14040168432545</v>
      </c>
      <c r="H654" s="46">
        <v>70.809227654732354</v>
      </c>
      <c r="I654" s="46">
        <v>51.109274384891904</v>
      </c>
      <c r="J654" s="46">
        <v>8.9469968616330959</v>
      </c>
      <c r="K654" s="46">
        <v>32.059760132053484</v>
      </c>
      <c r="M654" s="1" t="str">
        <f t="shared" si="53"/>
        <v>$million/million</v>
      </c>
    </row>
    <row r="655" spans="1:13" s="7" customFormat="1" x14ac:dyDescent="0.25">
      <c r="A655" s="4" t="str">
        <v>IA</v>
      </c>
      <c r="B655" s="46">
        <v>2.1430454737946605E-2</v>
      </c>
      <c r="C655" s="46">
        <v>1.8682461740304891E-2</v>
      </c>
      <c r="D655" s="46">
        <v>1.7455893271638052E-2</v>
      </c>
      <c r="E655" s="46">
        <v>-23.545847962635207</v>
      </c>
      <c r="F655" s="46">
        <v>8.0782624651263522</v>
      </c>
      <c r="G655" s="46">
        <v>40.600053479625622</v>
      </c>
      <c r="H655" s="46">
        <v>95.43687353816523</v>
      </c>
      <c r="I655" s="46">
        <v>68.642567356813231</v>
      </c>
      <c r="J655" s="46">
        <v>14.480670331756579</v>
      </c>
      <c r="K655" s="46">
        <v>42.628054838848598</v>
      </c>
      <c r="M655" s="1" t="str">
        <f t="shared" si="53"/>
        <v>$million/million</v>
      </c>
    </row>
    <row r="656" spans="1:13" s="7" customFormat="1" x14ac:dyDescent="0.25">
      <c r="A656" s="4" t="str">
        <v>AF</v>
      </c>
      <c r="B656" s="46">
        <v>5.3405727777935945E-2</v>
      </c>
      <c r="C656" s="46">
        <v>4.6411197145159191E-2</v>
      </c>
      <c r="D656" s="46">
        <v>4.3501706032779384E-2</v>
      </c>
      <c r="E656" s="46">
        <v>-33.833038759949197</v>
      </c>
      <c r="F656" s="46">
        <v>16.598357483918427</v>
      </c>
      <c r="G656" s="46">
        <v>76.884646369855616</v>
      </c>
      <c r="H656" s="46">
        <v>161.9498633724134</v>
      </c>
      <c r="I656" s="46">
        <v>104.25344864912336</v>
      </c>
      <c r="J656" s="46">
        <v>24.476329072045697</v>
      </c>
      <c r="K656" s="46">
        <v>66.614608478691977</v>
      </c>
      <c r="M656" s="1" t="str">
        <f t="shared" si="53"/>
        <v>$million/million</v>
      </c>
    </row>
    <row r="657" spans="1:13" s="7" customFormat="1" ht="13" thickBot="1" x14ac:dyDescent="0.3">
      <c r="A657" s="4" t="str">
        <v>LA</v>
      </c>
      <c r="B657" s="47">
        <v>4.8284595154312895E-2</v>
      </c>
      <c r="C657" s="47">
        <v>4.1956809900416961E-2</v>
      </c>
      <c r="D657" s="47">
        <v>3.9314285636542969E-2</v>
      </c>
      <c r="E657" s="47">
        <v>-46.193729640090467</v>
      </c>
      <c r="F657" s="47">
        <v>-8.887515451219743</v>
      </c>
      <c r="G657" s="47">
        <v>37.552340249418876</v>
      </c>
      <c r="H657" s="47">
        <v>104.7544863889056</v>
      </c>
      <c r="I657" s="47">
        <v>63.373823317420623</v>
      </c>
      <c r="J657" s="47">
        <v>3.0296598702918685</v>
      </c>
      <c r="K657" s="47">
        <v>38.283138144599931</v>
      </c>
      <c r="M657" s="1" t="str">
        <f t="shared" si="53"/>
        <v>$million/million</v>
      </c>
    </row>
    <row r="658" spans="1:13" s="2" customFormat="1" ht="15.5" thickTop="1" x14ac:dyDescent="0.4">
      <c r="A658" s="2" t="s">
        <v>422</v>
      </c>
      <c r="B658" s="2" t="s">
        <v>461</v>
      </c>
    </row>
    <row r="659" spans="1:13" s="7" customFormat="1" x14ac:dyDescent="0.25">
      <c r="A659" s="4" t="str">
        <f t="array" ref="A659:A666">R_CODE</f>
        <v>EU</v>
      </c>
      <c r="B659" s="39">
        <f t="array" ref="B659:K666" xml:space="preserve"> (((CONS_PER_CAP_FOCUS_0)^EMUC)/(1-EMUC))*( (CONS_PER_CAP)^(1-EMUC) - (CONS_PER_CAP-tct_per_cap) ^(1-EMUC))</f>
        <v>6.0846947981190169E-2</v>
      </c>
      <c r="C659" s="39">
        <v>-85.710330013258499</v>
      </c>
      <c r="D659" s="39">
        <v>-122.24145212020812</v>
      </c>
      <c r="E659" s="39">
        <v>-66.189730364938441</v>
      </c>
      <c r="F659" s="39">
        <v>92.388120173869538</v>
      </c>
      <c r="G659" s="39">
        <v>161.66760351991979</v>
      </c>
      <c r="H659" s="39">
        <v>227.44972985768982</v>
      </c>
      <c r="I659" s="39">
        <v>134.29686624052556</v>
      </c>
      <c r="J659" s="39">
        <v>74.550850103143603</v>
      </c>
      <c r="K659" s="39">
        <v>103.57701814780012</v>
      </c>
      <c r="M659" s="1" t="str">
        <f t="shared" ref="M659:M666" si="54">CURRENCY_NAME&amp;"/"&amp;POP_UNIT_NAME</f>
        <v>$million/million</v>
      </c>
    </row>
    <row r="660" spans="1:13" s="7" customFormat="1" x14ac:dyDescent="0.25">
      <c r="A660" s="4" t="str">
        <v>US</v>
      </c>
      <c r="B660" s="35">
        <v>-367.0326069325456</v>
      </c>
      <c r="C660" s="35">
        <v>-460.87487133452669</v>
      </c>
      <c r="D660" s="35">
        <v>-335.41298626657226</v>
      </c>
      <c r="E660" s="35">
        <v>-69.251907629557536</v>
      </c>
      <c r="F660" s="35">
        <v>335.76314602950879</v>
      </c>
      <c r="G660" s="35">
        <v>426.37530678799521</v>
      </c>
      <c r="H660" s="35">
        <v>498.85855057067238</v>
      </c>
      <c r="I660" s="35">
        <v>116.05694045862765</v>
      </c>
      <c r="J660" s="35">
        <v>145.35428292621509</v>
      </c>
      <c r="K660" s="35">
        <v>179.82402602094226</v>
      </c>
      <c r="M660" s="1" t="str">
        <f t="shared" si="54"/>
        <v>$million/million</v>
      </c>
    </row>
    <row r="661" spans="1:13" s="7" customFormat="1" x14ac:dyDescent="0.25">
      <c r="A661" s="4" t="str">
        <v>OT</v>
      </c>
      <c r="B661" s="35">
        <v>0.18905874896154273</v>
      </c>
      <c r="C661" s="35">
        <v>0.16394534298160579</v>
      </c>
      <c r="D661" s="35">
        <v>0.14903419804977602</v>
      </c>
      <c r="E661" s="35">
        <v>0.13183770333125722</v>
      </c>
      <c r="F661" s="35">
        <v>0.11866992150316946</v>
      </c>
      <c r="G661" s="35">
        <v>-62.418923504286795</v>
      </c>
      <c r="H661" s="35">
        <v>-54.434476849899511</v>
      </c>
      <c r="I661" s="35">
        <v>-48.016039117355831</v>
      </c>
      <c r="J661" s="35">
        <v>6.364134227624163E-2</v>
      </c>
      <c r="K661" s="35">
        <v>-24.551762599730864</v>
      </c>
      <c r="M661" s="1" t="str">
        <f t="shared" si="54"/>
        <v>$million/million</v>
      </c>
    </row>
    <row r="662" spans="1:13" s="7" customFormat="1" x14ac:dyDescent="0.25">
      <c r="A662" s="4" t="str">
        <v>EE</v>
      </c>
      <c r="B662" s="35">
        <v>4.0489777516086178E-2</v>
      </c>
      <c r="C662" s="35">
        <v>3.5403612131176487E-2</v>
      </c>
      <c r="D662" s="35">
        <v>3.2675087122697732E-2</v>
      </c>
      <c r="E662" s="35">
        <v>2.9290143258549506E-2</v>
      </c>
      <c r="F662" s="35">
        <v>2.6733959788543871E-2</v>
      </c>
      <c r="G662" s="35">
        <v>-8.3908204719900823</v>
      </c>
      <c r="H662" s="35">
        <v>-15.831427680413981</v>
      </c>
      <c r="I662" s="35">
        <v>-13.857850502525253</v>
      </c>
      <c r="J662" s="35">
        <v>1.3877065444830805E-2</v>
      </c>
      <c r="K662" s="35">
        <v>-7.7260568226920441</v>
      </c>
      <c r="M662" s="1" t="str">
        <f t="shared" si="54"/>
        <v>$million/million</v>
      </c>
    </row>
    <row r="663" spans="1:13" s="7" customFormat="1" x14ac:dyDescent="0.25">
      <c r="A663" s="4" t="str">
        <v>CA</v>
      </c>
      <c r="B663" s="35">
        <v>2.6696363966493664E-2</v>
      </c>
      <c r="C663" s="35">
        <v>2.3272497910511447E-2</v>
      </c>
      <c r="D663" s="35">
        <v>2.1742676328813104E-2</v>
      </c>
      <c r="E663" s="35">
        <v>-22.027876946633114</v>
      </c>
      <c r="F663" s="35">
        <v>1.68546278879694</v>
      </c>
      <c r="G663" s="35">
        <v>27.140401684325298</v>
      </c>
      <c r="H663" s="35">
        <v>70.80922765473224</v>
      </c>
      <c r="I663" s="35">
        <v>51.10927438489307</v>
      </c>
      <c r="J663" s="35">
        <v>8.9469968616322149</v>
      </c>
      <c r="K663" s="35">
        <v>32.059760132047813</v>
      </c>
      <c r="M663" s="1" t="str">
        <f t="shared" si="54"/>
        <v>$million/million</v>
      </c>
    </row>
    <row r="664" spans="1:13" s="7" customFormat="1" x14ac:dyDescent="0.25">
      <c r="A664" s="4" t="str">
        <v>IA</v>
      </c>
      <c r="B664" s="35">
        <v>2.1430454738037952E-2</v>
      </c>
      <c r="C664" s="35">
        <v>1.8682461740354483E-2</v>
      </c>
      <c r="D664" s="35">
        <v>1.7455893271744571E-2</v>
      </c>
      <c r="E664" s="35">
        <v>-23.545847962635435</v>
      </c>
      <c r="F664" s="35">
        <v>8.0782624651264996</v>
      </c>
      <c r="G664" s="35">
        <v>40.600053479625785</v>
      </c>
      <c r="H664" s="35">
        <v>95.436873538164946</v>
      </c>
      <c r="I664" s="35">
        <v>68.642567356813743</v>
      </c>
      <c r="J664" s="35">
        <v>14.480670331755391</v>
      </c>
      <c r="K664" s="35">
        <v>42.628054838845856</v>
      </c>
      <c r="M664" s="1" t="str">
        <f t="shared" si="54"/>
        <v>$million/million</v>
      </c>
    </row>
    <row r="665" spans="1:13" s="7" customFormat="1" x14ac:dyDescent="0.25">
      <c r="A665" s="4" t="str">
        <v>AF</v>
      </c>
      <c r="B665" s="35">
        <v>5.3405727777771972E-2</v>
      </c>
      <c r="C665" s="35">
        <v>4.6411197145062033E-2</v>
      </c>
      <c r="D665" s="35">
        <v>4.3501706032657239E-2</v>
      </c>
      <c r="E665" s="35">
        <v>-33.833038759948977</v>
      </c>
      <c r="F665" s="35">
        <v>16.598357483918335</v>
      </c>
      <c r="G665" s="35">
        <v>76.884646369855545</v>
      </c>
      <c r="H665" s="35">
        <v>161.94986337241426</v>
      </c>
      <c r="I665" s="35">
        <v>104.25344864912404</v>
      </c>
      <c r="J665" s="35">
        <v>24.476329072043882</v>
      </c>
      <c r="K665" s="35">
        <v>66.614608478688751</v>
      </c>
      <c r="M665" s="1" t="str">
        <f t="shared" si="54"/>
        <v>$million/million</v>
      </c>
    </row>
    <row r="666" spans="1:13" s="7" customFormat="1" x14ac:dyDescent="0.25">
      <c r="A666" s="4" t="str">
        <v>LA</v>
      </c>
      <c r="B666" s="35">
        <v>4.828459515420036E-2</v>
      </c>
      <c r="C666" s="35">
        <v>4.1956809900511871E-2</v>
      </c>
      <c r="D666" s="35">
        <v>3.9314285636464774E-2</v>
      </c>
      <c r="E666" s="35">
        <v>-46.193729640090169</v>
      </c>
      <c r="F666" s="35">
        <v>-8.8875154512188601</v>
      </c>
      <c r="G666" s="35">
        <v>37.552340249418194</v>
      </c>
      <c r="H666" s="35">
        <v>104.75448638890521</v>
      </c>
      <c r="I666" s="35">
        <v>63.37382331741901</v>
      </c>
      <c r="J666" s="35">
        <v>3.0296598702989286</v>
      </c>
      <c r="K666" s="35">
        <v>38.283138144586701</v>
      </c>
      <c r="M666" s="1" t="str">
        <f t="shared" si="54"/>
        <v>$million/million</v>
      </c>
    </row>
    <row r="667" spans="1:13" s="2" customFormat="1" ht="15" x14ac:dyDescent="0.4">
      <c r="A667" s="2" t="s">
        <v>423</v>
      </c>
      <c r="B667" s="2" t="s">
        <v>462</v>
      </c>
    </row>
    <row r="668" spans="1:13" s="7" customFormat="1" x14ac:dyDescent="0.25">
      <c r="A668" s="4" t="str">
        <f t="array" ref="A668:A675">R_CODE</f>
        <v>EU</v>
      </c>
      <c r="B668" s="39">
        <f t="array" ref="B668:K675">IF(EQUITY_COSTS=0,tct_per_cap,(1-EQUITY_PROP)*tct_per_cap+EQUITY_PROP*wtct_per_cap)</f>
        <v>6.0846947981190169E-2</v>
      </c>
      <c r="C668" s="39">
        <v>-85.710330013258499</v>
      </c>
      <c r="D668" s="39">
        <v>-122.24145212020812</v>
      </c>
      <c r="E668" s="39">
        <v>-66.189730364938441</v>
      </c>
      <c r="F668" s="39">
        <v>92.388120173869538</v>
      </c>
      <c r="G668" s="39">
        <v>161.66760351991979</v>
      </c>
      <c r="H668" s="39">
        <v>227.44972985768982</v>
      </c>
      <c r="I668" s="39">
        <v>134.29686624052556</v>
      </c>
      <c r="J668" s="39">
        <v>74.550850103143603</v>
      </c>
      <c r="K668" s="39">
        <v>103.57701814780012</v>
      </c>
      <c r="M668" s="1" t="str">
        <f t="shared" ref="M668:M675" si="55">CURRENCY_NAME&amp;"/"&amp;POP_UNIT_NAME</f>
        <v>$million/million</v>
      </c>
    </row>
    <row r="669" spans="1:13" s="7" customFormat="1" x14ac:dyDescent="0.25">
      <c r="A669" s="4" t="str">
        <v>US</v>
      </c>
      <c r="B669" s="35">
        <v>-367.0326069325456</v>
      </c>
      <c r="C669" s="35">
        <v>-460.87487133452669</v>
      </c>
      <c r="D669" s="35">
        <v>-335.41298626657226</v>
      </c>
      <c r="E669" s="35">
        <v>-69.251907629557536</v>
      </c>
      <c r="F669" s="35">
        <v>335.76314602950879</v>
      </c>
      <c r="G669" s="35">
        <v>426.37530678799521</v>
      </c>
      <c r="H669" s="35">
        <v>498.85855057067238</v>
      </c>
      <c r="I669" s="35">
        <v>116.05694045862765</v>
      </c>
      <c r="J669" s="35">
        <v>145.35428292621509</v>
      </c>
      <c r="K669" s="35">
        <v>179.82402602094226</v>
      </c>
      <c r="M669" s="1" t="str">
        <f t="shared" si="55"/>
        <v>$million/million</v>
      </c>
    </row>
    <row r="670" spans="1:13" s="7" customFormat="1" x14ac:dyDescent="0.25">
      <c r="A670" s="4" t="str">
        <v>OT</v>
      </c>
      <c r="B670" s="35">
        <v>0.18905874896154273</v>
      </c>
      <c r="C670" s="35">
        <v>0.16394534298160579</v>
      </c>
      <c r="D670" s="35">
        <v>0.14903419804977602</v>
      </c>
      <c r="E670" s="35">
        <v>0.13183770333125722</v>
      </c>
      <c r="F670" s="35">
        <v>0.11866992150316946</v>
      </c>
      <c r="G670" s="35">
        <v>-62.418923504286795</v>
      </c>
      <c r="H670" s="35">
        <v>-54.434476849899511</v>
      </c>
      <c r="I670" s="35">
        <v>-48.016039117355831</v>
      </c>
      <c r="J670" s="35">
        <v>6.364134227624163E-2</v>
      </c>
      <c r="K670" s="35">
        <v>-24.551762599730864</v>
      </c>
      <c r="M670" s="1" t="str">
        <f t="shared" si="55"/>
        <v>$million/million</v>
      </c>
    </row>
    <row r="671" spans="1:13" s="7" customFormat="1" x14ac:dyDescent="0.25">
      <c r="A671" s="4" t="str">
        <v>EE</v>
      </c>
      <c r="B671" s="35">
        <v>4.0489777516086178E-2</v>
      </c>
      <c r="C671" s="35">
        <v>3.5403612131176487E-2</v>
      </c>
      <c r="D671" s="35">
        <v>3.2675087122697732E-2</v>
      </c>
      <c r="E671" s="35">
        <v>2.9290143258549506E-2</v>
      </c>
      <c r="F671" s="35">
        <v>2.6733959788543871E-2</v>
      </c>
      <c r="G671" s="35">
        <v>-8.3908204719900823</v>
      </c>
      <c r="H671" s="35">
        <v>-15.831427680413981</v>
      </c>
      <c r="I671" s="35">
        <v>-13.857850502525253</v>
      </c>
      <c r="J671" s="35">
        <v>1.3877065444830805E-2</v>
      </c>
      <c r="K671" s="35">
        <v>-7.7260568226920441</v>
      </c>
      <c r="M671" s="1" t="str">
        <f t="shared" si="55"/>
        <v>$million/million</v>
      </c>
    </row>
    <row r="672" spans="1:13" s="7" customFormat="1" x14ac:dyDescent="0.25">
      <c r="A672" s="4" t="str">
        <v>CA</v>
      </c>
      <c r="B672" s="35">
        <v>2.6696363966493664E-2</v>
      </c>
      <c r="C672" s="35">
        <v>2.3272497910511447E-2</v>
      </c>
      <c r="D672" s="35">
        <v>2.1742676328813104E-2</v>
      </c>
      <c r="E672" s="35">
        <v>-22.027876946633114</v>
      </c>
      <c r="F672" s="35">
        <v>1.68546278879694</v>
      </c>
      <c r="G672" s="35">
        <v>27.140401684325298</v>
      </c>
      <c r="H672" s="35">
        <v>70.80922765473224</v>
      </c>
      <c r="I672" s="35">
        <v>51.10927438489307</v>
      </c>
      <c r="J672" s="35">
        <v>8.9469968616322149</v>
      </c>
      <c r="K672" s="35">
        <v>32.059760132047813</v>
      </c>
      <c r="M672" s="1" t="str">
        <f t="shared" si="55"/>
        <v>$million/million</v>
      </c>
    </row>
    <row r="673" spans="1:13" s="7" customFormat="1" x14ac:dyDescent="0.25">
      <c r="A673" s="4" t="str">
        <v>IA</v>
      </c>
      <c r="B673" s="35">
        <v>2.1430454738037952E-2</v>
      </c>
      <c r="C673" s="35">
        <v>1.8682461740354483E-2</v>
      </c>
      <c r="D673" s="35">
        <v>1.7455893271744571E-2</v>
      </c>
      <c r="E673" s="35">
        <v>-23.545847962635435</v>
      </c>
      <c r="F673" s="35">
        <v>8.0782624651264996</v>
      </c>
      <c r="G673" s="35">
        <v>40.600053479625785</v>
      </c>
      <c r="H673" s="35">
        <v>95.436873538164946</v>
      </c>
      <c r="I673" s="35">
        <v>68.642567356813743</v>
      </c>
      <c r="J673" s="35">
        <v>14.480670331755391</v>
      </c>
      <c r="K673" s="35">
        <v>42.628054838845856</v>
      </c>
      <c r="M673" s="1" t="str">
        <f t="shared" si="55"/>
        <v>$million/million</v>
      </c>
    </row>
    <row r="674" spans="1:13" s="7" customFormat="1" x14ac:dyDescent="0.25">
      <c r="A674" s="4" t="str">
        <v>AF</v>
      </c>
      <c r="B674" s="35">
        <v>5.3405727777771972E-2</v>
      </c>
      <c r="C674" s="35">
        <v>4.6411197145062033E-2</v>
      </c>
      <c r="D674" s="35">
        <v>4.3501706032657239E-2</v>
      </c>
      <c r="E674" s="35">
        <v>-33.833038759948977</v>
      </c>
      <c r="F674" s="35">
        <v>16.598357483918335</v>
      </c>
      <c r="G674" s="35">
        <v>76.884646369855545</v>
      </c>
      <c r="H674" s="35">
        <v>161.94986337241426</v>
      </c>
      <c r="I674" s="35">
        <v>104.25344864912404</v>
      </c>
      <c r="J674" s="35">
        <v>24.476329072043882</v>
      </c>
      <c r="K674" s="35">
        <v>66.614608478688751</v>
      </c>
      <c r="M674" s="1" t="str">
        <f t="shared" si="55"/>
        <v>$million/million</v>
      </c>
    </row>
    <row r="675" spans="1:13" s="7" customFormat="1" x14ac:dyDescent="0.25">
      <c r="A675" s="4" t="str">
        <v>LA</v>
      </c>
      <c r="B675" s="35">
        <v>4.828459515420036E-2</v>
      </c>
      <c r="C675" s="35">
        <v>4.1956809900511871E-2</v>
      </c>
      <c r="D675" s="35">
        <v>3.9314285636464774E-2</v>
      </c>
      <c r="E675" s="35">
        <v>-46.193729640090169</v>
      </c>
      <c r="F675" s="35">
        <v>-8.8875154512188601</v>
      </c>
      <c r="G675" s="35">
        <v>37.552340249418194</v>
      </c>
      <c r="H675" s="35">
        <v>104.75448638890521</v>
      </c>
      <c r="I675" s="35">
        <v>63.37382331741901</v>
      </c>
      <c r="J675" s="35">
        <v>3.0296598702989286</v>
      </c>
      <c r="K675" s="35">
        <v>38.283138144586701</v>
      </c>
      <c r="M675" s="1" t="str">
        <f t="shared" si="55"/>
        <v>$million/million</v>
      </c>
    </row>
    <row r="676" spans="1:13" s="2" customFormat="1" ht="15" x14ac:dyDescent="0.4">
      <c r="A676" s="2" t="s">
        <v>55</v>
      </c>
      <c r="B676" s="2" t="s">
        <v>426</v>
      </c>
    </row>
    <row r="677" spans="1:13" x14ac:dyDescent="0.25">
      <c r="A677" s="4" t="str">
        <f t="array" ref="A677:A684">R_CODE</f>
        <v>EU</v>
      </c>
      <c r="B677" s="37">
        <f t="array" ref="B677:K684">pct_per_cap*POP</f>
        <v>33.8140343639093</v>
      </c>
      <c r="C677" s="37">
        <v>-48000.005271327405</v>
      </c>
      <c r="D677" s="37">
        <v>-68202.535764207467</v>
      </c>
      <c r="E677" s="37">
        <v>-36386.840446964496</v>
      </c>
      <c r="F677" s="37">
        <v>49594.435950436055</v>
      </c>
      <c r="G677" s="37">
        <v>84524.153011506001</v>
      </c>
      <c r="H677" s="37">
        <v>113521.42698163701</v>
      </c>
      <c r="I677" s="37">
        <v>65517.134414029519</v>
      </c>
      <c r="J677" s="37">
        <v>34755.390268482253</v>
      </c>
      <c r="K677" s="37">
        <v>48287.305692583461</v>
      </c>
      <c r="M677" s="43" t="str">
        <f t="shared" ref="M677:M685" si="56">CURRENCY_NAME</f>
        <v>$million</v>
      </c>
    </row>
    <row r="678" spans="1:13" x14ac:dyDescent="0.25">
      <c r="A678" s="4" t="str">
        <v>US</v>
      </c>
      <c r="B678" s="38">
        <v>-116092.90902970913</v>
      </c>
      <c r="C678" s="38">
        <v>-158212.26698667862</v>
      </c>
      <c r="D678" s="38">
        <v>-122934.10139769077</v>
      </c>
      <c r="E678" s="38">
        <v>-26656.884127151905</v>
      </c>
      <c r="F678" s="38">
        <v>134715.25414905392</v>
      </c>
      <c r="G678" s="38">
        <v>176227.81866380345</v>
      </c>
      <c r="H678" s="38">
        <v>216037.42246069349</v>
      </c>
      <c r="I678" s="38">
        <v>51831.992909504908</v>
      </c>
      <c r="J678" s="38">
        <v>69387.373388306209</v>
      </c>
      <c r="K678" s="38">
        <v>85842.099637596926</v>
      </c>
      <c r="M678" s="43" t="str">
        <f t="shared" si="56"/>
        <v>$million</v>
      </c>
    </row>
    <row r="679" spans="1:13" x14ac:dyDescent="0.25">
      <c r="A679" s="4" t="str">
        <v>OT</v>
      </c>
      <c r="B679" s="38">
        <v>41.794276861968314</v>
      </c>
      <c r="C679" s="38">
        <v>40.530837162854887</v>
      </c>
      <c r="D679" s="38">
        <v>40.116885127477786</v>
      </c>
      <c r="E679" s="38">
        <v>37.799638830148453</v>
      </c>
      <c r="F679" s="38">
        <v>35.578155598389351</v>
      </c>
      <c r="G679" s="38">
        <v>-19289.523940073832</v>
      </c>
      <c r="H679" s="38">
        <v>-17293.069955359377</v>
      </c>
      <c r="I679" s="38">
        <v>-15149.15494776953</v>
      </c>
      <c r="J679" s="38">
        <v>19.624986110807001</v>
      </c>
      <c r="K679" s="38">
        <v>-7570.9905351167199</v>
      </c>
      <c r="M679" s="43" t="str">
        <f t="shared" si="56"/>
        <v>$million</v>
      </c>
    </row>
    <row r="680" spans="1:13" x14ac:dyDescent="0.25">
      <c r="A680" s="4" t="str">
        <v>EE</v>
      </c>
      <c r="B680" s="38">
        <v>26.852620905648195</v>
      </c>
      <c r="C680" s="38">
        <v>26.25761754806144</v>
      </c>
      <c r="D680" s="38">
        <v>26.386347572262395</v>
      </c>
      <c r="E680" s="38">
        <v>25.193631453241139</v>
      </c>
      <c r="F680" s="38">
        <v>24.045140564767987</v>
      </c>
      <c r="G680" s="38">
        <v>-7779.1280248624471</v>
      </c>
      <c r="H680" s="38">
        <v>-15088.267705347685</v>
      </c>
      <c r="I680" s="38">
        <v>-13116.537413218119</v>
      </c>
      <c r="J680" s="38">
        <v>12.837750126236678</v>
      </c>
      <c r="K680" s="38">
        <v>-7147.4179714107304</v>
      </c>
      <c r="M680" s="43" t="str">
        <f t="shared" si="56"/>
        <v>$million</v>
      </c>
    </row>
    <row r="681" spans="1:13" x14ac:dyDescent="0.25">
      <c r="A681" s="4" t="str">
        <v>CA</v>
      </c>
      <c r="B681" s="38">
        <v>38.360610202853209</v>
      </c>
      <c r="C681" s="38">
        <v>37.397523706316726</v>
      </c>
      <c r="D681" s="38">
        <v>38.042375443999894</v>
      </c>
      <c r="E681" s="38">
        <v>-41051.971600689896</v>
      </c>
      <c r="F681" s="38">
        <v>3284.5456360887765</v>
      </c>
      <c r="G681" s="38">
        <v>54517.365746957781</v>
      </c>
      <c r="H681" s="38">
        <v>146218.1412988693</v>
      </c>
      <c r="I681" s="38">
        <v>104812.99900041461</v>
      </c>
      <c r="J681" s="38">
        <v>17933.318792607322</v>
      </c>
      <c r="K681" s="38">
        <v>64260.433724758142</v>
      </c>
      <c r="M681" s="43" t="str">
        <f t="shared" si="56"/>
        <v>$million</v>
      </c>
    </row>
    <row r="682" spans="1:13" x14ac:dyDescent="0.25">
      <c r="A682" s="4" t="str">
        <v>IA</v>
      </c>
      <c r="B682" s="38">
        <v>47.375239893374683</v>
      </c>
      <c r="C682" s="38">
        <v>46.187088991270187</v>
      </c>
      <c r="D682" s="38">
        <v>46.987609175862019</v>
      </c>
      <c r="E682" s="38">
        <v>-67509.106002925299</v>
      </c>
      <c r="F682" s="38">
        <v>24219.252470072854</v>
      </c>
      <c r="G682" s="38">
        <v>125467.67223720765</v>
      </c>
      <c r="H682" s="38">
        <v>303189.56402707094</v>
      </c>
      <c r="I682" s="38">
        <v>216568.65247870996</v>
      </c>
      <c r="J682" s="38">
        <v>44653.827837626341</v>
      </c>
      <c r="K682" s="38">
        <v>131451.49901330352</v>
      </c>
      <c r="M682" s="43" t="str">
        <f t="shared" si="56"/>
        <v>$million</v>
      </c>
    </row>
    <row r="683" spans="1:13" x14ac:dyDescent="0.25">
      <c r="A683" s="4" t="str">
        <v>AF</v>
      </c>
      <c r="B683" s="38">
        <v>47.224553955197187</v>
      </c>
      <c r="C683" s="38">
        <v>45.895409770333451</v>
      </c>
      <c r="D683" s="38">
        <v>46.83899310622796</v>
      </c>
      <c r="E683" s="38">
        <v>-38801.54503114066</v>
      </c>
      <c r="F683" s="38">
        <v>19905.261173523726</v>
      </c>
      <c r="G683" s="38">
        <v>95039.654227525112</v>
      </c>
      <c r="H683" s="38">
        <v>205796.80222022545</v>
      </c>
      <c r="I683" s="38">
        <v>131568.67383957483</v>
      </c>
      <c r="J683" s="38">
        <v>30190.916841282557</v>
      </c>
      <c r="K683" s="38">
        <v>82167.391158822487</v>
      </c>
      <c r="M683" s="43" t="str">
        <f t="shared" si="56"/>
        <v>$million</v>
      </c>
    </row>
    <row r="684" spans="1:13" x14ac:dyDescent="0.25">
      <c r="A684" s="4" t="str">
        <v>LA</v>
      </c>
      <c r="B684" s="38">
        <v>26.685087957146035</v>
      </c>
      <c r="C684" s="38">
        <v>25.931578766182163</v>
      </c>
      <c r="D684" s="38">
        <v>26.456455991063009</v>
      </c>
      <c r="E684" s="38">
        <v>-33110.905539397194</v>
      </c>
      <c r="F684" s="38">
        <v>-6661.3637980309295</v>
      </c>
      <c r="G684" s="38">
        <v>29012.306107666303</v>
      </c>
      <c r="H684" s="38">
        <v>83197.578359036925</v>
      </c>
      <c r="I684" s="38">
        <v>49986.415306022587</v>
      </c>
      <c r="J684" s="38">
        <v>2335.6292760532369</v>
      </c>
      <c r="K684" s="38">
        <v>29513.285998294166</v>
      </c>
      <c r="M684" s="43" t="str">
        <f t="shared" si="56"/>
        <v>$million</v>
      </c>
    </row>
    <row r="685" spans="1:13" ht="13.5" thickBot="1" x14ac:dyDescent="0.35">
      <c r="A685" s="2" t="s">
        <v>257</v>
      </c>
      <c r="B685" s="56">
        <f t="shared" ref="B685:K685" si="57">SUM(B677:B684)</f>
        <v>-115830.80260556904</v>
      </c>
      <c r="C685" s="56">
        <f t="shared" si="57"/>
        <v>-205990.07220206101</v>
      </c>
      <c r="D685" s="56">
        <f t="shared" si="57"/>
        <v>-190911.80849548138</v>
      </c>
      <c r="E685" s="56">
        <f t="shared" si="57"/>
        <v>-243454.25947798608</v>
      </c>
      <c r="F685" s="56">
        <f t="shared" si="57"/>
        <v>225117.00887730755</v>
      </c>
      <c r="G685" s="56">
        <f t="shared" si="57"/>
        <v>537720.31802973012</v>
      </c>
      <c r="H685" s="56">
        <f t="shared" si="57"/>
        <v>1035579.5976868261</v>
      </c>
      <c r="I685" s="56">
        <f t="shared" si="57"/>
        <v>592020.17558726878</v>
      </c>
      <c r="J685" s="56">
        <f t="shared" si="57"/>
        <v>199288.91914059495</v>
      </c>
      <c r="K685" s="56">
        <f t="shared" si="57"/>
        <v>426803.60671883129</v>
      </c>
      <c r="L685" s="1"/>
      <c r="M685" s="43" t="str">
        <f t="shared" si="56"/>
        <v>$million</v>
      </c>
    </row>
    <row r="686" spans="1:13" ht="13.5" thickTop="1" x14ac:dyDescent="0.3">
      <c r="A686" s="2" t="s">
        <v>424</v>
      </c>
    </row>
    <row r="687" spans="1:13" s="7" customFormat="1" x14ac:dyDescent="0.25">
      <c r="A687" s="7" t="str">
        <f t="array" ref="A687:A694">R_CODE</f>
        <v>EU</v>
      </c>
      <c r="B687" s="51">
        <f t="array" ref="B687:B694">(1+(DR_1/100))^(-YP_1)</f>
        <v>0.74409391489672516</v>
      </c>
      <c r="C687" s="51">
        <f t="array" ref="C687:K694">DFC*(1+(DR_NOT_1/100))^(-YP_NOT_1)</f>
        <v>0.55367575418633486</v>
      </c>
      <c r="D687" s="51">
        <v>0.41198675951590674</v>
      </c>
      <c r="E687" s="51">
        <v>0.30655684077380668</v>
      </c>
      <c r="F687" s="51">
        <v>0.22810707978975384</v>
      </c>
      <c r="G687" s="51">
        <v>0.16973309001641759</v>
      </c>
      <c r="H687" s="51">
        <v>9.3977096625217096E-2</v>
      </c>
      <c r="I687" s="51">
        <v>5.203283985020915E-2</v>
      </c>
      <c r="J687" s="51">
        <v>2.7074164228775154E-3</v>
      </c>
      <c r="K687" s="51">
        <v>1.4087456513941197E-4</v>
      </c>
    </row>
    <row r="688" spans="1:13" s="7" customFormat="1" x14ac:dyDescent="0.25">
      <c r="A688" s="7" t="str">
        <v>US</v>
      </c>
      <c r="B688" s="52">
        <v>0.74409391489672516</v>
      </c>
      <c r="C688" s="52">
        <v>0.55367575418633486</v>
      </c>
      <c r="D688" s="52">
        <v>0.41198675951590674</v>
      </c>
      <c r="E688" s="52">
        <v>0.30655684077380668</v>
      </c>
      <c r="F688" s="52">
        <v>0.22810707978975384</v>
      </c>
      <c r="G688" s="52">
        <v>0.16973309001641759</v>
      </c>
      <c r="H688" s="52">
        <v>9.3977096625217096E-2</v>
      </c>
      <c r="I688" s="52">
        <v>5.203283985020915E-2</v>
      </c>
      <c r="J688" s="52">
        <v>2.7074164228775154E-3</v>
      </c>
      <c r="K688" s="52">
        <v>1.4087456513941197E-4</v>
      </c>
    </row>
    <row r="689" spans="1:13" s="7" customFormat="1" x14ac:dyDescent="0.25">
      <c r="A689" s="7" t="str">
        <v>OT</v>
      </c>
      <c r="B689" s="52">
        <v>0.74409391489672516</v>
      </c>
      <c r="C689" s="52">
        <v>0.55367575418633486</v>
      </c>
      <c r="D689" s="52">
        <v>0.41198675951590674</v>
      </c>
      <c r="E689" s="52">
        <v>0.30655684077380668</v>
      </c>
      <c r="F689" s="52">
        <v>0.22810707978975384</v>
      </c>
      <c r="G689" s="52">
        <v>0.16973309001641759</v>
      </c>
      <c r="H689" s="52">
        <v>9.3977096625217096E-2</v>
      </c>
      <c r="I689" s="52">
        <v>5.203283985020915E-2</v>
      </c>
      <c r="J689" s="52">
        <v>2.7074164228775154E-3</v>
      </c>
      <c r="K689" s="52">
        <v>1.4087456513941197E-4</v>
      </c>
    </row>
    <row r="690" spans="1:13" s="7" customFormat="1" x14ac:dyDescent="0.25">
      <c r="A690" s="7" t="str">
        <v>EE</v>
      </c>
      <c r="B690" s="52">
        <v>0.74409391489672516</v>
      </c>
      <c r="C690" s="52">
        <v>0.55367575418633486</v>
      </c>
      <c r="D690" s="52">
        <v>0.41198675951590674</v>
      </c>
      <c r="E690" s="52">
        <v>0.30655684077380668</v>
      </c>
      <c r="F690" s="52">
        <v>0.22810707978975384</v>
      </c>
      <c r="G690" s="52">
        <v>0.16973309001641759</v>
      </c>
      <c r="H690" s="52">
        <v>9.3977096625217096E-2</v>
      </c>
      <c r="I690" s="52">
        <v>5.203283985020915E-2</v>
      </c>
      <c r="J690" s="52">
        <v>2.7074164228775154E-3</v>
      </c>
      <c r="K690" s="52">
        <v>1.4087456513941197E-4</v>
      </c>
    </row>
    <row r="691" spans="1:13" s="7" customFormat="1" x14ac:dyDescent="0.25">
      <c r="A691" s="7" t="str">
        <v>CA</v>
      </c>
      <c r="B691" s="52">
        <v>0.74409391489672516</v>
      </c>
      <c r="C691" s="52">
        <v>0.55367575418633486</v>
      </c>
      <c r="D691" s="52">
        <v>0.41198675951590674</v>
      </c>
      <c r="E691" s="52">
        <v>0.30655684077380668</v>
      </c>
      <c r="F691" s="52">
        <v>0.22810707978975384</v>
      </c>
      <c r="G691" s="52">
        <v>0.16973309001641759</v>
      </c>
      <c r="H691" s="52">
        <v>9.3977096625217096E-2</v>
      </c>
      <c r="I691" s="52">
        <v>5.203283985020915E-2</v>
      </c>
      <c r="J691" s="52">
        <v>2.7074164228775154E-3</v>
      </c>
      <c r="K691" s="52">
        <v>1.4087456513941197E-4</v>
      </c>
    </row>
    <row r="692" spans="1:13" s="7" customFormat="1" x14ac:dyDescent="0.25">
      <c r="A692" s="7" t="str">
        <v>IA</v>
      </c>
      <c r="B692" s="52">
        <v>0.74409391489672516</v>
      </c>
      <c r="C692" s="52">
        <v>0.55367575418633486</v>
      </c>
      <c r="D692" s="52">
        <v>0.41198675951590674</v>
      </c>
      <c r="E692" s="52">
        <v>0.30655684077380668</v>
      </c>
      <c r="F692" s="52">
        <v>0.22810707978975384</v>
      </c>
      <c r="G692" s="52">
        <v>0.16973309001641759</v>
      </c>
      <c r="H692" s="52">
        <v>9.3977096625217096E-2</v>
      </c>
      <c r="I692" s="52">
        <v>5.203283985020915E-2</v>
      </c>
      <c r="J692" s="52">
        <v>2.7074164228775154E-3</v>
      </c>
      <c r="K692" s="52">
        <v>1.4087456513941197E-4</v>
      </c>
    </row>
    <row r="693" spans="1:13" s="7" customFormat="1" x14ac:dyDescent="0.25">
      <c r="A693" s="7" t="str">
        <v>AF</v>
      </c>
      <c r="B693" s="52">
        <v>0.74409391489672516</v>
      </c>
      <c r="C693" s="52">
        <v>0.55367575418633486</v>
      </c>
      <c r="D693" s="52">
        <v>0.41198675951590674</v>
      </c>
      <c r="E693" s="52">
        <v>0.30655684077380668</v>
      </c>
      <c r="F693" s="52">
        <v>0.22810707978975384</v>
      </c>
      <c r="G693" s="52">
        <v>0.16973309001641759</v>
      </c>
      <c r="H693" s="52">
        <v>9.3977096625217096E-2</v>
      </c>
      <c r="I693" s="52">
        <v>5.203283985020915E-2</v>
      </c>
      <c r="J693" s="52">
        <v>2.7074164228775154E-3</v>
      </c>
      <c r="K693" s="52">
        <v>1.4087456513941197E-4</v>
      </c>
    </row>
    <row r="694" spans="1:13" s="7" customFormat="1" ht="13" thickBot="1" x14ac:dyDescent="0.3">
      <c r="A694" s="7" t="str">
        <v>LA</v>
      </c>
      <c r="B694" s="53">
        <v>0.74409391489672516</v>
      </c>
      <c r="C694" s="53">
        <v>0.55367575418633486</v>
      </c>
      <c r="D694" s="53">
        <v>0.41198675951590674</v>
      </c>
      <c r="E694" s="53">
        <v>0.30655684077380668</v>
      </c>
      <c r="F694" s="53">
        <v>0.22810707978975384</v>
      </c>
      <c r="G694" s="53">
        <v>0.16973309001641759</v>
      </c>
      <c r="H694" s="53">
        <v>9.3977096625217096E-2</v>
      </c>
      <c r="I694" s="53">
        <v>5.203283985020915E-2</v>
      </c>
      <c r="J694" s="53">
        <v>2.7074164228775154E-3</v>
      </c>
      <c r="K694" s="53">
        <v>1.4087456513941197E-4</v>
      </c>
    </row>
    <row r="695" spans="1:13" ht="15.5" thickTop="1" x14ac:dyDescent="0.4">
      <c r="A695" s="2" t="s">
        <v>147</v>
      </c>
      <c r="B695" s="73" t="s">
        <v>425</v>
      </c>
      <c r="C695" s="58"/>
      <c r="D695" s="58"/>
      <c r="E695" s="58"/>
      <c r="F695" s="58"/>
      <c r="G695" s="58"/>
      <c r="H695" s="58"/>
      <c r="I695" s="58"/>
      <c r="J695" s="58"/>
      <c r="K695" s="58"/>
      <c r="L695" s="1"/>
      <c r="M695" s="1"/>
    </row>
    <row r="696" spans="1:13" x14ac:dyDescent="0.25">
      <c r="A696" s="1" t="str">
        <f t="array" ref="A696:A703">R_CODE&amp;" total"</f>
        <v>EU total</v>
      </c>
      <c r="B696" s="37">
        <f t="array" ref="B696:K703">IF(EQUITY_COSTS=0,pct*DFC,pct*DF)</f>
        <v>25.160817208293668</v>
      </c>
      <c r="C696" s="37">
        <v>-26576.439119550254</v>
      </c>
      <c r="D696" s="37">
        <v>-28098.54170026358</v>
      </c>
      <c r="E696" s="37">
        <v>-11154.63485316201</v>
      </c>
      <c r="F696" s="37">
        <v>11312.84195847396</v>
      </c>
      <c r="G696" s="37">
        <v>14346.545671663411</v>
      </c>
      <c r="H696" s="37">
        <v>10668.414112485836</v>
      </c>
      <c r="I696" s="37">
        <v>3409.0425624098266</v>
      </c>
      <c r="J696" s="37">
        <v>94.097314396406318</v>
      </c>
      <c r="K696" s="37">
        <v>6.8024531911965553</v>
      </c>
      <c r="L696" s="1"/>
      <c r="M696" s="43" t="str">
        <f t="shared" ref="M696:M704" si="58">CURRENCY_NAME</f>
        <v>$million</v>
      </c>
    </row>
    <row r="697" spans="1:13" x14ac:dyDescent="0.25">
      <c r="A697" s="1" t="str">
        <v>US total</v>
      </c>
      <c r="B697" s="38">
        <v>-86384.027171665643</v>
      </c>
      <c r="C697" s="38">
        <v>-87598.296245379068</v>
      </c>
      <c r="D697" s="38">
        <v>-50647.222068834541</v>
      </c>
      <c r="E697" s="38">
        <v>-8171.8501828931257</v>
      </c>
      <c r="F697" s="38">
        <v>30729.503227075227</v>
      </c>
      <c r="G697" s="38">
        <v>29911.692208660286</v>
      </c>
      <c r="H697" s="38">
        <v>20302.569725251455</v>
      </c>
      <c r="I697" s="38">
        <v>2696.9657861774467</v>
      </c>
      <c r="J697" s="38">
        <v>187.86051425183467</v>
      </c>
      <c r="K697" s="38">
        <v>12.092968457100556</v>
      </c>
      <c r="L697" s="1"/>
      <c r="M697" s="43" t="str">
        <f t="shared" si="58"/>
        <v>$million</v>
      </c>
    </row>
    <row r="698" spans="1:13" x14ac:dyDescent="0.25">
      <c r="A698" s="1" t="str">
        <v>OT total</v>
      </c>
      <c r="B698" s="38">
        <v>31.098867090499621</v>
      </c>
      <c r="C698" s="38">
        <v>22.440941833947214</v>
      </c>
      <c r="D698" s="38">
        <v>16.527625505541454</v>
      </c>
      <c r="E698" s="38">
        <v>11.587737862161227</v>
      </c>
      <c r="F698" s="38">
        <v>8.1156291778540819</v>
      </c>
      <c r="G698" s="38">
        <v>-3274.0705032943961</v>
      </c>
      <c r="H698" s="38">
        <v>-1625.1525061414482</v>
      </c>
      <c r="I698" s="38">
        <v>-788.253553263296</v>
      </c>
      <c r="J698" s="38">
        <v>5.3133009695142064E-2</v>
      </c>
      <c r="K698" s="38">
        <v>-1.066559999309173</v>
      </c>
      <c r="L698" s="1"/>
      <c r="M698" s="43" t="str">
        <f t="shared" si="58"/>
        <v>$million</v>
      </c>
    </row>
    <row r="699" spans="1:13" x14ac:dyDescent="0.25">
      <c r="A699" s="1" t="str">
        <v>EE total</v>
      </c>
      <c r="B699" s="38">
        <v>19.980871814921411</v>
      </c>
      <c r="C699" s="38">
        <v>14.53820619905926</v>
      </c>
      <c r="D699" s="38">
        <v>10.870825831756802</v>
      </c>
      <c r="E699" s="38">
        <v>7.7232800659252154</v>
      </c>
      <c r="F699" s="38">
        <v>5.4848667973633809</v>
      </c>
      <c r="G699" s="38">
        <v>-1320.3754372932153</v>
      </c>
      <c r="H699" s="38">
        <v>-1417.951592052603</v>
      </c>
      <c r="I699" s="38">
        <v>-682.49069061125545</v>
      </c>
      <c r="J699" s="38">
        <v>3.475713552457111E-2</v>
      </c>
      <c r="K699" s="38">
        <v>-1.0068893985921059</v>
      </c>
      <c r="L699" s="1"/>
      <c r="M699" s="43" t="str">
        <f t="shared" si="58"/>
        <v>$million</v>
      </c>
    </row>
    <row r="700" spans="1:13" x14ac:dyDescent="0.25">
      <c r="A700" s="1" t="str">
        <v>CA total</v>
      </c>
      <c r="B700" s="38">
        <v>28.543896623668303</v>
      </c>
      <c r="C700" s="38">
        <v>20.706102142796254</v>
      </c>
      <c r="D700" s="38">
        <v>15.672954983461027</v>
      </c>
      <c r="E700" s="38">
        <v>-12584.762721443532</v>
      </c>
      <c r="F700" s="38">
        <v>749.22811348439075</v>
      </c>
      <c r="G700" s="38">
        <v>9253.4009477863528</v>
      </c>
      <c r="H700" s="38">
        <v>13741.156393203497</v>
      </c>
      <c r="I700" s="38">
        <v>5453.7179912087086</v>
      </c>
      <c r="J700" s="38">
        <v>48.552961815803087</v>
      </c>
      <c r="K700" s="38">
        <v>9.0526606566453172</v>
      </c>
      <c r="L700" s="1"/>
      <c r="M700" s="43" t="str">
        <f t="shared" si="58"/>
        <v>$million</v>
      </c>
    </row>
    <row r="701" spans="1:13" x14ac:dyDescent="0.25">
      <c r="A701" s="1" t="str">
        <v>IA total</v>
      </c>
      <c r="B701" s="38">
        <v>35.251627721432683</v>
      </c>
      <c r="C701" s="38">
        <v>25.57267133091289</v>
      </c>
      <c r="D701" s="38">
        <v>19.358272841763288</v>
      </c>
      <c r="E701" s="38">
        <v>-20695.378259720819</v>
      </c>
      <c r="F701" s="38">
        <v>5524.5829556391045</v>
      </c>
      <c r="G701" s="38">
        <v>21296.015705988357</v>
      </c>
      <c r="H701" s="38">
        <v>28492.874954329513</v>
      </c>
      <c r="I701" s="38">
        <v>11268.682011000325</v>
      </c>
      <c r="J701" s="38">
        <v>120.89650683193484</v>
      </c>
      <c r="K701" s="38">
        <v>18.518172760422996</v>
      </c>
      <c r="L701" s="1"/>
      <c r="M701" s="43" t="str">
        <f t="shared" si="58"/>
        <v>$million</v>
      </c>
    </row>
    <row r="702" spans="1:13" x14ac:dyDescent="0.25">
      <c r="A702" s="1" t="str">
        <v>AF total</v>
      </c>
      <c r="B702" s="38">
        <v>35.139503231774299</v>
      </c>
      <c r="C702" s="38">
        <v>25.411175618280261</v>
      </c>
      <c r="D702" s="38">
        <v>19.297044988822758</v>
      </c>
      <c r="E702" s="38">
        <v>-11894.879061889083</v>
      </c>
      <c r="F702" s="38">
        <v>4540.5309987448682</v>
      </c>
      <c r="G702" s="38">
        <v>16131.374186129733</v>
      </c>
      <c r="H702" s="38">
        <v>19340.185967410835</v>
      </c>
      <c r="I702" s="38">
        <v>6845.891735199004</v>
      </c>
      <c r="J702" s="38">
        <v>81.739384077817832</v>
      </c>
      <c r="K702" s="38">
        <v>11.575295498139095</v>
      </c>
      <c r="L702" s="1"/>
      <c r="M702" s="43" t="str">
        <f t="shared" si="58"/>
        <v>$million</v>
      </c>
    </row>
    <row r="703" spans="1:13" x14ac:dyDescent="0.25">
      <c r="A703" s="1" t="str">
        <v>LA total</v>
      </c>
      <c r="B703" s="38">
        <v>19.856211567396247</v>
      </c>
      <c r="C703" s="38">
        <v>14.357686430608259</v>
      </c>
      <c r="D703" s="38">
        <v>10.899709572033251</v>
      </c>
      <c r="E703" s="38">
        <v>-10150.374597317545</v>
      </c>
      <c r="F703" s="38">
        <v>-1519.5042433860199</v>
      </c>
      <c r="G703" s="38">
        <v>4924.3483641563898</v>
      </c>
      <c r="H703" s="38">
        <v>7818.6668604312899</v>
      </c>
      <c r="I703" s="38">
        <v>2600.9351423043186</v>
      </c>
      <c r="J703" s="38">
        <v>6.3235210597400613</v>
      </c>
      <c r="K703" s="38">
        <v>4.1576713308447912</v>
      </c>
      <c r="L703" s="1"/>
      <c r="M703" s="43" t="str">
        <f t="shared" si="58"/>
        <v>$million</v>
      </c>
    </row>
    <row r="704" spans="1:13" ht="13" x14ac:dyDescent="0.3">
      <c r="A704" s="2" t="s">
        <v>313</v>
      </c>
      <c r="B704" s="54">
        <f>SUM(B696:B703)</f>
        <v>-86188.995376407649</v>
      </c>
      <c r="C704" s="54">
        <f t="shared" ref="C704:K704" si="59">SUM(C696:C703)</f>
        <v>-114051.70858137372</v>
      </c>
      <c r="D704" s="54">
        <f t="shared" si="59"/>
        <v>-78653.137335374748</v>
      </c>
      <c r="E704" s="54">
        <f t="shared" si="59"/>
        <v>-74632.568658498029</v>
      </c>
      <c r="F704" s="54">
        <f t="shared" si="59"/>
        <v>51350.783506006752</v>
      </c>
      <c r="G704" s="54">
        <f t="shared" si="59"/>
        <v>91268.931143796915</v>
      </c>
      <c r="H704" s="54">
        <f t="shared" si="59"/>
        <v>97320.763914918381</v>
      </c>
      <c r="I704" s="54">
        <f t="shared" si="59"/>
        <v>30804.49098442508</v>
      </c>
      <c r="J704" s="54">
        <f t="shared" si="59"/>
        <v>539.5580925787566</v>
      </c>
      <c r="K704" s="54">
        <f t="shared" si="59"/>
        <v>60.125772496448036</v>
      </c>
      <c r="L704" s="1"/>
      <c r="M704" s="43" t="str">
        <f t="shared" si="58"/>
        <v>$million</v>
      </c>
    </row>
    <row r="705" spans="1:13" s="2" customFormat="1" ht="15" x14ac:dyDescent="0.4">
      <c r="A705" s="2" t="s">
        <v>146</v>
      </c>
      <c r="B705" s="2" t="s">
        <v>427</v>
      </c>
      <c r="L705" s="2" t="s">
        <v>118</v>
      </c>
    </row>
    <row r="706" spans="1:13" x14ac:dyDescent="0.25">
      <c r="A706" s="1" t="str">
        <f t="array" ref="A706:A713">R_CODE&amp;" total"</f>
        <v>EU total</v>
      </c>
      <c r="B706" s="37">
        <f t="array" ref="B706:K713">pcdt*YAGG</f>
        <v>377.41225812440501</v>
      </c>
      <c r="C706" s="37">
        <v>-265764.39119550254</v>
      </c>
      <c r="D706" s="37">
        <v>-280985.41700263578</v>
      </c>
      <c r="E706" s="37">
        <v>-111546.3485316201</v>
      </c>
      <c r="F706" s="37">
        <v>113128.4195847396</v>
      </c>
      <c r="G706" s="37">
        <v>215198.18507495115</v>
      </c>
      <c r="H706" s="37">
        <v>213368.28224971672</v>
      </c>
      <c r="I706" s="37">
        <v>204542.55374458959</v>
      </c>
      <c r="J706" s="37">
        <v>9409.7314396406327</v>
      </c>
      <c r="K706" s="37">
        <v>340.12265955982775</v>
      </c>
      <c r="L706" s="54">
        <f t="shared" ref="L706:L713" si="60">SUM(B706:K706)</f>
        <v>98068.550281563483</v>
      </c>
      <c r="M706" s="43" t="str">
        <f t="shared" ref="M706:M715" si="61">CURRENCY_NAME</f>
        <v>$million</v>
      </c>
    </row>
    <row r="707" spans="1:13" x14ac:dyDescent="0.25">
      <c r="A707" s="1" t="str">
        <v>US total</v>
      </c>
      <c r="B707" s="38">
        <v>-1295760.4075749847</v>
      </c>
      <c r="C707" s="38">
        <v>-875982.96245379071</v>
      </c>
      <c r="D707" s="38">
        <v>-506472.22068834538</v>
      </c>
      <c r="E707" s="38">
        <v>-81718.501828931257</v>
      </c>
      <c r="F707" s="38">
        <v>307295.03227075224</v>
      </c>
      <c r="G707" s="38">
        <v>448675.38312990428</v>
      </c>
      <c r="H707" s="38">
        <v>406051.39450502908</v>
      </c>
      <c r="I707" s="38">
        <v>161817.9471706468</v>
      </c>
      <c r="J707" s="38">
        <v>18786.051425183468</v>
      </c>
      <c r="K707" s="38">
        <v>604.64842285502777</v>
      </c>
      <c r="L707" s="54">
        <f t="shared" si="60"/>
        <v>-1416703.6356216809</v>
      </c>
      <c r="M707" s="43" t="str">
        <f t="shared" si="61"/>
        <v>$million</v>
      </c>
    </row>
    <row r="708" spans="1:13" x14ac:dyDescent="0.25">
      <c r="A708" s="1" t="str">
        <v>OT total</v>
      </c>
      <c r="B708" s="38">
        <v>466.48300635749433</v>
      </c>
      <c r="C708" s="38">
        <v>224.40941833947215</v>
      </c>
      <c r="D708" s="38">
        <v>165.27625505541454</v>
      </c>
      <c r="E708" s="38">
        <v>115.87737862161227</v>
      </c>
      <c r="F708" s="38">
        <v>81.156291778540819</v>
      </c>
      <c r="G708" s="38">
        <v>-49111.057549415942</v>
      </c>
      <c r="H708" s="38">
        <v>-32503.050122828965</v>
      </c>
      <c r="I708" s="38">
        <v>-47295.213195797762</v>
      </c>
      <c r="J708" s="38">
        <v>5.3133009695142066</v>
      </c>
      <c r="K708" s="38">
        <v>-53.327999965458652</v>
      </c>
      <c r="L708" s="54">
        <f t="shared" si="60"/>
        <v>-127904.13321688608</v>
      </c>
      <c r="M708" s="43" t="str">
        <f t="shared" si="61"/>
        <v>$million</v>
      </c>
    </row>
    <row r="709" spans="1:13" x14ac:dyDescent="0.25">
      <c r="A709" s="1" t="str">
        <v>EE total</v>
      </c>
      <c r="B709" s="38">
        <v>299.71307722382119</v>
      </c>
      <c r="C709" s="38">
        <v>145.3820619905926</v>
      </c>
      <c r="D709" s="38">
        <v>108.70825831756802</v>
      </c>
      <c r="E709" s="38">
        <v>77.232800659252149</v>
      </c>
      <c r="F709" s="38">
        <v>54.848667973633809</v>
      </c>
      <c r="G709" s="38">
        <v>-19805.631559398229</v>
      </c>
      <c r="H709" s="38">
        <v>-28359.031841052059</v>
      </c>
      <c r="I709" s="38">
        <v>-40949.441436675326</v>
      </c>
      <c r="J709" s="38">
        <v>3.475713552457111</v>
      </c>
      <c r="K709" s="38">
        <v>-50.344469929605296</v>
      </c>
      <c r="L709" s="54">
        <f t="shared" si="60"/>
        <v>-88475.088727337905</v>
      </c>
      <c r="M709" s="43" t="str">
        <f t="shared" si="61"/>
        <v>$million</v>
      </c>
    </row>
    <row r="710" spans="1:13" x14ac:dyDescent="0.25">
      <c r="A710" s="1" t="str">
        <v>CA total</v>
      </c>
      <c r="B710" s="38">
        <v>428.15844935502457</v>
      </c>
      <c r="C710" s="38">
        <v>207.06102142796254</v>
      </c>
      <c r="D710" s="38">
        <v>156.72954983461028</v>
      </c>
      <c r="E710" s="38">
        <v>-125847.62721443533</v>
      </c>
      <c r="F710" s="38">
        <v>7492.2811348439072</v>
      </c>
      <c r="G710" s="38">
        <v>138801.0142167953</v>
      </c>
      <c r="H710" s="38">
        <v>274823.12786406995</v>
      </c>
      <c r="I710" s="38">
        <v>327223.07947252248</v>
      </c>
      <c r="J710" s="38">
        <v>4855.2961815803083</v>
      </c>
      <c r="K710" s="38">
        <v>452.63303283226588</v>
      </c>
      <c r="L710" s="54">
        <f t="shared" si="60"/>
        <v>628591.75370882649</v>
      </c>
      <c r="M710" s="43" t="str">
        <f t="shared" si="61"/>
        <v>$million</v>
      </c>
    </row>
    <row r="711" spans="1:13" x14ac:dyDescent="0.25">
      <c r="A711" s="1" t="str">
        <v>IA total</v>
      </c>
      <c r="B711" s="38">
        <v>528.77441582149027</v>
      </c>
      <c r="C711" s="38">
        <v>255.72671330912891</v>
      </c>
      <c r="D711" s="38">
        <v>193.58272841763289</v>
      </c>
      <c r="E711" s="38">
        <v>-206953.78259720819</v>
      </c>
      <c r="F711" s="38">
        <v>55245.829556391043</v>
      </c>
      <c r="G711" s="38">
        <v>319440.23558982537</v>
      </c>
      <c r="H711" s="38">
        <v>569857.49908659025</v>
      </c>
      <c r="I711" s="38">
        <v>676120.9206600195</v>
      </c>
      <c r="J711" s="38">
        <v>12089.650683193484</v>
      </c>
      <c r="K711" s="38">
        <v>925.90863802114973</v>
      </c>
      <c r="L711" s="54">
        <f t="shared" si="60"/>
        <v>1427704.3454743808</v>
      </c>
      <c r="M711" s="43" t="str">
        <f t="shared" si="61"/>
        <v>$million</v>
      </c>
    </row>
    <row r="712" spans="1:13" x14ac:dyDescent="0.25">
      <c r="A712" s="1" t="str">
        <v>AF total</v>
      </c>
      <c r="B712" s="38">
        <v>527.09254847661452</v>
      </c>
      <c r="C712" s="38">
        <v>254.11175618280259</v>
      </c>
      <c r="D712" s="38">
        <v>192.97044988822759</v>
      </c>
      <c r="E712" s="38">
        <v>-118948.79061889084</v>
      </c>
      <c r="F712" s="38">
        <v>45405.30998744868</v>
      </c>
      <c r="G712" s="38">
        <v>241970.61279194598</v>
      </c>
      <c r="H712" s="38">
        <v>386803.71934821666</v>
      </c>
      <c r="I712" s="38">
        <v>410753.50411194022</v>
      </c>
      <c r="J712" s="38">
        <v>8173.9384077817831</v>
      </c>
      <c r="K712" s="38">
        <v>578.7647749069547</v>
      </c>
      <c r="L712" s="54">
        <f t="shared" si="60"/>
        <v>975711.23355789715</v>
      </c>
      <c r="M712" s="43" t="str">
        <f t="shared" si="61"/>
        <v>$million</v>
      </c>
    </row>
    <row r="713" spans="1:13" x14ac:dyDescent="0.25">
      <c r="A713" s="1" t="str">
        <v>LA total</v>
      </c>
      <c r="B713" s="38">
        <v>297.8431735109437</v>
      </c>
      <c r="C713" s="38">
        <v>143.5768643060826</v>
      </c>
      <c r="D713" s="38">
        <v>108.99709572033251</v>
      </c>
      <c r="E713" s="38">
        <v>-101503.74597317545</v>
      </c>
      <c r="F713" s="38">
        <v>-15195.042433860199</v>
      </c>
      <c r="G713" s="38">
        <v>73865.225462345843</v>
      </c>
      <c r="H713" s="38">
        <v>156373.3372086258</v>
      </c>
      <c r="I713" s="38">
        <v>156056.10853825911</v>
      </c>
      <c r="J713" s="38">
        <v>632.35210597400612</v>
      </c>
      <c r="K713" s="38">
        <v>207.88356654223955</v>
      </c>
      <c r="L713" s="54">
        <f t="shared" si="60"/>
        <v>270986.53560824867</v>
      </c>
      <c r="M713" s="43" t="str">
        <f t="shared" si="61"/>
        <v>$million</v>
      </c>
    </row>
    <row r="714" spans="1:13" ht="13" x14ac:dyDescent="0.3">
      <c r="A714" s="2" t="s">
        <v>313</v>
      </c>
      <c r="B714" s="54">
        <f t="shared" ref="B714:L714" si="62">SUM(B706:B713)</f>
        <v>-1292834.930646115</v>
      </c>
      <c r="C714" s="54">
        <f t="shared" si="62"/>
        <v>-1140517.0858137375</v>
      </c>
      <c r="D714" s="54">
        <f t="shared" si="62"/>
        <v>-786531.3733537473</v>
      </c>
      <c r="E714" s="54">
        <f t="shared" si="62"/>
        <v>-746325.68658498023</v>
      </c>
      <c r="F714" s="54">
        <f t="shared" si="62"/>
        <v>513507.83506006753</v>
      </c>
      <c r="G714" s="54">
        <f t="shared" si="62"/>
        <v>1369033.9671569536</v>
      </c>
      <c r="H714" s="54">
        <f t="shared" si="62"/>
        <v>1946415.2782983675</v>
      </c>
      <c r="I714" s="54">
        <f t="shared" si="62"/>
        <v>1848269.4590655048</v>
      </c>
      <c r="J714" s="54">
        <f t="shared" si="62"/>
        <v>53955.809257875655</v>
      </c>
      <c r="K714" s="54">
        <f t="shared" si="62"/>
        <v>3006.2886248224013</v>
      </c>
      <c r="L714" s="54">
        <f t="shared" si="62"/>
        <v>1767979.5610650117</v>
      </c>
      <c r="M714" s="43" t="str">
        <f t="shared" si="61"/>
        <v>$million</v>
      </c>
    </row>
    <row r="715" spans="1:13" ht="13.5" thickBot="1" x14ac:dyDescent="0.35">
      <c r="A715" s="2" t="s">
        <v>428</v>
      </c>
      <c r="L715" s="56">
        <f>SUM(B714:K714)</f>
        <v>1767979.5610650117</v>
      </c>
      <c r="M715" s="43" t="str">
        <f t="shared" si="61"/>
        <v>$million</v>
      </c>
    </row>
    <row r="716" spans="1:13" ht="13" thickTop="1" x14ac:dyDescent="0.25"/>
  </sheetData>
  <phoneticPr fontId="0" type="noConversion"/>
  <pageMargins left="0.75" right="0.75" top="1" bottom="1" header="0.5" footer="0.5"/>
  <pageSetup paperSize="9" orientation="portrait" horizontalDpi="4294967293"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O716"/>
  <sheetViews>
    <sheetView workbookViewId="0"/>
  </sheetViews>
  <sheetFormatPr defaultRowHeight="12.5" x14ac:dyDescent="0.25"/>
  <cols>
    <col min="1" max="1" width="21.54296875" bestFit="1" customWidth="1"/>
    <col min="2" max="6" width="10.1796875" bestFit="1" customWidth="1"/>
    <col min="7" max="7" width="9" customWidth="1"/>
    <col min="8" max="11" width="10.1796875" bestFit="1" customWidth="1"/>
    <col min="12" max="12" width="10.7265625" customWidth="1"/>
    <col min="13" max="13" width="7.26953125" bestFit="1" customWidth="1"/>
  </cols>
  <sheetData>
    <row r="1" spans="1:6" ht="13" x14ac:dyDescent="0.3">
      <c r="A1" s="2" t="str">
        <f>MODEL_NAME</f>
        <v>PAGE09</v>
      </c>
      <c r="B1" t="s">
        <v>44</v>
      </c>
      <c r="C1" s="71">
        <f>VERSION</f>
        <v>1.7</v>
      </c>
      <c r="F1" s="125" t="s">
        <v>492</v>
      </c>
    </row>
    <row r="2" spans="1:6" s="79" customFormat="1" x14ac:dyDescent="0.25">
      <c r="A2" s="43" t="str">
        <f>"Uncertainty in BAU emissions in "&amp;Y_LAST</f>
        <v>Uncertainty in BAU emissions in 2300</v>
      </c>
      <c r="B2" s="43"/>
      <c r="C2" s="43"/>
      <c r="D2" s="43"/>
      <c r="E2" s="43"/>
    </row>
    <row r="3" spans="1:6" s="12" customFormat="1" x14ac:dyDescent="0.25">
      <c r="A3" s="43"/>
      <c r="B3" s="99" t="s">
        <v>14</v>
      </c>
      <c r="C3" s="99" t="s">
        <v>15</v>
      </c>
      <c r="D3" s="99" t="s">
        <v>182</v>
      </c>
      <c r="E3" s="43" t="str">
        <f>GLIN_NAME</f>
        <v>Lin</v>
      </c>
    </row>
    <row r="4" spans="1:6" s="12" customFormat="1" ht="15.5" x14ac:dyDescent="0.4">
      <c r="A4" s="43"/>
      <c r="B4" s="43" t="s">
        <v>129</v>
      </c>
      <c r="C4" s="43" t="s">
        <v>130</v>
      </c>
      <c r="D4" s="43" t="s">
        <v>130</v>
      </c>
      <c r="E4" s="43" t="s">
        <v>160</v>
      </c>
    </row>
    <row r="5" spans="1:6" s="12" customFormat="1" x14ac:dyDescent="0.25">
      <c r="A5" s="22" t="str">
        <f t="array" ref="A5:A12">R_CODE</f>
        <v>EU</v>
      </c>
      <c r="B5" s="35">
        <f>EMIT_CO2_1</f>
        <v>8.3333333330000006</v>
      </c>
      <c r="C5" s="35">
        <f>EMIT_CH4_1</f>
        <v>25</v>
      </c>
      <c r="D5" s="35">
        <f>EMIT_N2O_1</f>
        <v>0</v>
      </c>
      <c r="E5" s="35">
        <f>EMIT_GLIN_1</f>
        <v>0</v>
      </c>
    </row>
    <row r="6" spans="1:6" s="12" customFormat="1" x14ac:dyDescent="0.25">
      <c r="A6" s="22" t="str">
        <v>US</v>
      </c>
      <c r="B6" s="35">
        <f t="array" ref="B6:B12">EMIT_CO2_1*EMITF</f>
        <v>8.3333333330000006</v>
      </c>
      <c r="C6" s="35">
        <f t="array" ref="C6:C12">EMIT_CH4_1*EMITF</f>
        <v>25</v>
      </c>
      <c r="D6" s="35">
        <f t="array" ref="D6:D12">EMIT_N2O_1*EMITF</f>
        <v>0</v>
      </c>
      <c r="E6" s="35">
        <f t="array" ref="E6:E12">EMIT_GLIN_1*EMITF</f>
        <v>0</v>
      </c>
    </row>
    <row r="7" spans="1:6" s="12" customFormat="1" x14ac:dyDescent="0.25">
      <c r="A7" s="22" t="str">
        <v>OT</v>
      </c>
      <c r="B7" s="35">
        <v>8.3333333330000006</v>
      </c>
      <c r="C7" s="35">
        <v>25</v>
      </c>
      <c r="D7" s="35">
        <v>0</v>
      </c>
      <c r="E7" s="35">
        <v>0</v>
      </c>
    </row>
    <row r="8" spans="1:6" s="12" customFormat="1" x14ac:dyDescent="0.25">
      <c r="A8" s="22" t="str">
        <v>EE</v>
      </c>
      <c r="B8" s="35">
        <v>8.3333333330000006</v>
      </c>
      <c r="C8" s="35">
        <v>25</v>
      </c>
      <c r="D8" s="35">
        <v>0</v>
      </c>
      <c r="E8" s="35">
        <v>0</v>
      </c>
    </row>
    <row r="9" spans="1:6" s="12" customFormat="1" x14ac:dyDescent="0.25">
      <c r="A9" s="22" t="str">
        <v>CA</v>
      </c>
      <c r="B9" s="35">
        <v>8.3333333330000006</v>
      </c>
      <c r="C9" s="35">
        <v>25</v>
      </c>
      <c r="D9" s="35">
        <v>0</v>
      </c>
      <c r="E9" s="35">
        <v>0</v>
      </c>
    </row>
    <row r="10" spans="1:6" s="12" customFormat="1" x14ac:dyDescent="0.25">
      <c r="A10" s="22" t="str">
        <v>IA</v>
      </c>
      <c r="B10" s="35">
        <v>8.3333333330000006</v>
      </c>
      <c r="C10" s="35">
        <v>25</v>
      </c>
      <c r="D10" s="35">
        <v>0</v>
      </c>
      <c r="E10" s="35">
        <v>0</v>
      </c>
    </row>
    <row r="11" spans="1:6" s="12" customFormat="1" x14ac:dyDescent="0.25">
      <c r="A11" s="22" t="str">
        <v>AF</v>
      </c>
      <c r="B11" s="35">
        <v>8.3333333330000006</v>
      </c>
      <c r="C11" s="35">
        <v>25</v>
      </c>
      <c r="D11" s="35">
        <v>0</v>
      </c>
      <c r="E11" s="35">
        <v>0</v>
      </c>
    </row>
    <row r="12" spans="1:6" s="12" customFormat="1" x14ac:dyDescent="0.25">
      <c r="A12" s="22" t="str">
        <v>LA</v>
      </c>
      <c r="B12" s="35">
        <v>8.3333333330000006</v>
      </c>
      <c r="C12" s="35">
        <v>25</v>
      </c>
      <c r="D12" s="35">
        <v>0</v>
      </c>
      <c r="E12" s="35">
        <v>0</v>
      </c>
    </row>
    <row r="13" spans="1:6" s="12" customFormat="1" x14ac:dyDescent="0.25">
      <c r="A13" s="43"/>
      <c r="B13" s="43" t="str">
        <f>'Library data'!$G$70</f>
        <v>%</v>
      </c>
      <c r="C13" s="43" t="str">
        <f>'Library data'!$G$77</f>
        <v>%</v>
      </c>
      <c r="D13" s="43" t="str">
        <f>'Library data'!$G$77</f>
        <v>%</v>
      </c>
      <c r="E13" s="43" t="str">
        <f>'Library data'!$G$77</f>
        <v>%</v>
      </c>
    </row>
    <row r="15" spans="1:6" s="79" customFormat="1" x14ac:dyDescent="0.25">
      <c r="A15" s="99" t="s">
        <v>337</v>
      </c>
      <c r="B15" s="43"/>
      <c r="C15" s="43"/>
      <c r="D15" s="43"/>
      <c r="E15" s="43"/>
    </row>
    <row r="16" spans="1:6" s="12" customFormat="1" x14ac:dyDescent="0.25">
      <c r="A16" s="43"/>
      <c r="B16" s="99" t="s">
        <v>14</v>
      </c>
      <c r="C16" s="99" t="s">
        <v>15</v>
      </c>
      <c r="D16" s="99" t="s">
        <v>182</v>
      </c>
      <c r="E16" s="43" t="str">
        <f>GLIN_NAME</f>
        <v>Lin</v>
      </c>
    </row>
    <row r="17" spans="1:5" s="12" customFormat="1" ht="13" x14ac:dyDescent="0.3">
      <c r="A17" s="43"/>
      <c r="B17" s="100" t="s">
        <v>343</v>
      </c>
      <c r="C17" s="100" t="s">
        <v>344</v>
      </c>
      <c r="D17" s="100" t="s">
        <v>345</v>
      </c>
      <c r="E17" s="100" t="s">
        <v>346</v>
      </c>
    </row>
    <row r="18" spans="1:5" s="12" customFormat="1" x14ac:dyDescent="0.25">
      <c r="A18" s="22" t="str">
        <f t="array" ref="A18:A25">R_CODE</f>
        <v>EU</v>
      </c>
      <c r="B18" s="35">
        <f>Q0_PROP_INIT_CO2_1</f>
        <v>20</v>
      </c>
      <c r="C18" s="35">
        <f>Q0_PROP_INIT_CH4_1</f>
        <v>10</v>
      </c>
      <c r="D18" s="35">
        <f>Q0_PROP_INIT_N2O_1</f>
        <v>10</v>
      </c>
      <c r="E18" s="35">
        <f>Q0_PROP_INIT_GLIN_1</f>
        <v>10</v>
      </c>
    </row>
    <row r="19" spans="1:5" s="12" customFormat="1" x14ac:dyDescent="0.25">
      <c r="A19" s="22" t="str">
        <v>US</v>
      </c>
      <c r="B19" s="35">
        <f t="array" ref="B19:B25">Q0_PROP_INIT_CO2_1*Q0F</f>
        <v>21.666666659999997</v>
      </c>
      <c r="C19" s="35">
        <f t="array" ref="C19:C25">Q0_PROP_INIT_CH4_1*Q0F</f>
        <v>10.833333329999999</v>
      </c>
      <c r="D19" s="35">
        <f t="array" ref="D19:D25">Q0_PROP_INIT_N2O_1*Q0F</f>
        <v>10.833333329999999</v>
      </c>
      <c r="E19" s="35">
        <f t="array" ref="E19:E25">Q0_PROP_INIT_GLIN_1*Q0F</f>
        <v>10.833333329999999</v>
      </c>
    </row>
    <row r="20" spans="1:5" s="12" customFormat="1" x14ac:dyDescent="0.25">
      <c r="A20" s="22" t="str">
        <v>OT</v>
      </c>
      <c r="B20" s="35">
        <v>20</v>
      </c>
      <c r="C20" s="35">
        <v>10</v>
      </c>
      <c r="D20" s="35">
        <v>10</v>
      </c>
      <c r="E20" s="35">
        <v>10</v>
      </c>
    </row>
    <row r="21" spans="1:5" s="12" customFormat="1" x14ac:dyDescent="0.25">
      <c r="A21" s="22" t="str">
        <v>EE</v>
      </c>
      <c r="B21" s="35">
        <v>14</v>
      </c>
      <c r="C21" s="35">
        <v>7</v>
      </c>
      <c r="D21" s="35">
        <v>7</v>
      </c>
      <c r="E21" s="35">
        <v>7</v>
      </c>
    </row>
    <row r="22" spans="1:5" s="12" customFormat="1" x14ac:dyDescent="0.25">
      <c r="A22" s="22" t="str">
        <v>CA</v>
      </c>
      <c r="B22" s="35">
        <v>14</v>
      </c>
      <c r="C22" s="35">
        <v>7</v>
      </c>
      <c r="D22" s="35">
        <v>7</v>
      </c>
      <c r="E22" s="35">
        <v>7</v>
      </c>
    </row>
    <row r="23" spans="1:5" s="12" customFormat="1" x14ac:dyDescent="0.25">
      <c r="A23" s="22" t="str">
        <v>IA</v>
      </c>
      <c r="B23" s="35">
        <v>14</v>
      </c>
      <c r="C23" s="35">
        <v>7</v>
      </c>
      <c r="D23" s="35">
        <v>7</v>
      </c>
      <c r="E23" s="35">
        <v>7</v>
      </c>
    </row>
    <row r="24" spans="1:5" s="12" customFormat="1" x14ac:dyDescent="0.25">
      <c r="A24" s="22" t="str">
        <v>AF</v>
      </c>
      <c r="B24" s="35">
        <v>14</v>
      </c>
      <c r="C24" s="35">
        <v>7</v>
      </c>
      <c r="D24" s="35">
        <v>7</v>
      </c>
      <c r="E24" s="35">
        <v>7</v>
      </c>
    </row>
    <row r="25" spans="1:5" s="12" customFormat="1" x14ac:dyDescent="0.25">
      <c r="A25" s="22" t="str">
        <v>LA</v>
      </c>
      <c r="B25" s="35">
        <v>14</v>
      </c>
      <c r="C25" s="35">
        <v>7</v>
      </c>
      <c r="D25" s="35">
        <v>7</v>
      </c>
      <c r="E25" s="35">
        <v>7</v>
      </c>
    </row>
    <row r="26" spans="1:5" s="12" customFormat="1" x14ac:dyDescent="0.25">
      <c r="A26" s="43"/>
      <c r="B26" s="43" t="str">
        <f>'Library data'!$G$70</f>
        <v>%</v>
      </c>
      <c r="C26" s="43" t="str">
        <f>'Library data'!$G$77</f>
        <v>%</v>
      </c>
      <c r="D26" s="43" t="str">
        <f>'Library data'!$G$77</f>
        <v>%</v>
      </c>
      <c r="E26" s="43" t="str">
        <f>'Library data'!$G$77</f>
        <v>%</v>
      </c>
    </row>
    <row r="28" spans="1:5" s="79" customFormat="1" x14ac:dyDescent="0.25">
      <c r="A28" s="99" t="s">
        <v>338</v>
      </c>
      <c r="B28" s="43"/>
      <c r="C28" s="43"/>
      <c r="D28" s="43"/>
      <c r="E28" s="43"/>
    </row>
    <row r="29" spans="1:5" s="12" customFormat="1" x14ac:dyDescent="0.25">
      <c r="A29" s="43"/>
      <c r="B29" s="99" t="s">
        <v>14</v>
      </c>
      <c r="C29" s="99" t="s">
        <v>15</v>
      </c>
      <c r="D29" s="99" t="s">
        <v>182</v>
      </c>
      <c r="E29" s="43" t="str">
        <f>GLIN_NAME</f>
        <v>Lin</v>
      </c>
    </row>
    <row r="30" spans="1:5" s="12" customFormat="1" ht="13.5" x14ac:dyDescent="0.35">
      <c r="A30" s="43"/>
      <c r="B30" s="101" t="s">
        <v>339</v>
      </c>
      <c r="C30" s="101" t="s">
        <v>340</v>
      </c>
      <c r="D30" s="101" t="s">
        <v>341</v>
      </c>
      <c r="E30" s="101" t="s">
        <v>342</v>
      </c>
    </row>
    <row r="31" spans="1:5" s="12" customFormat="1" x14ac:dyDescent="0.25">
      <c r="A31" s="22" t="str">
        <f t="array" ref="A31:A38">R_CODE</f>
        <v>EU</v>
      </c>
      <c r="B31" s="35">
        <f>CMAX_INIT_CO2_1</f>
        <v>400</v>
      </c>
      <c r="C31" s="35">
        <f>CMAX_INIT_CH4_1</f>
        <v>6333.3333329999996</v>
      </c>
      <c r="D31" s="35">
        <f>CMAX_INIT_N2O_1</f>
        <v>27333.333330000001</v>
      </c>
      <c r="E31" s="35">
        <f>CMAX_INIT_GLIN_1</f>
        <v>333.33333329999999</v>
      </c>
    </row>
    <row r="32" spans="1:5" s="12" customFormat="1" x14ac:dyDescent="0.25">
      <c r="A32" s="22" t="str">
        <v>US</v>
      </c>
      <c r="B32" s="35">
        <f t="array" ref="B32:B38">CMAX_INIT_CO2_1*CMAXF</f>
        <v>400</v>
      </c>
      <c r="C32" s="35">
        <f t="array" ref="C32:C38">CMAX_INIT_CH4_1*CMAXF</f>
        <v>6333.3333329999996</v>
      </c>
      <c r="D32" s="35">
        <f t="array" ref="D32:D38">CMAX_INIT_N2O_1*CMAXF</f>
        <v>27333.333330000001</v>
      </c>
      <c r="E32" s="35">
        <f t="array" ref="E32:E38">CMAX_INIT_GLIN_1*CMAXF</f>
        <v>333.33333329999999</v>
      </c>
    </row>
    <row r="33" spans="1:13" s="12" customFormat="1" x14ac:dyDescent="0.25">
      <c r="A33" s="22" t="str">
        <v>OT</v>
      </c>
      <c r="B33" s="35">
        <v>493.33333320000003</v>
      </c>
      <c r="C33" s="35">
        <v>7811.1111085888888</v>
      </c>
      <c r="D33" s="35">
        <v>33711.11109788889</v>
      </c>
      <c r="E33" s="35">
        <v>411.1111109588889</v>
      </c>
    </row>
    <row r="34" spans="1:13" s="12" customFormat="1" x14ac:dyDescent="0.25">
      <c r="A34" s="22" t="str">
        <v>EE</v>
      </c>
      <c r="B34" s="35">
        <v>280</v>
      </c>
      <c r="C34" s="35">
        <v>4433.3333330999994</v>
      </c>
      <c r="D34" s="35">
        <v>19133.333330999998</v>
      </c>
      <c r="E34" s="35">
        <v>233.33333330999997</v>
      </c>
    </row>
    <row r="35" spans="1:13" s="12" customFormat="1" x14ac:dyDescent="0.25">
      <c r="A35" s="22" t="str">
        <v>CA</v>
      </c>
      <c r="B35" s="35">
        <v>400</v>
      </c>
      <c r="C35" s="35">
        <v>6333.3333329999996</v>
      </c>
      <c r="D35" s="35">
        <v>27333.333330000001</v>
      </c>
      <c r="E35" s="35">
        <v>333.33333329999999</v>
      </c>
    </row>
    <row r="36" spans="1:13" s="12" customFormat="1" x14ac:dyDescent="0.25">
      <c r="A36" s="22" t="str">
        <v>IA</v>
      </c>
      <c r="B36" s="35">
        <v>493.33333320000003</v>
      </c>
      <c r="C36" s="35">
        <v>7811.1111085888888</v>
      </c>
      <c r="D36" s="35">
        <v>33711.11109788889</v>
      </c>
      <c r="E36" s="35">
        <v>411.1111109588889</v>
      </c>
    </row>
    <row r="37" spans="1:13" s="12" customFormat="1" x14ac:dyDescent="0.25">
      <c r="A37" s="22" t="str">
        <v>AF</v>
      </c>
      <c r="B37" s="35">
        <v>493.33333320000003</v>
      </c>
      <c r="C37" s="35">
        <v>7811.1111085888888</v>
      </c>
      <c r="D37" s="35">
        <v>33711.11109788889</v>
      </c>
      <c r="E37" s="35">
        <v>411.1111109588889</v>
      </c>
    </row>
    <row r="38" spans="1:13" s="12" customFormat="1" x14ac:dyDescent="0.25">
      <c r="A38" s="22" t="str">
        <v>LA</v>
      </c>
      <c r="B38" s="35">
        <v>280</v>
      </c>
      <c r="C38" s="35">
        <v>4433.3333330999994</v>
      </c>
      <c r="D38" s="35">
        <v>19133.333330999998</v>
      </c>
      <c r="E38" s="35">
        <v>233.33333330999997</v>
      </c>
    </row>
    <row r="39" spans="1:13" s="12" customFormat="1" x14ac:dyDescent="0.25">
      <c r="A39" s="43"/>
      <c r="B39" s="43" t="str">
        <f>CURRENCY_NAME&amp;" per "&amp;EMIT_NAME</f>
        <v>$million per Mtonne</v>
      </c>
      <c r="C39" s="43" t="str">
        <f>CURRENCY_NAME&amp;" per "&amp;EMIT_NAME</f>
        <v>$million per Mtonne</v>
      </c>
      <c r="D39" s="43" t="str">
        <f>CURRENCY_NAME&amp;" per "&amp;EMIT_NAME</f>
        <v>$million per Mtonne</v>
      </c>
      <c r="E39" s="43" t="str">
        <f>CURRENCY_NAME&amp;" per "&amp;EMIT_NAME</f>
        <v>$million per Mtonne</v>
      </c>
    </row>
    <row r="40" spans="1:13" s="12" customFormat="1" x14ac:dyDescent="0.25">
      <c r="A40" s="43"/>
      <c r="B40" s="43"/>
      <c r="C40" s="43"/>
      <c r="D40" s="43"/>
      <c r="E40" s="43"/>
    </row>
    <row r="41" spans="1:13" x14ac:dyDescent="0.25">
      <c r="B41">
        <f t="array" ref="B41:K41">Y</f>
        <v>2010</v>
      </c>
      <c r="C41">
        <v>2020</v>
      </c>
      <c r="D41">
        <v>2030</v>
      </c>
      <c r="E41">
        <v>2040</v>
      </c>
      <c r="F41">
        <v>2050</v>
      </c>
      <c r="G41">
        <v>2060</v>
      </c>
      <c r="H41">
        <v>2080</v>
      </c>
      <c r="I41">
        <v>2100</v>
      </c>
      <c r="J41">
        <v>2200</v>
      </c>
      <c r="K41">
        <v>2300</v>
      </c>
    </row>
    <row r="42" spans="1:13" s="4" customFormat="1" x14ac:dyDescent="0.25">
      <c r="A42" s="4" t="s">
        <v>71</v>
      </c>
      <c r="B42" s="20">
        <f t="array" ref="B42:K42">YP</f>
        <v>10</v>
      </c>
      <c r="C42" s="20">
        <v>10</v>
      </c>
      <c r="D42" s="20">
        <v>10</v>
      </c>
      <c r="E42" s="20">
        <v>10</v>
      </c>
      <c r="F42" s="20">
        <v>10</v>
      </c>
      <c r="G42" s="20">
        <v>10</v>
      </c>
      <c r="H42" s="20">
        <v>20</v>
      </c>
      <c r="I42" s="20">
        <v>20</v>
      </c>
      <c r="J42" s="20">
        <v>100</v>
      </c>
      <c r="K42" s="20">
        <v>100</v>
      </c>
      <c r="M42" s="4" t="s">
        <v>47</v>
      </c>
    </row>
    <row r="43" spans="1:13" s="4" customFormat="1" x14ac:dyDescent="0.25">
      <c r="A43" s="4" t="s">
        <v>113</v>
      </c>
      <c r="B43" s="22">
        <f t="array" ref="B43:K43">Y_HI</f>
        <v>2015</v>
      </c>
      <c r="C43" s="22">
        <v>2025</v>
      </c>
      <c r="D43" s="22">
        <v>2035</v>
      </c>
      <c r="E43" s="22">
        <v>2045</v>
      </c>
      <c r="F43" s="22">
        <v>2055</v>
      </c>
      <c r="G43" s="22">
        <v>2070</v>
      </c>
      <c r="H43" s="22">
        <v>2090</v>
      </c>
      <c r="I43" s="22">
        <v>2150</v>
      </c>
      <c r="J43" s="22">
        <v>2250</v>
      </c>
      <c r="K43" s="22">
        <v>2300</v>
      </c>
    </row>
    <row r="44" spans="1:13" s="4" customFormat="1" x14ac:dyDescent="0.25">
      <c r="A44" s="4" t="s">
        <v>114</v>
      </c>
      <c r="B44" s="22">
        <f t="array" ref="B44:K44">Y_LO</f>
        <v>2000</v>
      </c>
      <c r="C44" s="22">
        <v>2015</v>
      </c>
      <c r="D44" s="22">
        <v>2025</v>
      </c>
      <c r="E44" s="22">
        <v>2035</v>
      </c>
      <c r="F44" s="22">
        <v>2045</v>
      </c>
      <c r="G44" s="22">
        <v>2055</v>
      </c>
      <c r="H44" s="22">
        <v>2070</v>
      </c>
      <c r="I44" s="22">
        <v>2090</v>
      </c>
      <c r="J44" s="22">
        <v>2150</v>
      </c>
      <c r="K44" s="22">
        <v>2250</v>
      </c>
    </row>
    <row r="45" spans="1:13" s="4" customFormat="1" x14ac:dyDescent="0.25">
      <c r="A45" s="4" t="s">
        <v>112</v>
      </c>
      <c r="B45" s="91">
        <f t="array" ref="B45:K45">YAGG</f>
        <v>15</v>
      </c>
      <c r="C45" s="91">
        <v>10</v>
      </c>
      <c r="D45" s="91">
        <v>10</v>
      </c>
      <c r="E45" s="91">
        <v>10</v>
      </c>
      <c r="F45" s="91">
        <v>10</v>
      </c>
      <c r="G45" s="91">
        <v>15</v>
      </c>
      <c r="H45" s="91">
        <v>20</v>
      </c>
      <c r="I45" s="91">
        <v>60</v>
      </c>
      <c r="J45" s="91">
        <v>100</v>
      </c>
      <c r="K45" s="91">
        <v>50</v>
      </c>
      <c r="M45" s="4" t="s">
        <v>47</v>
      </c>
    </row>
    <row r="46" spans="1:13" ht="16" thickBot="1" x14ac:dyDescent="0.45">
      <c r="A46" t="s">
        <v>131</v>
      </c>
      <c r="B46" s="23">
        <f t="array" ref="B46:K46">Y-Y_0</f>
        <v>10</v>
      </c>
      <c r="C46" s="23">
        <v>20</v>
      </c>
      <c r="D46" s="23">
        <v>30</v>
      </c>
      <c r="E46" s="23">
        <v>40</v>
      </c>
      <c r="F46" s="23">
        <v>50</v>
      </c>
      <c r="G46" s="23">
        <v>60</v>
      </c>
      <c r="H46" s="23">
        <v>80</v>
      </c>
      <c r="I46" s="23">
        <v>100</v>
      </c>
      <c r="J46" s="23">
        <v>200</v>
      </c>
      <c r="K46" s="23">
        <v>300</v>
      </c>
      <c r="M46" t="s">
        <v>47</v>
      </c>
    </row>
    <row r="47" spans="1:13" ht="13" thickTop="1" x14ac:dyDescent="0.25"/>
    <row r="48" spans="1:13" s="2" customFormat="1" ht="15" x14ac:dyDescent="0.4">
      <c r="A48" s="2" t="s">
        <v>132</v>
      </c>
      <c r="B48" s="5" t="s">
        <v>133</v>
      </c>
    </row>
    <row r="49" spans="1:13" s="4" customFormat="1" x14ac:dyDescent="0.25">
      <c r="A49" s="4" t="str">
        <f t="array" ref="A49:A56">R_CODE&amp;" "&amp;'Base data'!$B$11</f>
        <v>EU CO2</v>
      </c>
      <c r="B49" s="20">
        <f t="array" ref="B49:K56">(1+(EMIT_CO2/100)*(YMINUSY0/YMINUSY0_LAST))*BAU_CO2</f>
        <v>101.03106584245724</v>
      </c>
      <c r="C49" s="20">
        <v>102.06630502599289</v>
      </c>
      <c r="D49" s="20">
        <v>104.98641278848939</v>
      </c>
      <c r="E49" s="20">
        <v>103.39004035504769</v>
      </c>
      <c r="F49" s="20">
        <v>101.78330753038966</v>
      </c>
      <c r="G49" s="20">
        <v>96.796628387123249</v>
      </c>
      <c r="H49" s="20">
        <v>83.201495653891072</v>
      </c>
      <c r="I49" s="20">
        <v>69.849734791463234</v>
      </c>
      <c r="J49" s="20">
        <v>71.737565461429327</v>
      </c>
      <c r="K49" s="20">
        <v>73.625396131395391</v>
      </c>
      <c r="M49" s="4" t="str">
        <f>'Library data'!$G$70</f>
        <v>%</v>
      </c>
    </row>
    <row r="50" spans="1:13" s="4" customFormat="1" x14ac:dyDescent="0.25">
      <c r="A50" s="4" t="str">
        <v>US CO2</v>
      </c>
      <c r="B50" s="22">
        <v>101.03106584245724</v>
      </c>
      <c r="C50" s="22">
        <v>102.06630502599289</v>
      </c>
      <c r="D50" s="22">
        <v>104.98641278848939</v>
      </c>
      <c r="E50" s="22">
        <v>103.39004035504769</v>
      </c>
      <c r="F50" s="22">
        <v>101.78330753038966</v>
      </c>
      <c r="G50" s="22">
        <v>96.796628387123249</v>
      </c>
      <c r="H50" s="22">
        <v>83.201495653891072</v>
      </c>
      <c r="I50" s="22">
        <v>69.849734791463234</v>
      </c>
      <c r="J50" s="22">
        <v>71.737565461429327</v>
      </c>
      <c r="K50" s="22">
        <v>73.625396131395391</v>
      </c>
      <c r="M50" s="4" t="str">
        <f>'Library data'!$G$70</f>
        <v>%</v>
      </c>
    </row>
    <row r="51" spans="1:13" s="4" customFormat="1" x14ac:dyDescent="0.25">
      <c r="A51" s="4" t="str">
        <v>OT CO2</v>
      </c>
      <c r="B51" s="22">
        <v>101.03106584245724</v>
      </c>
      <c r="C51" s="22">
        <v>102.06630502599289</v>
      </c>
      <c r="D51" s="22">
        <v>104.98641278848939</v>
      </c>
      <c r="E51" s="22">
        <v>103.39004035504769</v>
      </c>
      <c r="F51" s="22">
        <v>101.78330753038966</v>
      </c>
      <c r="G51" s="22">
        <v>96.796628387123249</v>
      </c>
      <c r="H51" s="22">
        <v>83.201495653891072</v>
      </c>
      <c r="I51" s="22">
        <v>69.849734791463234</v>
      </c>
      <c r="J51" s="22">
        <v>71.737565461429327</v>
      </c>
      <c r="K51" s="22">
        <v>73.625396131395391</v>
      </c>
      <c r="M51" s="4" t="str">
        <f>'Library data'!$G$70</f>
        <v>%</v>
      </c>
    </row>
    <row r="52" spans="1:13" s="4" customFormat="1" x14ac:dyDescent="0.25">
      <c r="A52" s="4" t="str">
        <v>EE CO2</v>
      </c>
      <c r="B52" s="22">
        <v>103.12224585947685</v>
      </c>
      <c r="C52" s="22">
        <v>106.2602505448905</v>
      </c>
      <c r="D52" s="22">
        <v>97.804829928720665</v>
      </c>
      <c r="E52" s="22">
        <v>96.209576169563434</v>
      </c>
      <c r="F52" s="22">
        <v>94.604076868910241</v>
      </c>
      <c r="G52" s="22">
        <v>89.339383722688808</v>
      </c>
      <c r="H52" s="22">
        <v>75.528302000685301</v>
      </c>
      <c r="I52" s="22">
        <v>65.143129499376968</v>
      </c>
      <c r="J52" s="22">
        <v>66.903754620913247</v>
      </c>
      <c r="K52" s="22">
        <v>68.664379742449498</v>
      </c>
      <c r="M52" s="4" t="str">
        <f>'Library data'!$G$70</f>
        <v>%</v>
      </c>
    </row>
    <row r="53" spans="1:13" s="4" customFormat="1" x14ac:dyDescent="0.25">
      <c r="A53" s="4" t="str">
        <v>CA CO2</v>
      </c>
      <c r="B53" s="22">
        <v>104.3315330339463</v>
      </c>
      <c r="C53" s="22">
        <v>108.68552454576525</v>
      </c>
      <c r="D53" s="22">
        <v>139.33753941710876</v>
      </c>
      <c r="E53" s="22">
        <v>164.63695893448667</v>
      </c>
      <c r="F53" s="22">
        <v>190.07327718563138</v>
      </c>
      <c r="G53" s="22">
        <v>197.1321826027999</v>
      </c>
      <c r="H53" s="22">
        <v>204.00369998277765</v>
      </c>
      <c r="I53" s="22">
        <v>186.6443357110231</v>
      </c>
      <c r="J53" s="22">
        <v>191.68877721653013</v>
      </c>
      <c r="K53" s="22">
        <v>196.73321872203709</v>
      </c>
      <c r="M53" s="4" t="str">
        <f>'Library data'!$G$70</f>
        <v>%</v>
      </c>
    </row>
    <row r="54" spans="1:13" s="4" customFormat="1" x14ac:dyDescent="0.25">
      <c r="A54" s="4" t="str">
        <v>IA CO2</v>
      </c>
      <c r="B54" s="22">
        <v>104.3315330339463</v>
      </c>
      <c r="C54" s="22">
        <v>108.68552454576525</v>
      </c>
      <c r="D54" s="22">
        <v>139.33753941710876</v>
      </c>
      <c r="E54" s="22">
        <v>164.63695893448667</v>
      </c>
      <c r="F54" s="22">
        <v>190.07327718563138</v>
      </c>
      <c r="G54" s="22">
        <v>197.13218260280001</v>
      </c>
      <c r="H54" s="22">
        <v>204.00369998277768</v>
      </c>
      <c r="I54" s="22">
        <v>186.6443357110231</v>
      </c>
      <c r="J54" s="22">
        <v>191.68877721653013</v>
      </c>
      <c r="K54" s="22">
        <v>196.73321872203709</v>
      </c>
      <c r="M54" s="4" t="str">
        <f>'Library data'!$G$70</f>
        <v>%</v>
      </c>
    </row>
    <row r="55" spans="1:13" s="4" customFormat="1" x14ac:dyDescent="0.25">
      <c r="A55" s="4" t="str">
        <v>AF CO2</v>
      </c>
      <c r="B55" s="22">
        <v>104.35218474654954</v>
      </c>
      <c r="C55" s="22">
        <v>108.72694238489196</v>
      </c>
      <c r="D55" s="22">
        <v>141.3839354119547</v>
      </c>
      <c r="E55" s="22">
        <v>167.87998200188426</v>
      </c>
      <c r="F55" s="22">
        <v>194.51947122458046</v>
      </c>
      <c r="G55" s="22">
        <v>209.06931725703146</v>
      </c>
      <c r="H55" s="22">
        <v>216.91354620893247</v>
      </c>
      <c r="I55" s="22">
        <v>188.4742146781023</v>
      </c>
      <c r="J55" s="22">
        <v>193.56811237190684</v>
      </c>
      <c r="K55" s="22">
        <v>198.66201006571131</v>
      </c>
      <c r="M55" s="4" t="str">
        <f>'Library data'!$G$70</f>
        <v>%</v>
      </c>
    </row>
    <row r="56" spans="1:13" s="4" customFormat="1" ht="13" thickBot="1" x14ac:dyDescent="0.3">
      <c r="A56" s="4" t="str">
        <v>LA CO2</v>
      </c>
      <c r="B56" s="24">
        <v>104.35218474654954</v>
      </c>
      <c r="C56" s="24">
        <v>108.72694238489196</v>
      </c>
      <c r="D56" s="24">
        <v>141.3839354119547</v>
      </c>
      <c r="E56" s="24">
        <v>167.87998200188426</v>
      </c>
      <c r="F56" s="24">
        <v>194.51947122458046</v>
      </c>
      <c r="G56" s="24">
        <v>209.06931725703146</v>
      </c>
      <c r="H56" s="24">
        <v>216.91354620893247</v>
      </c>
      <c r="I56" s="24">
        <v>188.4742146781023</v>
      </c>
      <c r="J56" s="24">
        <v>193.56811237190684</v>
      </c>
      <c r="K56" s="24">
        <v>198.66201006571131</v>
      </c>
      <c r="M56" s="4" t="str">
        <f>'Library data'!$G$70</f>
        <v>%</v>
      </c>
    </row>
    <row r="57" spans="1:13" s="5" customFormat="1" ht="15.5" thickTop="1" x14ac:dyDescent="0.4">
      <c r="A57" s="5" t="s">
        <v>132</v>
      </c>
      <c r="B57" s="5" t="s">
        <v>134</v>
      </c>
    </row>
    <row r="58" spans="1:13" s="4" customFormat="1" x14ac:dyDescent="0.25">
      <c r="A58" s="4" t="str">
        <f t="array" ref="A58:A65">R_CODE&amp;" "&amp;'Base data'!$C$11</f>
        <v>EU CH4</v>
      </c>
      <c r="B58" s="20">
        <f t="array" ref="B58:K65">(1+(EMIT_CH4/100)*(YMINUSY0/YMINUSY0_LAST))*BAU_CH4</f>
        <v>100.49883203454119</v>
      </c>
      <c r="C58" s="20">
        <v>100.99213512199492</v>
      </c>
      <c r="D58" s="20">
        <v>98.644676813831367</v>
      </c>
      <c r="E58" s="20">
        <v>91.75654873698609</v>
      </c>
      <c r="F58" s="20">
        <v>84.744386509830548</v>
      </c>
      <c r="G58" s="20">
        <v>78.954511866888396</v>
      </c>
      <c r="H58" s="20">
        <v>69.365562309961433</v>
      </c>
      <c r="I58" s="20">
        <v>64.100265679912184</v>
      </c>
      <c r="J58" s="20">
        <v>69.031055347597743</v>
      </c>
      <c r="K58" s="20">
        <v>73.961845015283288</v>
      </c>
      <c r="M58" s="4" t="str">
        <f>'Library data'!$G$77</f>
        <v>%</v>
      </c>
    </row>
    <row r="59" spans="1:13" s="4" customFormat="1" x14ac:dyDescent="0.25">
      <c r="A59" s="4" t="str">
        <v>US CH4</v>
      </c>
      <c r="B59" s="22">
        <v>100.49883203454119</v>
      </c>
      <c r="C59" s="22">
        <v>100.99213512199492</v>
      </c>
      <c r="D59" s="22">
        <v>98.644676813831367</v>
      </c>
      <c r="E59" s="22">
        <v>91.75654873698609</v>
      </c>
      <c r="F59" s="22">
        <v>84.744386509830548</v>
      </c>
      <c r="G59" s="22">
        <v>78.954511866888396</v>
      </c>
      <c r="H59" s="22">
        <v>69.365562309961433</v>
      </c>
      <c r="I59" s="22">
        <v>64.100265679912184</v>
      </c>
      <c r="J59" s="22">
        <v>69.031055347597743</v>
      </c>
      <c r="K59" s="22">
        <v>73.961845015283288</v>
      </c>
      <c r="M59" s="4" t="str">
        <f>'Library data'!$G$77</f>
        <v>%</v>
      </c>
    </row>
    <row r="60" spans="1:13" s="4" customFormat="1" x14ac:dyDescent="0.25">
      <c r="A60" s="4" t="str">
        <v>OT CH4</v>
      </c>
      <c r="B60" s="22">
        <v>100.49883203454119</v>
      </c>
      <c r="C60" s="22">
        <v>100.99213512199492</v>
      </c>
      <c r="D60" s="22">
        <v>98.644676813831367</v>
      </c>
      <c r="E60" s="22">
        <v>91.75654873698609</v>
      </c>
      <c r="F60" s="22">
        <v>84.744386509830548</v>
      </c>
      <c r="G60" s="22">
        <v>78.954511866888396</v>
      </c>
      <c r="H60" s="22">
        <v>69.365562309961433</v>
      </c>
      <c r="I60" s="22">
        <v>64.100265679912184</v>
      </c>
      <c r="J60" s="22">
        <v>69.031055347597743</v>
      </c>
      <c r="K60" s="22">
        <v>73.961845015283288</v>
      </c>
      <c r="M60" s="4" t="str">
        <f>'Library data'!$G$77</f>
        <v>%</v>
      </c>
    </row>
    <row r="61" spans="1:13" s="4" customFormat="1" x14ac:dyDescent="0.25">
      <c r="A61" s="4" t="str">
        <v>EE CH4</v>
      </c>
      <c r="B61" s="22">
        <v>104.37838286049357</v>
      </c>
      <c r="C61" s="22">
        <v>108.81536158094021</v>
      </c>
      <c r="D61" s="22">
        <v>116.18478739662596</v>
      </c>
      <c r="E61" s="22">
        <v>106.8371140791775</v>
      </c>
      <c r="F61" s="22">
        <v>97.323436486166088</v>
      </c>
      <c r="G61" s="22">
        <v>88.724902834302071</v>
      </c>
      <c r="H61" s="22">
        <v>75.992969370322371</v>
      </c>
      <c r="I61" s="22">
        <v>68.44732642927228</v>
      </c>
      <c r="J61" s="22">
        <v>73.712505385370164</v>
      </c>
      <c r="K61" s="22">
        <v>78.97768434146802</v>
      </c>
      <c r="M61" s="4" t="str">
        <f>'Library data'!$G$77</f>
        <v>%</v>
      </c>
    </row>
    <row r="62" spans="1:13" s="4" customFormat="1" x14ac:dyDescent="0.25">
      <c r="A62" s="4" t="str">
        <v>CA CH4</v>
      </c>
      <c r="B62" s="22">
        <v>102.22229405970037</v>
      </c>
      <c r="C62" s="22">
        <v>104.46754614793574</v>
      </c>
      <c r="D62" s="22">
        <v>124.17404991024887</v>
      </c>
      <c r="E62" s="22">
        <v>139.71859591994328</v>
      </c>
      <c r="F62" s="22">
        <v>155.49757742783885</v>
      </c>
      <c r="G62" s="22">
        <v>146.5262091118172</v>
      </c>
      <c r="H62" s="22">
        <v>113.20554633558262</v>
      </c>
      <c r="I62" s="22">
        <v>90.204940350638012</v>
      </c>
      <c r="J62" s="22">
        <v>97.143781916071717</v>
      </c>
      <c r="K62" s="22">
        <v>104.08262348150541</v>
      </c>
      <c r="M62" s="4" t="str">
        <f>'Library data'!$G$77</f>
        <v>%</v>
      </c>
    </row>
    <row r="63" spans="1:13" s="4" customFormat="1" x14ac:dyDescent="0.25">
      <c r="A63" s="4" t="str">
        <v>IA CH4</v>
      </c>
      <c r="B63" s="22">
        <v>102.22229405970037</v>
      </c>
      <c r="C63" s="22">
        <v>104.46754614793574</v>
      </c>
      <c r="D63" s="22">
        <v>124.17404991024887</v>
      </c>
      <c r="E63" s="22">
        <v>139.71859591994328</v>
      </c>
      <c r="F63" s="22">
        <v>155.49757742783885</v>
      </c>
      <c r="G63" s="22">
        <v>146.5262091118172</v>
      </c>
      <c r="H63" s="22">
        <v>113.20554633558262</v>
      </c>
      <c r="I63" s="22">
        <v>90.204940350638012</v>
      </c>
      <c r="J63" s="22">
        <v>97.143781916071717</v>
      </c>
      <c r="K63" s="22">
        <v>104.08262348150541</v>
      </c>
      <c r="M63" s="4" t="str">
        <f>'Library data'!$G$77</f>
        <v>%</v>
      </c>
    </row>
    <row r="64" spans="1:13" s="4" customFormat="1" x14ac:dyDescent="0.25">
      <c r="A64" s="4" t="str">
        <v>AF CH4</v>
      </c>
      <c r="B64" s="22">
        <v>102.30443186833253</v>
      </c>
      <c r="C64" s="22">
        <v>104.6331794149295</v>
      </c>
      <c r="D64" s="22">
        <v>127.40769376647137</v>
      </c>
      <c r="E64" s="22">
        <v>138.72396452809139</v>
      </c>
      <c r="F64" s="22">
        <v>150.20604877121053</v>
      </c>
      <c r="G64" s="22">
        <v>150.28970232534519</v>
      </c>
      <c r="H64" s="22">
        <v>137.19473229179786</v>
      </c>
      <c r="I64" s="22">
        <v>107.09396599810681</v>
      </c>
      <c r="J64" s="22">
        <v>115.33196338257657</v>
      </c>
      <c r="K64" s="22">
        <v>123.56996076704633</v>
      </c>
      <c r="M64" s="4" t="str">
        <f>'Library data'!$G$77</f>
        <v>%</v>
      </c>
    </row>
    <row r="65" spans="1:13" s="4" customFormat="1" ht="13" thickBot="1" x14ac:dyDescent="0.3">
      <c r="A65" s="4" t="str">
        <v>LA CH4</v>
      </c>
      <c r="B65" s="24">
        <v>102.30443186833253</v>
      </c>
      <c r="C65" s="24">
        <v>104.6331794149295</v>
      </c>
      <c r="D65" s="24">
        <v>127.40769376647137</v>
      </c>
      <c r="E65" s="24">
        <v>138.72396452809139</v>
      </c>
      <c r="F65" s="24">
        <v>150.20604877121053</v>
      </c>
      <c r="G65" s="24">
        <v>150.28970232534519</v>
      </c>
      <c r="H65" s="24">
        <v>137.19473229179786</v>
      </c>
      <c r="I65" s="24">
        <v>107.09396599810681</v>
      </c>
      <c r="J65" s="24">
        <v>115.33196338257657</v>
      </c>
      <c r="K65" s="24">
        <v>123.56996076704633</v>
      </c>
      <c r="M65" s="4" t="str">
        <f>'Library data'!$G$77</f>
        <v>%</v>
      </c>
    </row>
    <row r="66" spans="1:13" s="5" customFormat="1" ht="15.5" thickTop="1" x14ac:dyDescent="0.4">
      <c r="A66" s="5" t="s">
        <v>132</v>
      </c>
      <c r="B66" s="5" t="s">
        <v>161</v>
      </c>
    </row>
    <row r="67" spans="1:13" s="4" customFormat="1" x14ac:dyDescent="0.25">
      <c r="A67" s="4" t="str">
        <f t="array" ref="A67:A74">R_CODE&amp;" "&amp;'Base data'!$D$11</f>
        <v>EU N2O</v>
      </c>
      <c r="B67" s="20">
        <f t="array" ref="B67:K74">(1+(EMIT_N2O/100)*(YMINUSY0/YMINUSY0_LAST))*BAU_N2O</f>
        <v>99.833509194992871</v>
      </c>
      <c r="C67" s="20">
        <v>99.667018389985728</v>
      </c>
      <c r="D67" s="20">
        <v>102.76504498212294</v>
      </c>
      <c r="E67" s="20">
        <v>100.69239064879683</v>
      </c>
      <c r="F67" s="20">
        <v>98.619736315470718</v>
      </c>
      <c r="G67" s="20">
        <v>96.290523882116133</v>
      </c>
      <c r="H67" s="20">
        <v>90.435125847484542</v>
      </c>
      <c r="I67" s="20">
        <v>85.774869065301957</v>
      </c>
      <c r="J67" s="20">
        <v>85.774869065301957</v>
      </c>
      <c r="K67" s="20">
        <v>85.774869065301957</v>
      </c>
      <c r="M67" s="4" t="str">
        <f>'Library data'!$G$77</f>
        <v>%</v>
      </c>
    </row>
    <row r="68" spans="1:13" s="4" customFormat="1" x14ac:dyDescent="0.25">
      <c r="A68" s="4" t="str">
        <v>US N2O</v>
      </c>
      <c r="B68" s="22">
        <v>99.833509194992871</v>
      </c>
      <c r="C68" s="22">
        <v>99.667018389985728</v>
      </c>
      <c r="D68" s="22">
        <v>102.76504498212294</v>
      </c>
      <c r="E68" s="22">
        <v>100.69239064879683</v>
      </c>
      <c r="F68" s="22">
        <v>98.619736315470718</v>
      </c>
      <c r="G68" s="22">
        <v>96.290523882116133</v>
      </c>
      <c r="H68" s="22">
        <v>90.435125847484542</v>
      </c>
      <c r="I68" s="22">
        <v>85.774869065301957</v>
      </c>
      <c r="J68" s="22">
        <v>85.774869065301957</v>
      </c>
      <c r="K68" s="22">
        <v>85.774869065301957</v>
      </c>
      <c r="M68" s="4" t="str">
        <f>'Library data'!$G$77</f>
        <v>%</v>
      </c>
    </row>
    <row r="69" spans="1:13" s="4" customFormat="1" x14ac:dyDescent="0.25">
      <c r="A69" s="4" t="str">
        <v>OT N2O</v>
      </c>
      <c r="B69" s="22">
        <v>99.833509194992871</v>
      </c>
      <c r="C69" s="22">
        <v>99.667018389985728</v>
      </c>
      <c r="D69" s="22">
        <v>102.76504498212294</v>
      </c>
      <c r="E69" s="22">
        <v>100.69239064879683</v>
      </c>
      <c r="F69" s="22">
        <v>98.619736315470718</v>
      </c>
      <c r="G69" s="22">
        <v>96.290523882116133</v>
      </c>
      <c r="H69" s="22">
        <v>90.435125847484542</v>
      </c>
      <c r="I69" s="22">
        <v>85.774869065301957</v>
      </c>
      <c r="J69" s="22">
        <v>85.774869065301957</v>
      </c>
      <c r="K69" s="22">
        <v>85.774869065301957</v>
      </c>
      <c r="M69" s="4" t="str">
        <f>'Library data'!$G$77</f>
        <v>%</v>
      </c>
    </row>
    <row r="70" spans="1:13" s="4" customFormat="1" x14ac:dyDescent="0.25">
      <c r="A70" s="4" t="str">
        <v>EE N2O</v>
      </c>
      <c r="B70" s="22">
        <v>100.191208470253</v>
      </c>
      <c r="C70" s="22">
        <v>100.38241694050602</v>
      </c>
      <c r="D70" s="22">
        <v>102.98338758736169</v>
      </c>
      <c r="E70" s="22">
        <v>102.78428091863782</v>
      </c>
      <c r="F70" s="22">
        <v>102.58517424991393</v>
      </c>
      <c r="G70" s="22">
        <v>99.686560807057987</v>
      </c>
      <c r="H70" s="22">
        <v>92.836335382981318</v>
      </c>
      <c r="I70" s="22">
        <v>89.452452419291191</v>
      </c>
      <c r="J70" s="22">
        <v>89.452452419291191</v>
      </c>
      <c r="K70" s="22">
        <v>89.452452419291191</v>
      </c>
      <c r="M70" s="4" t="str">
        <f>'Library data'!$G$77</f>
        <v>%</v>
      </c>
    </row>
    <row r="71" spans="1:13" s="4" customFormat="1" x14ac:dyDescent="0.25">
      <c r="A71" s="4" t="str">
        <v>CA N2O</v>
      </c>
      <c r="B71" s="22">
        <v>100.28713025991391</v>
      </c>
      <c r="C71" s="22">
        <v>100.5742605198278</v>
      </c>
      <c r="D71" s="22">
        <v>101.6249235885288</v>
      </c>
      <c r="E71" s="22">
        <v>106.08144944182257</v>
      </c>
      <c r="F71" s="22">
        <v>110.53797529511633</v>
      </c>
      <c r="G71" s="22">
        <v>111.05204261502043</v>
      </c>
      <c r="H71" s="22">
        <v>110.39658695559311</v>
      </c>
      <c r="I71" s="22">
        <v>110.47441305822622</v>
      </c>
      <c r="J71" s="22">
        <v>110.47441305822622</v>
      </c>
      <c r="K71" s="22">
        <v>110.47441305822622</v>
      </c>
      <c r="M71" s="4" t="str">
        <f>'Library data'!$G$77</f>
        <v>%</v>
      </c>
    </row>
    <row r="72" spans="1:13" s="4" customFormat="1" x14ac:dyDescent="0.25">
      <c r="A72" s="4" t="str">
        <v>IA N2O</v>
      </c>
      <c r="B72" s="22">
        <v>100.28713025991391</v>
      </c>
      <c r="C72" s="22">
        <v>100.5742605198278</v>
      </c>
      <c r="D72" s="22">
        <v>101.6249235885288</v>
      </c>
      <c r="E72" s="22">
        <v>106.08144944182257</v>
      </c>
      <c r="F72" s="22">
        <v>110.53797529511633</v>
      </c>
      <c r="G72" s="22">
        <v>111.05204261502043</v>
      </c>
      <c r="H72" s="22">
        <v>110.39658695559311</v>
      </c>
      <c r="I72" s="22">
        <v>110.47441305822622</v>
      </c>
      <c r="J72" s="22">
        <v>110.47441305822622</v>
      </c>
      <c r="K72" s="22">
        <v>110.47441305822622</v>
      </c>
      <c r="M72" s="4" t="str">
        <f>'Library data'!$G$77</f>
        <v>%</v>
      </c>
    </row>
    <row r="73" spans="1:13" s="4" customFormat="1" x14ac:dyDescent="0.25">
      <c r="A73" s="4" t="str">
        <v>AF N2O</v>
      </c>
      <c r="B73" s="22">
        <v>99.864866006912308</v>
      </c>
      <c r="C73" s="22">
        <v>99.729732013824616</v>
      </c>
      <c r="D73" s="22">
        <v>100.45374398066953</v>
      </c>
      <c r="E73" s="22">
        <v>103.70510067976102</v>
      </c>
      <c r="F73" s="22">
        <v>106.95645737885252</v>
      </c>
      <c r="G73" s="22">
        <v>108.9032967269227</v>
      </c>
      <c r="H73" s="22">
        <v>110.88057053055684</v>
      </c>
      <c r="I73" s="22">
        <v>111.76981889816032</v>
      </c>
      <c r="J73" s="22">
        <v>111.76981889816032</v>
      </c>
      <c r="K73" s="22">
        <v>111.76981889816032</v>
      </c>
      <c r="M73" s="4" t="str">
        <f>'Library data'!$G$77</f>
        <v>%</v>
      </c>
    </row>
    <row r="74" spans="1:13" s="4" customFormat="1" ht="13" thickBot="1" x14ac:dyDescent="0.3">
      <c r="A74" s="4" t="str">
        <v>LA N2O</v>
      </c>
      <c r="B74" s="24">
        <v>99.864866006912308</v>
      </c>
      <c r="C74" s="24">
        <v>99.729732013824616</v>
      </c>
      <c r="D74" s="24">
        <v>100.45374398066953</v>
      </c>
      <c r="E74" s="24">
        <v>103.70510067976102</v>
      </c>
      <c r="F74" s="24">
        <v>106.95645737885252</v>
      </c>
      <c r="G74" s="24">
        <v>108.9032967269227</v>
      </c>
      <c r="H74" s="24">
        <v>110.88057053055684</v>
      </c>
      <c r="I74" s="24">
        <v>111.76981889816032</v>
      </c>
      <c r="J74" s="24">
        <v>111.76981889816032</v>
      </c>
      <c r="K74" s="24">
        <v>111.76981889816032</v>
      </c>
      <c r="M74" s="4" t="str">
        <f>'Library data'!$G$77</f>
        <v>%</v>
      </c>
    </row>
    <row r="75" spans="1:13" s="5" customFormat="1" ht="15.5" thickTop="1" x14ac:dyDescent="0.4">
      <c r="A75" s="5" t="s">
        <v>132</v>
      </c>
      <c r="B75" s="5" t="s">
        <v>318</v>
      </c>
    </row>
    <row r="76" spans="1:13" s="4" customFormat="1" x14ac:dyDescent="0.25">
      <c r="A76" s="4" t="str">
        <f t="array" ref="A76:A83">R_CODE&amp;" "&amp;GLIN_NAME</f>
        <v>EU Lin</v>
      </c>
      <c r="B76" s="20">
        <f t="array" ref="B76:K83">(1+(EMIT_GLIN/100)*(YMINUSY0/YMINUSY0_LAST))*BAU_GLIN</f>
        <v>103.34352169441709</v>
      </c>
      <c r="C76" s="20">
        <v>106.68704338883418</v>
      </c>
      <c r="D76" s="20">
        <v>96.875896168722903</v>
      </c>
      <c r="E76" s="20">
        <v>100.85034234321378</v>
      </c>
      <c r="F76" s="20">
        <v>104.82478851770465</v>
      </c>
      <c r="G76" s="20">
        <v>108.75556191500952</v>
      </c>
      <c r="H76" s="20">
        <v>117.47684926713201</v>
      </c>
      <c r="I76" s="20">
        <v>126.29835263284434</v>
      </c>
      <c r="J76" s="20">
        <v>126.29835263284434</v>
      </c>
      <c r="K76" s="20">
        <v>126.29835263284434</v>
      </c>
      <c r="M76" s="4" t="str">
        <f>'Library data'!$G$77</f>
        <v>%</v>
      </c>
    </row>
    <row r="77" spans="1:13" s="4" customFormat="1" x14ac:dyDescent="0.25">
      <c r="A77" s="4" t="str">
        <v>US Lin</v>
      </c>
      <c r="B77" s="22">
        <v>103.34352169441709</v>
      </c>
      <c r="C77" s="22">
        <v>106.68704338883418</v>
      </c>
      <c r="D77" s="22">
        <v>96.875896168722903</v>
      </c>
      <c r="E77" s="22">
        <v>100.85034234321378</v>
      </c>
      <c r="F77" s="22">
        <v>104.82478851770465</v>
      </c>
      <c r="G77" s="22">
        <v>108.75556191500952</v>
      </c>
      <c r="H77" s="22">
        <v>117.47684926713201</v>
      </c>
      <c r="I77" s="22">
        <v>126.29835263284434</v>
      </c>
      <c r="J77" s="22">
        <v>126.29835263284434</v>
      </c>
      <c r="K77" s="22">
        <v>126.29835263284434</v>
      </c>
      <c r="M77" s="4" t="str">
        <f>'Library data'!$G$77</f>
        <v>%</v>
      </c>
    </row>
    <row r="78" spans="1:13" s="4" customFormat="1" x14ac:dyDescent="0.25">
      <c r="A78" s="4" t="str">
        <v>OT Lin</v>
      </c>
      <c r="B78" s="22">
        <v>103.34352169441709</v>
      </c>
      <c r="C78" s="22">
        <v>106.68704338883418</v>
      </c>
      <c r="D78" s="22">
        <v>96.875896168722903</v>
      </c>
      <c r="E78" s="22">
        <v>100.85034234321378</v>
      </c>
      <c r="F78" s="22">
        <v>104.82478851770465</v>
      </c>
      <c r="G78" s="22">
        <v>108.75556191500952</v>
      </c>
      <c r="H78" s="22">
        <v>117.47684926713201</v>
      </c>
      <c r="I78" s="22">
        <v>126.29835263284434</v>
      </c>
      <c r="J78" s="22">
        <v>126.29835263284434</v>
      </c>
      <c r="K78" s="22">
        <v>126.29835263284434</v>
      </c>
      <c r="M78" s="4" t="str">
        <f>'Library data'!$G$77</f>
        <v>%</v>
      </c>
    </row>
    <row r="79" spans="1:13" s="4" customFormat="1" x14ac:dyDescent="0.25">
      <c r="A79" s="4" t="str">
        <v>EE Lin</v>
      </c>
      <c r="B79" s="22">
        <v>103.6765487994021</v>
      </c>
      <c r="C79" s="22">
        <v>107.3530975988042</v>
      </c>
      <c r="D79" s="22">
        <v>184.17706299250798</v>
      </c>
      <c r="E79" s="22">
        <v>266.46567829543955</v>
      </c>
      <c r="F79" s="22">
        <v>348.75429359837113</v>
      </c>
      <c r="G79" s="22">
        <v>361.20122188912922</v>
      </c>
      <c r="H79" s="22">
        <v>368.18074777942832</v>
      </c>
      <c r="I79" s="22">
        <v>334.18264302438598</v>
      </c>
      <c r="J79" s="22">
        <v>334.18264302438598</v>
      </c>
      <c r="K79" s="22">
        <v>334.18264302438598</v>
      </c>
      <c r="M79" s="4" t="str">
        <f>'Library data'!$G$77</f>
        <v>%</v>
      </c>
    </row>
    <row r="80" spans="1:13" s="4" customFormat="1" x14ac:dyDescent="0.25">
      <c r="A80" s="4" t="str">
        <v>CA Lin</v>
      </c>
      <c r="B80" s="22">
        <v>106.35467939271511</v>
      </c>
      <c r="C80" s="22">
        <v>112.70935878543023</v>
      </c>
      <c r="D80" s="22">
        <v>234.43739996280388</v>
      </c>
      <c r="E80" s="22">
        <v>451.9110124172696</v>
      </c>
      <c r="F80" s="22">
        <v>669.38462487173535</v>
      </c>
      <c r="G80" s="22">
        <v>909.99452298125948</v>
      </c>
      <c r="H80" s="22">
        <v>1108.0138156849926</v>
      </c>
      <c r="I80" s="22">
        <v>1029.2620872302932</v>
      </c>
      <c r="J80" s="22">
        <v>1029.2620872302932</v>
      </c>
      <c r="K80" s="22">
        <v>1029.2620872302932</v>
      </c>
      <c r="M80" s="4" t="str">
        <f>'Library data'!$G$77</f>
        <v>%</v>
      </c>
    </row>
    <row r="81" spans="1:13" s="4" customFormat="1" x14ac:dyDescent="0.25">
      <c r="A81" s="4" t="str">
        <v>IA Lin</v>
      </c>
      <c r="B81" s="22">
        <v>106.35467939271511</v>
      </c>
      <c r="C81" s="22">
        <v>112.70935878543023</v>
      </c>
      <c r="D81" s="22">
        <v>234.43739996280388</v>
      </c>
      <c r="E81" s="22">
        <v>451.9110124172696</v>
      </c>
      <c r="F81" s="22">
        <v>669.38462487173535</v>
      </c>
      <c r="G81" s="22">
        <v>909.99452298125948</v>
      </c>
      <c r="H81" s="22">
        <v>1108.0138156849926</v>
      </c>
      <c r="I81" s="22">
        <v>1029.2620872302932</v>
      </c>
      <c r="J81" s="22">
        <v>1029.2620872302932</v>
      </c>
      <c r="K81" s="22">
        <v>1029.2620872302932</v>
      </c>
      <c r="M81" s="4" t="str">
        <f>'Library data'!$G$77</f>
        <v>%</v>
      </c>
    </row>
    <row r="82" spans="1:13" s="4" customFormat="1" x14ac:dyDescent="0.25">
      <c r="A82" s="4" t="str">
        <v>AF Lin</v>
      </c>
      <c r="B82" s="22">
        <v>107.61971843407929</v>
      </c>
      <c r="C82" s="22">
        <v>115.23943686815859</v>
      </c>
      <c r="D82" s="22">
        <v>236.19594623922265</v>
      </c>
      <c r="E82" s="22">
        <v>478.85717300527426</v>
      </c>
      <c r="F82" s="22">
        <v>721.5183997713259</v>
      </c>
      <c r="G82" s="22">
        <v>877.77616411943734</v>
      </c>
      <c r="H82" s="22">
        <v>1006.929628071476</v>
      </c>
      <c r="I82" s="22">
        <v>952.49948602985285</v>
      </c>
      <c r="J82" s="22">
        <v>952.49948602985285</v>
      </c>
      <c r="K82" s="22">
        <v>952.49948602985285</v>
      </c>
      <c r="M82" s="4" t="str">
        <f>'Library data'!$G$77</f>
        <v>%</v>
      </c>
    </row>
    <row r="83" spans="1:13" s="4" customFormat="1" ht="13" thickBot="1" x14ac:dyDescent="0.3">
      <c r="A83" s="4" t="str">
        <v>LA Lin</v>
      </c>
      <c r="B83" s="24">
        <v>107.61971843407929</v>
      </c>
      <c r="C83" s="24">
        <v>115.23943686815859</v>
      </c>
      <c r="D83" s="24">
        <v>236.19594623922265</v>
      </c>
      <c r="E83" s="24">
        <v>478.85717300527426</v>
      </c>
      <c r="F83" s="24">
        <v>721.5183997713259</v>
      </c>
      <c r="G83" s="24">
        <v>877.77616411943734</v>
      </c>
      <c r="H83" s="24">
        <v>1006.929628071476</v>
      </c>
      <c r="I83" s="24">
        <v>952.49948602985285</v>
      </c>
      <c r="J83" s="24">
        <v>952.49948602985285</v>
      </c>
      <c r="K83" s="24">
        <v>952.49948602985285</v>
      </c>
      <c r="M83" s="4" t="str">
        <f>'Library data'!$G$77</f>
        <v>%</v>
      </c>
    </row>
    <row r="84" spans="1:13" s="2" customFormat="1" ht="15.5" thickTop="1" x14ac:dyDescent="0.4">
      <c r="A84" s="2" t="s">
        <v>135</v>
      </c>
      <c r="B84" s="2" t="s">
        <v>136</v>
      </c>
    </row>
    <row r="85" spans="1:13" s="6" customFormat="1" x14ac:dyDescent="0.25">
      <c r="A85" s="4" t="str">
        <f t="array" ref="A85:A92">R_CODE&amp;" "&amp;'Base data'!$B$11</f>
        <v>EU CO2</v>
      </c>
      <c r="B85" s="39">
        <f t="array" ref="B85:B92">IF(ZC_CO2_1&lt;er_co2_1_a,0,ZC_CO2_1-er_co2_1_a)</f>
        <v>0</v>
      </c>
      <c r="C85" s="39">
        <f t="array" ref="C85:K92">IF(ZC_CO2_NOT_1-er_co2_not_1_a&lt;0,0,ZC_CO2_NOT_1-er_co2_not_1_a)</f>
        <v>6.8910777992496008</v>
      </c>
      <c r="D85" s="39">
        <v>26.801271493377669</v>
      </c>
      <c r="E85" s="39">
        <v>44.859442949161568</v>
      </c>
      <c r="F85" s="39">
        <v>64.57913825733587</v>
      </c>
      <c r="G85" s="39">
        <v>68.710368773742118</v>
      </c>
      <c r="H85" s="39">
        <v>66.727902510978609</v>
      </c>
      <c r="I85" s="39">
        <v>54.225688799921315</v>
      </c>
      <c r="J85" s="39">
        <v>54.400752622693233</v>
      </c>
      <c r="K85" s="39">
        <v>64.563293294849231</v>
      </c>
      <c r="M85" s="4" t="str">
        <f>'Library data'!$G$77</f>
        <v>%</v>
      </c>
    </row>
    <row r="86" spans="1:13" s="6" customFormat="1" x14ac:dyDescent="0.25">
      <c r="A86" s="4" t="str">
        <v>US CO2</v>
      </c>
      <c r="B86" s="35">
        <v>7.7411036137515623</v>
      </c>
      <c r="C86" s="35">
        <v>28.376881739614973</v>
      </c>
      <c r="D86" s="35">
        <v>42.12860525595363</v>
      </c>
      <c r="E86" s="35">
        <v>56.363957222420574</v>
      </c>
      <c r="F86" s="35">
        <v>71.015434954376872</v>
      </c>
      <c r="G86" s="35">
        <v>72.753081125337332</v>
      </c>
      <c r="H86" s="35">
        <v>69.052549746296748</v>
      </c>
      <c r="I86" s="35">
        <v>50.151611970684399</v>
      </c>
      <c r="J86" s="35">
        <v>57.189546491065713</v>
      </c>
      <c r="K86" s="35">
        <v>66.021020101973448</v>
      </c>
      <c r="M86" s="4" t="str">
        <f>'Library data'!$G$77</f>
        <v>%</v>
      </c>
    </row>
    <row r="87" spans="1:13" s="6" customFormat="1" x14ac:dyDescent="0.25">
      <c r="A87" s="4" t="str">
        <v>OT CO2</v>
      </c>
      <c r="B87" s="35">
        <v>0</v>
      </c>
      <c r="C87" s="35">
        <v>0</v>
      </c>
      <c r="D87" s="35">
        <v>0</v>
      </c>
      <c r="E87" s="35">
        <v>0</v>
      </c>
      <c r="F87" s="35">
        <v>0</v>
      </c>
      <c r="G87" s="35">
        <v>9.3669879406446626</v>
      </c>
      <c r="H87" s="35">
        <v>23.952276633284882</v>
      </c>
      <c r="I87" s="35">
        <v>14.721863704377846</v>
      </c>
      <c r="J87" s="35">
        <v>0</v>
      </c>
      <c r="K87" s="35">
        <v>30.890247619290228</v>
      </c>
      <c r="M87" s="4" t="str">
        <f>'Library data'!$G$77</f>
        <v>%</v>
      </c>
    </row>
    <row r="88" spans="1:13" s="6" customFormat="1" x14ac:dyDescent="0.25">
      <c r="A88" s="4" t="str">
        <v>EE CO2</v>
      </c>
      <c r="B88" s="35">
        <v>0</v>
      </c>
      <c r="C88" s="35">
        <v>0</v>
      </c>
      <c r="D88" s="35">
        <v>0</v>
      </c>
      <c r="E88" s="35">
        <v>0</v>
      </c>
      <c r="F88" s="35">
        <v>0</v>
      </c>
      <c r="G88" s="35">
        <v>1.9097432762102073</v>
      </c>
      <c r="H88" s="35">
        <v>16.279082980079096</v>
      </c>
      <c r="I88" s="35">
        <v>10.015258412291566</v>
      </c>
      <c r="J88" s="35">
        <v>0</v>
      </c>
      <c r="K88" s="35">
        <v>25.929231230344328</v>
      </c>
      <c r="M88" s="4" t="str">
        <f>'Library data'!$G$77</f>
        <v>%</v>
      </c>
    </row>
    <row r="89" spans="1:13" s="6" customFormat="1" x14ac:dyDescent="0.25">
      <c r="A89" s="4" t="str">
        <v>CA CO2</v>
      </c>
      <c r="B89" s="35">
        <v>0</v>
      </c>
      <c r="C89" s="35">
        <v>0</v>
      </c>
      <c r="D89" s="35">
        <v>0</v>
      </c>
      <c r="E89" s="35">
        <v>19.543354984396615</v>
      </c>
      <c r="F89" s="35">
        <v>82.937316892455542</v>
      </c>
      <c r="G89" s="35">
        <v>109.7025421563213</v>
      </c>
      <c r="H89" s="35">
        <v>144.75448096217144</v>
      </c>
      <c r="I89" s="35">
        <v>131.51646462393771</v>
      </c>
      <c r="J89" s="35">
        <v>109.931674615349</v>
      </c>
      <c r="K89" s="35">
        <v>153.99807020993194</v>
      </c>
      <c r="M89" s="4" t="str">
        <f>'Library data'!$G$77</f>
        <v>%</v>
      </c>
    </row>
    <row r="90" spans="1:13" s="6" customFormat="1" x14ac:dyDescent="0.25">
      <c r="A90" s="4" t="str">
        <v>IA CO2</v>
      </c>
      <c r="B90" s="35">
        <v>0</v>
      </c>
      <c r="C90" s="35">
        <v>0</v>
      </c>
      <c r="D90" s="35">
        <v>0</v>
      </c>
      <c r="E90" s="35">
        <v>19.543354984396615</v>
      </c>
      <c r="F90" s="35">
        <v>82.937316892455513</v>
      </c>
      <c r="G90" s="35">
        <v>109.70254215632141</v>
      </c>
      <c r="H90" s="35">
        <v>144.7544809621715</v>
      </c>
      <c r="I90" s="35">
        <v>131.51646462393771</v>
      </c>
      <c r="J90" s="35">
        <v>109.931674615349</v>
      </c>
      <c r="K90" s="35">
        <v>153.99807020993191</v>
      </c>
      <c r="M90" s="4" t="str">
        <f>'Library data'!$G$77</f>
        <v>%</v>
      </c>
    </row>
    <row r="91" spans="1:13" s="6" customFormat="1" x14ac:dyDescent="0.25">
      <c r="A91" s="4" t="str">
        <v>AF CO2</v>
      </c>
      <c r="B91" s="35">
        <v>0</v>
      </c>
      <c r="C91" s="35">
        <v>0</v>
      </c>
      <c r="D91" s="35">
        <v>0</v>
      </c>
      <c r="E91" s="35">
        <v>22.786378051794202</v>
      </c>
      <c r="F91" s="35">
        <v>87.383510931404615</v>
      </c>
      <c r="G91" s="35">
        <v>121.63967681055287</v>
      </c>
      <c r="H91" s="35">
        <v>157.6643271883263</v>
      </c>
      <c r="I91" s="35">
        <v>133.3463435910169</v>
      </c>
      <c r="J91" s="35">
        <v>111.81100977072572</v>
      </c>
      <c r="K91" s="35">
        <v>155.92686155360616</v>
      </c>
      <c r="M91" s="4" t="str">
        <f>'Library data'!$G$77</f>
        <v>%</v>
      </c>
    </row>
    <row r="92" spans="1:13" s="6" customFormat="1" ht="13" thickBot="1" x14ac:dyDescent="0.3">
      <c r="A92" s="4" t="str">
        <v>LA CO2</v>
      </c>
      <c r="B92" s="49">
        <v>0</v>
      </c>
      <c r="C92" s="49">
        <v>0</v>
      </c>
      <c r="D92" s="49">
        <v>0</v>
      </c>
      <c r="E92" s="49">
        <v>22.786378051794173</v>
      </c>
      <c r="F92" s="49">
        <v>87.383510931404615</v>
      </c>
      <c r="G92" s="49">
        <v>121.63967681055286</v>
      </c>
      <c r="H92" s="49">
        <v>157.6643271883263</v>
      </c>
      <c r="I92" s="49">
        <v>133.3463435910169</v>
      </c>
      <c r="J92" s="49">
        <v>111.8110097707257</v>
      </c>
      <c r="K92" s="49">
        <v>155.92686155360613</v>
      </c>
      <c r="M92" s="4" t="str">
        <f>'Library data'!$G$77</f>
        <v>%</v>
      </c>
    </row>
    <row r="93" spans="1:13" s="8" customFormat="1" ht="15.5" thickTop="1" x14ac:dyDescent="0.4">
      <c r="A93" s="8" t="s">
        <v>135</v>
      </c>
      <c r="B93" s="8" t="s">
        <v>137</v>
      </c>
    </row>
    <row r="94" spans="1:13" s="7" customFormat="1" x14ac:dyDescent="0.25">
      <c r="A94" s="4" t="str">
        <f t="array" ref="A94:A101">R_CODE&amp;" "&amp;'Base data'!$C$11</f>
        <v>EU CH4</v>
      </c>
      <c r="B94" s="39">
        <f t="array" ref="B94:B101">IF(ZC_CH4_1&lt;er_ch4_1_a,0,ZC_CH4_1-er_ch4_1_a)</f>
        <v>100.49883203454119</v>
      </c>
      <c r="C94" s="39">
        <f t="array" ref="C94:K101">IF(ZC_CH4_NOT_1-er_ch4_not_1_a&lt;0,0,ZC_CH4_NOT_1-er_ch4_not_1_a)</f>
        <v>100.99213512199492</v>
      </c>
      <c r="D94" s="39">
        <v>98.644676813831367</v>
      </c>
      <c r="E94" s="39">
        <v>91.75654873698609</v>
      </c>
      <c r="F94" s="39">
        <v>84.744386509830548</v>
      </c>
      <c r="G94" s="39">
        <v>78.954511866888396</v>
      </c>
      <c r="H94" s="39">
        <v>69.365562309961433</v>
      </c>
      <c r="I94" s="39">
        <v>64.100265679912184</v>
      </c>
      <c r="J94" s="39">
        <v>69.031055347597743</v>
      </c>
      <c r="K94" s="39">
        <v>73.961845015283288</v>
      </c>
      <c r="M94" s="4" t="str">
        <f>'Library data'!$G$77</f>
        <v>%</v>
      </c>
    </row>
    <row r="95" spans="1:13" s="7" customFormat="1" x14ac:dyDescent="0.25">
      <c r="A95" s="4" t="str">
        <v>US CH4</v>
      </c>
      <c r="B95" s="35">
        <v>100.49883203454119</v>
      </c>
      <c r="C95" s="35">
        <v>100.99213512199492</v>
      </c>
      <c r="D95" s="35">
        <v>98.644676813831367</v>
      </c>
      <c r="E95" s="35">
        <v>91.75654873698609</v>
      </c>
      <c r="F95" s="35">
        <v>84.744386509830548</v>
      </c>
      <c r="G95" s="35">
        <v>78.954511866888396</v>
      </c>
      <c r="H95" s="35">
        <v>69.365562309961433</v>
      </c>
      <c r="I95" s="35">
        <v>64.100265679912184</v>
      </c>
      <c r="J95" s="35">
        <v>69.031055347597743</v>
      </c>
      <c r="K95" s="35">
        <v>73.961845015283288</v>
      </c>
      <c r="M95" s="4" t="str">
        <f>'Library data'!$G$77</f>
        <v>%</v>
      </c>
    </row>
    <row r="96" spans="1:13" s="7" customFormat="1" x14ac:dyDescent="0.25">
      <c r="A96" s="4" t="str">
        <v>OT CH4</v>
      </c>
      <c r="B96" s="35">
        <v>100.49883203454119</v>
      </c>
      <c r="C96" s="35">
        <v>100.99213512199492</v>
      </c>
      <c r="D96" s="35">
        <v>98.644676813831367</v>
      </c>
      <c r="E96" s="35">
        <v>91.75654873698609</v>
      </c>
      <c r="F96" s="35">
        <v>84.744386509830548</v>
      </c>
      <c r="G96" s="35">
        <v>78.954511866888396</v>
      </c>
      <c r="H96" s="35">
        <v>69.365562309961433</v>
      </c>
      <c r="I96" s="35">
        <v>64.100265679912184</v>
      </c>
      <c r="J96" s="35">
        <v>69.031055347597743</v>
      </c>
      <c r="K96" s="35">
        <v>73.961845015283288</v>
      </c>
      <c r="M96" s="4" t="str">
        <f>'Library data'!$G$77</f>
        <v>%</v>
      </c>
    </row>
    <row r="97" spans="1:13" s="7" customFormat="1" x14ac:dyDescent="0.25">
      <c r="A97" s="4" t="str">
        <v>EE CH4</v>
      </c>
      <c r="B97" s="35">
        <v>104.37838286049357</v>
      </c>
      <c r="C97" s="35">
        <v>108.81536158094021</v>
      </c>
      <c r="D97" s="35">
        <v>116.18478739662596</v>
      </c>
      <c r="E97" s="35">
        <v>106.8371140791775</v>
      </c>
      <c r="F97" s="35">
        <v>97.323436486166088</v>
      </c>
      <c r="G97" s="35">
        <v>88.724902834302071</v>
      </c>
      <c r="H97" s="35">
        <v>75.992969370322371</v>
      </c>
      <c r="I97" s="35">
        <v>68.44732642927228</v>
      </c>
      <c r="J97" s="35">
        <v>73.712505385370164</v>
      </c>
      <c r="K97" s="35">
        <v>78.97768434146802</v>
      </c>
      <c r="M97" s="4" t="str">
        <f>'Library data'!$G$77</f>
        <v>%</v>
      </c>
    </row>
    <row r="98" spans="1:13" s="7" customFormat="1" x14ac:dyDescent="0.25">
      <c r="A98" s="4" t="str">
        <v>CA CH4</v>
      </c>
      <c r="B98" s="35">
        <v>102.22229405970037</v>
      </c>
      <c r="C98" s="35">
        <v>104.46754614793574</v>
      </c>
      <c r="D98" s="35">
        <v>124.17404991024887</v>
      </c>
      <c r="E98" s="35">
        <v>139.71859591994328</v>
      </c>
      <c r="F98" s="35">
        <v>155.49757742783885</v>
      </c>
      <c r="G98" s="35">
        <v>146.5262091118172</v>
      </c>
      <c r="H98" s="35">
        <v>113.20554633558262</v>
      </c>
      <c r="I98" s="35">
        <v>90.204940350638012</v>
      </c>
      <c r="J98" s="35">
        <v>97.143781916071717</v>
      </c>
      <c r="K98" s="35">
        <v>104.08262348150541</v>
      </c>
      <c r="M98" s="4" t="str">
        <f>'Library data'!$G$77</f>
        <v>%</v>
      </c>
    </row>
    <row r="99" spans="1:13" s="7" customFormat="1" x14ac:dyDescent="0.25">
      <c r="A99" s="4" t="str">
        <v>IA CH4</v>
      </c>
      <c r="B99" s="35">
        <v>102.22229405970037</v>
      </c>
      <c r="C99" s="35">
        <v>104.46754614793574</v>
      </c>
      <c r="D99" s="35">
        <v>124.17404991024887</v>
      </c>
      <c r="E99" s="35">
        <v>139.71859591994328</v>
      </c>
      <c r="F99" s="35">
        <v>155.49757742783885</v>
      </c>
      <c r="G99" s="35">
        <v>146.5262091118172</v>
      </c>
      <c r="H99" s="35">
        <v>113.20554633558262</v>
      </c>
      <c r="I99" s="35">
        <v>90.204940350638012</v>
      </c>
      <c r="J99" s="35">
        <v>97.143781916071717</v>
      </c>
      <c r="K99" s="35">
        <v>104.08262348150541</v>
      </c>
      <c r="M99" s="4" t="str">
        <f>'Library data'!$G$77</f>
        <v>%</v>
      </c>
    </row>
    <row r="100" spans="1:13" s="7" customFormat="1" x14ac:dyDescent="0.25">
      <c r="A100" s="4" t="str">
        <v>AF CH4</v>
      </c>
      <c r="B100" s="35">
        <v>102.30443186833253</v>
      </c>
      <c r="C100" s="35">
        <v>104.6331794149295</v>
      </c>
      <c r="D100" s="35">
        <v>127.40769376647137</v>
      </c>
      <c r="E100" s="35">
        <v>138.72396452809139</v>
      </c>
      <c r="F100" s="35">
        <v>150.20604877121053</v>
      </c>
      <c r="G100" s="35">
        <v>150.28970232534519</v>
      </c>
      <c r="H100" s="35">
        <v>137.19473229179786</v>
      </c>
      <c r="I100" s="35">
        <v>107.09396599810681</v>
      </c>
      <c r="J100" s="35">
        <v>115.33196338257657</v>
      </c>
      <c r="K100" s="35">
        <v>123.56996076704633</v>
      </c>
      <c r="M100" s="4" t="str">
        <f>'Library data'!$G$77</f>
        <v>%</v>
      </c>
    </row>
    <row r="101" spans="1:13" s="7" customFormat="1" ht="13" thickBot="1" x14ac:dyDescent="0.3">
      <c r="A101" s="4" t="str">
        <v>LA CH4</v>
      </c>
      <c r="B101" s="49">
        <v>102.30443186833253</v>
      </c>
      <c r="C101" s="49">
        <v>104.6331794149295</v>
      </c>
      <c r="D101" s="49">
        <v>127.40769376647137</v>
      </c>
      <c r="E101" s="49">
        <v>138.72396452809139</v>
      </c>
      <c r="F101" s="49">
        <v>150.20604877121053</v>
      </c>
      <c r="G101" s="49">
        <v>150.28970232534519</v>
      </c>
      <c r="H101" s="49">
        <v>137.19473229179786</v>
      </c>
      <c r="I101" s="49">
        <v>107.09396599810681</v>
      </c>
      <c r="J101" s="49">
        <v>115.33196338257657</v>
      </c>
      <c r="K101" s="49">
        <v>123.56996076704633</v>
      </c>
      <c r="M101" s="4" t="str">
        <f>'Library data'!$G$77</f>
        <v>%</v>
      </c>
    </row>
    <row r="102" spans="1:13" s="8" customFormat="1" ht="15.5" thickTop="1" x14ac:dyDescent="0.4">
      <c r="A102" s="8" t="s">
        <v>135</v>
      </c>
      <c r="B102" s="8" t="s">
        <v>162</v>
      </c>
    </row>
    <row r="103" spans="1:13" s="7" customFormat="1" x14ac:dyDescent="0.25">
      <c r="A103" s="4" t="str">
        <f t="array" ref="A103:A110">R_CODE&amp;" "&amp;'Base data'!$D$11</f>
        <v>EU N2O</v>
      </c>
      <c r="B103" s="39">
        <f t="array" ref="B103:B110">IF(ZC_N2O_1&lt;er_n2o_1_a,0,ZC_N2O_1-er_n2o_1_a)</f>
        <v>99.833509194992871</v>
      </c>
      <c r="C103" s="39">
        <f t="array" ref="C103:K110">IF(ZC_N2O_NOT_1-er_n2o_not_1_a&lt;0,0,ZC_N2O_NOT_1-er_n2o_not_1_a)</f>
        <v>99.667018389985728</v>
      </c>
      <c r="D103" s="39">
        <v>102.76504498212294</v>
      </c>
      <c r="E103" s="39">
        <v>100.69239064879683</v>
      </c>
      <c r="F103" s="39">
        <v>98.619736315470718</v>
      </c>
      <c r="G103" s="39">
        <v>96.290523882116133</v>
      </c>
      <c r="H103" s="39">
        <v>90.435125847484542</v>
      </c>
      <c r="I103" s="39">
        <v>85.774869065301957</v>
      </c>
      <c r="J103" s="39">
        <v>85.774869065301957</v>
      </c>
      <c r="K103" s="39">
        <v>85.774869065301957</v>
      </c>
      <c r="M103" s="4" t="str">
        <f>'Library data'!$G$77</f>
        <v>%</v>
      </c>
    </row>
    <row r="104" spans="1:13" s="7" customFormat="1" x14ac:dyDescent="0.25">
      <c r="A104" s="4" t="str">
        <v>US N2O</v>
      </c>
      <c r="B104" s="35">
        <v>99.833509194992871</v>
      </c>
      <c r="C104" s="35">
        <v>99.667018389985728</v>
      </c>
      <c r="D104" s="35">
        <v>102.76504498212294</v>
      </c>
      <c r="E104" s="35">
        <v>100.69239064879683</v>
      </c>
      <c r="F104" s="35">
        <v>98.619736315470718</v>
      </c>
      <c r="G104" s="35">
        <v>96.290523882116133</v>
      </c>
      <c r="H104" s="35">
        <v>90.435125847484542</v>
      </c>
      <c r="I104" s="35">
        <v>85.774869065301957</v>
      </c>
      <c r="J104" s="35">
        <v>85.774869065301957</v>
      </c>
      <c r="K104" s="35">
        <v>85.774869065301957</v>
      </c>
      <c r="M104" s="4" t="str">
        <f>'Library data'!$G$77</f>
        <v>%</v>
      </c>
    </row>
    <row r="105" spans="1:13" s="7" customFormat="1" x14ac:dyDescent="0.25">
      <c r="A105" s="4" t="str">
        <v>OT N2O</v>
      </c>
      <c r="B105" s="35">
        <v>99.833509194992871</v>
      </c>
      <c r="C105" s="35">
        <v>99.667018389985728</v>
      </c>
      <c r="D105" s="35">
        <v>102.76504498212294</v>
      </c>
      <c r="E105" s="35">
        <v>100.69239064879683</v>
      </c>
      <c r="F105" s="35">
        <v>98.619736315470718</v>
      </c>
      <c r="G105" s="35">
        <v>96.290523882116133</v>
      </c>
      <c r="H105" s="35">
        <v>90.435125847484542</v>
      </c>
      <c r="I105" s="35">
        <v>85.774869065301957</v>
      </c>
      <c r="J105" s="35">
        <v>85.774869065301957</v>
      </c>
      <c r="K105" s="35">
        <v>85.774869065301957</v>
      </c>
      <c r="M105" s="4" t="str">
        <f>'Library data'!$G$77</f>
        <v>%</v>
      </c>
    </row>
    <row r="106" spans="1:13" s="7" customFormat="1" x14ac:dyDescent="0.25">
      <c r="A106" s="4" t="str">
        <v>EE N2O</v>
      </c>
      <c r="B106" s="35">
        <v>100.191208470253</v>
      </c>
      <c r="C106" s="35">
        <v>100.38241694050602</v>
      </c>
      <c r="D106" s="35">
        <v>102.98338758736169</v>
      </c>
      <c r="E106" s="35">
        <v>102.78428091863782</v>
      </c>
      <c r="F106" s="35">
        <v>102.58517424991393</v>
      </c>
      <c r="G106" s="35">
        <v>99.686560807057987</v>
      </c>
      <c r="H106" s="35">
        <v>92.836335382981318</v>
      </c>
      <c r="I106" s="35">
        <v>89.452452419291191</v>
      </c>
      <c r="J106" s="35">
        <v>89.452452419291191</v>
      </c>
      <c r="K106" s="35">
        <v>89.452452419291191</v>
      </c>
      <c r="M106" s="4" t="str">
        <f>'Library data'!$G$77</f>
        <v>%</v>
      </c>
    </row>
    <row r="107" spans="1:13" s="7" customFormat="1" x14ac:dyDescent="0.25">
      <c r="A107" s="4" t="str">
        <v>CA N2O</v>
      </c>
      <c r="B107" s="35">
        <v>100.28713025991391</v>
      </c>
      <c r="C107" s="35">
        <v>100.5742605198278</v>
      </c>
      <c r="D107" s="35">
        <v>101.6249235885288</v>
      </c>
      <c r="E107" s="35">
        <v>106.08144944182257</v>
      </c>
      <c r="F107" s="35">
        <v>110.53797529511633</v>
      </c>
      <c r="G107" s="35">
        <v>111.05204261502043</v>
      </c>
      <c r="H107" s="35">
        <v>110.39658695559311</v>
      </c>
      <c r="I107" s="35">
        <v>110.47441305822622</v>
      </c>
      <c r="J107" s="35">
        <v>110.47441305822622</v>
      </c>
      <c r="K107" s="35">
        <v>110.47441305822622</v>
      </c>
      <c r="M107" s="4" t="str">
        <f>'Library data'!$G$77</f>
        <v>%</v>
      </c>
    </row>
    <row r="108" spans="1:13" s="7" customFormat="1" x14ac:dyDescent="0.25">
      <c r="A108" s="4" t="str">
        <v>IA N2O</v>
      </c>
      <c r="B108" s="35">
        <v>100.28713025991391</v>
      </c>
      <c r="C108" s="35">
        <v>100.5742605198278</v>
      </c>
      <c r="D108" s="35">
        <v>101.6249235885288</v>
      </c>
      <c r="E108" s="35">
        <v>106.08144944182257</v>
      </c>
      <c r="F108" s="35">
        <v>110.53797529511633</v>
      </c>
      <c r="G108" s="35">
        <v>111.05204261502043</v>
      </c>
      <c r="H108" s="35">
        <v>110.39658695559311</v>
      </c>
      <c r="I108" s="35">
        <v>110.47441305822622</v>
      </c>
      <c r="J108" s="35">
        <v>110.47441305822622</v>
      </c>
      <c r="K108" s="35">
        <v>110.47441305822622</v>
      </c>
      <c r="M108" s="4" t="str">
        <f>'Library data'!$G$77</f>
        <v>%</v>
      </c>
    </row>
    <row r="109" spans="1:13" s="7" customFormat="1" x14ac:dyDescent="0.25">
      <c r="A109" s="4" t="str">
        <v>AF N2O</v>
      </c>
      <c r="B109" s="35">
        <v>99.864866006912308</v>
      </c>
      <c r="C109" s="35">
        <v>99.729732013824616</v>
      </c>
      <c r="D109" s="35">
        <v>100.45374398066953</v>
      </c>
      <c r="E109" s="35">
        <v>103.70510067976102</v>
      </c>
      <c r="F109" s="35">
        <v>106.95645737885252</v>
      </c>
      <c r="G109" s="35">
        <v>108.9032967269227</v>
      </c>
      <c r="H109" s="35">
        <v>110.88057053055684</v>
      </c>
      <c r="I109" s="35">
        <v>111.76981889816032</v>
      </c>
      <c r="J109" s="35">
        <v>111.76981889816032</v>
      </c>
      <c r="K109" s="35">
        <v>111.76981889816032</v>
      </c>
      <c r="M109" s="4" t="str">
        <f>'Library data'!$G$77</f>
        <v>%</v>
      </c>
    </row>
    <row r="110" spans="1:13" s="7" customFormat="1" ht="13" thickBot="1" x14ac:dyDescent="0.3">
      <c r="A110" s="4" t="str">
        <v>LA N2O</v>
      </c>
      <c r="B110" s="49">
        <v>99.864866006912308</v>
      </c>
      <c r="C110" s="49">
        <v>99.729732013824616</v>
      </c>
      <c r="D110" s="49">
        <v>100.45374398066953</v>
      </c>
      <c r="E110" s="49">
        <v>103.70510067976102</v>
      </c>
      <c r="F110" s="49">
        <v>106.95645737885252</v>
      </c>
      <c r="G110" s="49">
        <v>108.9032967269227</v>
      </c>
      <c r="H110" s="49">
        <v>110.88057053055684</v>
      </c>
      <c r="I110" s="49">
        <v>111.76981889816032</v>
      </c>
      <c r="J110" s="49">
        <v>111.76981889816032</v>
      </c>
      <c r="K110" s="49">
        <v>111.76981889816032</v>
      </c>
      <c r="M110" s="4" t="str">
        <f>'Library data'!$G$77</f>
        <v>%</v>
      </c>
    </row>
    <row r="111" spans="1:13" s="8" customFormat="1" ht="15.5" thickTop="1" x14ac:dyDescent="0.4">
      <c r="A111" s="8" t="s">
        <v>135</v>
      </c>
      <c r="B111" s="8" t="s">
        <v>319</v>
      </c>
    </row>
    <row r="112" spans="1:13" s="7" customFormat="1" x14ac:dyDescent="0.25">
      <c r="A112" s="4" t="str">
        <f t="array" ref="A112:A119">R_CODE&amp;" "&amp;GLIN_NAME</f>
        <v>EU Lin</v>
      </c>
      <c r="B112" s="39">
        <f t="array" ref="B112:B119">IF(ZC_GLIN_1&lt;er_glin_1_a,0,ZC_GLIN_1-er_glin_1_a)</f>
        <v>103.34352169441709</v>
      </c>
      <c r="C112" s="39">
        <f t="array" ref="C112:K119">IF(ZC_GLIN_NOT_1-er_glin_not_1_a&lt;0,,ZC_GLIN_NOT_1-er_glin_not_1_a)</f>
        <v>106.68704338883418</v>
      </c>
      <c r="D112" s="39">
        <v>96.875896168722903</v>
      </c>
      <c r="E112" s="39">
        <v>100.85034234321378</v>
      </c>
      <c r="F112" s="39">
        <v>104.82478851770465</v>
      </c>
      <c r="G112" s="39">
        <v>108.75556191500952</v>
      </c>
      <c r="H112" s="39">
        <v>117.47684926713201</v>
      </c>
      <c r="I112" s="39">
        <v>126.29835263284434</v>
      </c>
      <c r="J112" s="39">
        <v>126.29835263284434</v>
      </c>
      <c r="K112" s="39">
        <v>126.29835263284434</v>
      </c>
      <c r="M112" s="4" t="str">
        <f>'Library data'!$G$77</f>
        <v>%</v>
      </c>
    </row>
    <row r="113" spans="1:13" s="7" customFormat="1" x14ac:dyDescent="0.25">
      <c r="A113" s="4" t="str">
        <v>US Lin</v>
      </c>
      <c r="B113" s="35">
        <v>103.34352169441709</v>
      </c>
      <c r="C113" s="35">
        <v>106.68704338883418</v>
      </c>
      <c r="D113" s="35">
        <v>96.875896168722903</v>
      </c>
      <c r="E113" s="35">
        <v>100.85034234321378</v>
      </c>
      <c r="F113" s="35">
        <v>104.82478851770465</v>
      </c>
      <c r="G113" s="35">
        <v>108.75556191500952</v>
      </c>
      <c r="H113" s="35">
        <v>117.47684926713201</v>
      </c>
      <c r="I113" s="35">
        <v>126.29835263284434</v>
      </c>
      <c r="J113" s="35">
        <v>126.29835263284434</v>
      </c>
      <c r="K113" s="35">
        <v>126.29835263284434</v>
      </c>
      <c r="M113" s="4" t="str">
        <f>'Library data'!$G$77</f>
        <v>%</v>
      </c>
    </row>
    <row r="114" spans="1:13" s="7" customFormat="1" x14ac:dyDescent="0.25">
      <c r="A114" s="4" t="str">
        <v>OT Lin</v>
      </c>
      <c r="B114" s="35">
        <v>103.34352169441709</v>
      </c>
      <c r="C114" s="35">
        <v>106.68704338883418</v>
      </c>
      <c r="D114" s="35">
        <v>96.875896168722903</v>
      </c>
      <c r="E114" s="35">
        <v>100.85034234321378</v>
      </c>
      <c r="F114" s="35">
        <v>104.82478851770465</v>
      </c>
      <c r="G114" s="35">
        <v>108.75556191500952</v>
      </c>
      <c r="H114" s="35">
        <v>117.47684926713201</v>
      </c>
      <c r="I114" s="35">
        <v>126.29835263284434</v>
      </c>
      <c r="J114" s="35">
        <v>126.29835263284434</v>
      </c>
      <c r="K114" s="35">
        <v>126.29835263284434</v>
      </c>
      <c r="M114" s="4" t="str">
        <f>'Library data'!$G$77</f>
        <v>%</v>
      </c>
    </row>
    <row r="115" spans="1:13" s="7" customFormat="1" x14ac:dyDescent="0.25">
      <c r="A115" s="4" t="str">
        <v>EE Lin</v>
      </c>
      <c r="B115" s="35">
        <v>103.6765487994021</v>
      </c>
      <c r="C115" s="35">
        <v>107.3530975988042</v>
      </c>
      <c r="D115" s="35">
        <v>184.17706299250798</v>
      </c>
      <c r="E115" s="35">
        <v>266.46567829543955</v>
      </c>
      <c r="F115" s="35">
        <v>348.75429359837113</v>
      </c>
      <c r="G115" s="35">
        <v>361.20122188912922</v>
      </c>
      <c r="H115" s="35">
        <v>368.18074777942832</v>
      </c>
      <c r="I115" s="35">
        <v>334.18264302438598</v>
      </c>
      <c r="J115" s="35">
        <v>334.18264302438598</v>
      </c>
      <c r="K115" s="35">
        <v>334.18264302438598</v>
      </c>
      <c r="M115" s="4" t="str">
        <f>'Library data'!$G$77</f>
        <v>%</v>
      </c>
    </row>
    <row r="116" spans="1:13" s="7" customFormat="1" x14ac:dyDescent="0.25">
      <c r="A116" s="4" t="str">
        <v>CA Lin</v>
      </c>
      <c r="B116" s="35">
        <v>106.35467939271511</v>
      </c>
      <c r="C116" s="35">
        <v>112.70935878543023</v>
      </c>
      <c r="D116" s="35">
        <v>234.43739996280388</v>
      </c>
      <c r="E116" s="35">
        <v>451.9110124172696</v>
      </c>
      <c r="F116" s="35">
        <v>669.38462487173535</v>
      </c>
      <c r="G116" s="35">
        <v>909.99452298125948</v>
      </c>
      <c r="H116" s="35">
        <v>1108.0138156849926</v>
      </c>
      <c r="I116" s="35">
        <v>1029.2620872302932</v>
      </c>
      <c r="J116" s="35">
        <v>1029.2620872302932</v>
      </c>
      <c r="K116" s="35">
        <v>1029.2620872302932</v>
      </c>
      <c r="M116" s="4" t="str">
        <f>'Library data'!$G$77</f>
        <v>%</v>
      </c>
    </row>
    <row r="117" spans="1:13" s="7" customFormat="1" x14ac:dyDescent="0.25">
      <c r="A117" s="4" t="str">
        <v>IA Lin</v>
      </c>
      <c r="B117" s="35">
        <v>106.35467939271511</v>
      </c>
      <c r="C117" s="35">
        <v>112.70935878543023</v>
      </c>
      <c r="D117" s="35">
        <v>234.43739996280388</v>
      </c>
      <c r="E117" s="35">
        <v>451.9110124172696</v>
      </c>
      <c r="F117" s="35">
        <v>669.38462487173535</v>
      </c>
      <c r="G117" s="35">
        <v>909.99452298125948</v>
      </c>
      <c r="H117" s="35">
        <v>1108.0138156849926</v>
      </c>
      <c r="I117" s="35">
        <v>1029.2620872302932</v>
      </c>
      <c r="J117" s="35">
        <v>1029.2620872302932</v>
      </c>
      <c r="K117" s="35">
        <v>1029.2620872302932</v>
      </c>
      <c r="M117" s="4" t="str">
        <f>'Library data'!$G$77</f>
        <v>%</v>
      </c>
    </row>
    <row r="118" spans="1:13" s="7" customFormat="1" x14ac:dyDescent="0.25">
      <c r="A118" s="4" t="str">
        <v>AF Lin</v>
      </c>
      <c r="B118" s="35">
        <v>107.61971843407929</v>
      </c>
      <c r="C118" s="35">
        <v>115.23943686815859</v>
      </c>
      <c r="D118" s="35">
        <v>236.19594623922265</v>
      </c>
      <c r="E118" s="35">
        <v>478.85717300527426</v>
      </c>
      <c r="F118" s="35">
        <v>721.5183997713259</v>
      </c>
      <c r="G118" s="35">
        <v>877.77616411943734</v>
      </c>
      <c r="H118" s="35">
        <v>1006.929628071476</v>
      </c>
      <c r="I118" s="35">
        <v>952.49948602985285</v>
      </c>
      <c r="J118" s="35">
        <v>952.49948602985285</v>
      </c>
      <c r="K118" s="35">
        <v>952.49948602985285</v>
      </c>
      <c r="M118" s="4" t="str">
        <f>'Library data'!$G$77</f>
        <v>%</v>
      </c>
    </row>
    <row r="119" spans="1:13" s="7" customFormat="1" ht="13" thickBot="1" x14ac:dyDescent="0.3">
      <c r="A119" s="4" t="str">
        <v>LA Lin</v>
      </c>
      <c r="B119" s="49">
        <v>107.61971843407929</v>
      </c>
      <c r="C119" s="49">
        <v>115.23943686815859</v>
      </c>
      <c r="D119" s="49">
        <v>236.19594623922265</v>
      </c>
      <c r="E119" s="49">
        <v>478.85717300527426</v>
      </c>
      <c r="F119" s="49">
        <v>721.5183997713259</v>
      </c>
      <c r="G119" s="49">
        <v>877.77616411943734</v>
      </c>
      <c r="H119" s="49">
        <v>1006.929628071476</v>
      </c>
      <c r="I119" s="49">
        <v>952.49948602985285</v>
      </c>
      <c r="J119" s="49">
        <v>952.49948602985285</v>
      </c>
      <c r="K119" s="49">
        <v>952.49948602985285</v>
      </c>
      <c r="M119" s="4" t="str">
        <f>'Library data'!$G$77</f>
        <v>%</v>
      </c>
    </row>
    <row r="120" spans="1:13" s="2" customFormat="1" ht="15.5" thickTop="1" x14ac:dyDescent="0.4">
      <c r="A120" s="2" t="s">
        <v>135</v>
      </c>
      <c r="B120" s="2" t="s">
        <v>348</v>
      </c>
    </row>
    <row r="121" spans="1:13" s="6" customFormat="1" x14ac:dyDescent="0.25">
      <c r="A121" s="4" t="str">
        <f t="array" ref="A121:A128">R_CODE&amp;" "&amp;'Base data'!$B$11</f>
        <v>EU CO2</v>
      </c>
      <c r="B121" s="39">
        <f t="array" ref="B121:K128">cb_co2*E_CO2_0/100</f>
        <v>0</v>
      </c>
      <c r="C121" s="39">
        <v>313.8380502756234</v>
      </c>
      <c r="D121" s="39">
        <v>1220.6013392136178</v>
      </c>
      <c r="E121" s="39">
        <v>2043.0185990859816</v>
      </c>
      <c r="F121" s="39">
        <v>2941.1060837782466</v>
      </c>
      <c r="G121" s="39">
        <v>3129.2533327687129</v>
      </c>
      <c r="H121" s="39">
        <v>3038.9665351489489</v>
      </c>
      <c r="I121" s="39">
        <v>2469.5823996753002</v>
      </c>
      <c r="J121" s="39">
        <v>2477.5552727748491</v>
      </c>
      <c r="K121" s="39">
        <v>2940.3844619538577</v>
      </c>
      <c r="M121" s="4" t="str">
        <f t="shared" ref="M121:M128" si="0">EMIT_NAME</f>
        <v>Mtonne</v>
      </c>
    </row>
    <row r="122" spans="1:13" s="6" customFormat="1" x14ac:dyDescent="0.25">
      <c r="A122" s="4" t="str">
        <v>US CO2</v>
      </c>
      <c r="B122" s="35">
        <v>765.13341300069249</v>
      </c>
      <c r="C122" s="35">
        <v>2804.7810052792101</v>
      </c>
      <c r="D122" s="35">
        <v>4164.0062105854167</v>
      </c>
      <c r="E122" s="35">
        <v>5571.0334225736597</v>
      </c>
      <c r="F122" s="35">
        <v>7019.1906520726861</v>
      </c>
      <c r="G122" s="35">
        <v>7190.9402128217162</v>
      </c>
      <c r="H122" s="35">
        <v>6825.1783854084151</v>
      </c>
      <c r="I122" s="35">
        <v>4957.003025569843</v>
      </c>
      <c r="J122" s="35">
        <v>5652.6349572350809</v>
      </c>
      <c r="K122" s="35">
        <v>6525.5409255437289</v>
      </c>
      <c r="M122" s="4" t="str">
        <f t="shared" si="0"/>
        <v>Mtonne</v>
      </c>
    </row>
    <row r="123" spans="1:13" s="6" customFormat="1" x14ac:dyDescent="0.25">
      <c r="A123" s="4" t="str">
        <v>OT CO2</v>
      </c>
      <c r="B123" s="35">
        <v>0</v>
      </c>
      <c r="C123" s="35">
        <v>0</v>
      </c>
      <c r="D123" s="35">
        <v>0</v>
      </c>
      <c r="E123" s="35">
        <v>0</v>
      </c>
      <c r="F123" s="35">
        <v>0</v>
      </c>
      <c r="G123" s="35">
        <v>156.5439200770152</v>
      </c>
      <c r="H123" s="35">
        <v>400.29765199905347</v>
      </c>
      <c r="I123" s="35">
        <v>246.03621460029618</v>
      </c>
      <c r="J123" s="35">
        <v>0</v>
      </c>
      <c r="K123" s="35">
        <v>516.24711007587507</v>
      </c>
      <c r="M123" s="4" t="str">
        <f t="shared" si="0"/>
        <v>Mtonne</v>
      </c>
    </row>
    <row r="124" spans="1:13" s="6" customFormat="1" x14ac:dyDescent="0.25">
      <c r="A124" s="4" t="str">
        <v>EE CO2</v>
      </c>
      <c r="B124" s="35">
        <v>0</v>
      </c>
      <c r="C124" s="35">
        <v>0</v>
      </c>
      <c r="D124" s="35">
        <v>0</v>
      </c>
      <c r="E124" s="35">
        <v>0</v>
      </c>
      <c r="F124" s="35">
        <v>0</v>
      </c>
      <c r="G124" s="35">
        <v>42.231521248566089</v>
      </c>
      <c r="H124" s="35">
        <v>359.99102462854188</v>
      </c>
      <c r="I124" s="35">
        <v>221.47458442053755</v>
      </c>
      <c r="J124" s="35">
        <v>0</v>
      </c>
      <c r="K124" s="35">
        <v>573.39166646330887</v>
      </c>
      <c r="M124" s="4" t="str">
        <f t="shared" si="0"/>
        <v>Mtonne</v>
      </c>
    </row>
    <row r="125" spans="1:13" s="6" customFormat="1" x14ac:dyDescent="0.25">
      <c r="A125" s="4" t="str">
        <v>CA CO2</v>
      </c>
      <c r="B125" s="35">
        <v>0</v>
      </c>
      <c r="C125" s="35">
        <v>0</v>
      </c>
      <c r="D125" s="35">
        <v>0</v>
      </c>
      <c r="E125" s="35">
        <v>486.00226765630958</v>
      </c>
      <c r="F125" s="35">
        <v>2062.4772008309201</v>
      </c>
      <c r="G125" s="35">
        <v>2728.0722423658176</v>
      </c>
      <c r="H125" s="35">
        <v>3599.7404773743074</v>
      </c>
      <c r="I125" s="35">
        <v>3270.5387632986262</v>
      </c>
      <c r="J125" s="35">
        <v>2733.7702862671863</v>
      </c>
      <c r="K125" s="35">
        <v>3829.6091636506303</v>
      </c>
      <c r="M125" s="4" t="str">
        <f t="shared" si="0"/>
        <v>Mtonne</v>
      </c>
    </row>
    <row r="126" spans="1:13" s="6" customFormat="1" x14ac:dyDescent="0.25">
      <c r="A126" s="4" t="str">
        <v>IA CO2</v>
      </c>
      <c r="B126" s="35">
        <v>0</v>
      </c>
      <c r="C126" s="35">
        <v>0</v>
      </c>
      <c r="D126" s="35">
        <v>0</v>
      </c>
      <c r="E126" s="35">
        <v>799.02953467365296</v>
      </c>
      <c r="F126" s="35">
        <v>3390.8899355596513</v>
      </c>
      <c r="G126" s="35">
        <v>4485.1854393304711</v>
      </c>
      <c r="H126" s="35">
        <v>5918.2829998981906</v>
      </c>
      <c r="I126" s="35">
        <v>5377.0470635307511</v>
      </c>
      <c r="J126" s="35">
        <v>4494.5535136586313</v>
      </c>
      <c r="K126" s="35">
        <v>6296.2068937868935</v>
      </c>
      <c r="M126" s="4" t="str">
        <f t="shared" si="0"/>
        <v>Mtonne</v>
      </c>
    </row>
    <row r="127" spans="1:13" s="6" customFormat="1" x14ac:dyDescent="0.25">
      <c r="A127" s="4" t="str">
        <v>AF CO2</v>
      </c>
      <c r="B127" s="35">
        <v>0</v>
      </c>
      <c r="C127" s="35">
        <v>0</v>
      </c>
      <c r="D127" s="35">
        <v>0</v>
      </c>
      <c r="E127" s="35">
        <v>522.17051711907652</v>
      </c>
      <c r="F127" s="35">
        <v>2002.4723976322855</v>
      </c>
      <c r="G127" s="35">
        <v>2787.4835043107</v>
      </c>
      <c r="H127" s="35">
        <v>3613.0210370435384</v>
      </c>
      <c r="I127" s="35">
        <v>3055.7523898966779</v>
      </c>
      <c r="J127" s="35">
        <v>2562.2506858648721</v>
      </c>
      <c r="K127" s="35">
        <v>3573.2054363852758</v>
      </c>
      <c r="M127" s="4" t="str">
        <f t="shared" si="0"/>
        <v>Mtonne</v>
      </c>
    </row>
    <row r="128" spans="1:13" s="6" customFormat="1" ht="13" thickBot="1" x14ac:dyDescent="0.3">
      <c r="A128" s="4" t="str">
        <v>LA CO2</v>
      </c>
      <c r="B128" s="49">
        <v>0</v>
      </c>
      <c r="C128" s="49">
        <v>0</v>
      </c>
      <c r="D128" s="49">
        <v>0</v>
      </c>
      <c r="E128" s="49">
        <v>445.39865579235033</v>
      </c>
      <c r="F128" s="49">
        <v>1708.0598864284714</v>
      </c>
      <c r="G128" s="49">
        <v>2377.6551244470484</v>
      </c>
      <c r="H128" s="49">
        <v>3081.8184108271007</v>
      </c>
      <c r="I128" s="49">
        <v>2606.4819101685775</v>
      </c>
      <c r="J128" s="49">
        <v>2185.5370494366634</v>
      </c>
      <c r="K128" s="49">
        <v>3047.8566791104258</v>
      </c>
      <c r="M128" s="4" t="str">
        <f t="shared" si="0"/>
        <v>Mtonne</v>
      </c>
    </row>
    <row r="129" spans="1:13" s="8" customFormat="1" ht="15.5" thickTop="1" x14ac:dyDescent="0.4">
      <c r="A129" s="8" t="s">
        <v>135</v>
      </c>
      <c r="B129" s="2" t="s">
        <v>349</v>
      </c>
      <c r="C129" s="2"/>
      <c r="D129" s="2"/>
      <c r="E129" s="2"/>
      <c r="F129" s="2"/>
      <c r="G129" s="2"/>
      <c r="H129" s="2"/>
      <c r="I129" s="2"/>
      <c r="J129" s="2"/>
      <c r="K129" s="2"/>
    </row>
    <row r="130" spans="1:13" s="7" customFormat="1" x14ac:dyDescent="0.25">
      <c r="A130" s="4" t="str">
        <f t="array" ref="A130:A137">R_CODE&amp;" "&amp;'Base data'!$C$11</f>
        <v>EU CH4</v>
      </c>
      <c r="B130" s="39">
        <f t="array" ref="B130:K137">cb_ch4*E_CH4_0/100</f>
        <v>1.0049883203454119E-3</v>
      </c>
      <c r="C130" s="39">
        <v>1.0099213512199492E-3</v>
      </c>
      <c r="D130" s="39">
        <v>9.8644676813831357E-4</v>
      </c>
      <c r="E130" s="39">
        <v>9.175654873698609E-4</v>
      </c>
      <c r="F130" s="39">
        <v>8.4744386509830541E-4</v>
      </c>
      <c r="G130" s="39">
        <v>7.8954511866888397E-4</v>
      </c>
      <c r="H130" s="39">
        <v>6.9365562309961438E-4</v>
      </c>
      <c r="I130" s="39">
        <v>6.4100265679912182E-4</v>
      </c>
      <c r="J130" s="39">
        <v>6.9031055347597747E-4</v>
      </c>
      <c r="K130" s="39">
        <v>7.3961845015283292E-4</v>
      </c>
      <c r="M130" s="4" t="str">
        <f t="shared" ref="M130:M137" si="1">EMIT_NAME</f>
        <v>Mtonne</v>
      </c>
    </row>
    <row r="131" spans="1:13" s="7" customFormat="1" x14ac:dyDescent="0.25">
      <c r="A131" s="4" t="str">
        <v>US CH4</v>
      </c>
      <c r="B131" s="35">
        <v>1.0049883203454119E-3</v>
      </c>
      <c r="C131" s="35">
        <v>1.0099213512199492E-3</v>
      </c>
      <c r="D131" s="35">
        <v>9.8644676813831357E-4</v>
      </c>
      <c r="E131" s="35">
        <v>9.175654873698609E-4</v>
      </c>
      <c r="F131" s="35">
        <v>8.4744386509830541E-4</v>
      </c>
      <c r="G131" s="35">
        <v>7.8954511866888397E-4</v>
      </c>
      <c r="H131" s="35">
        <v>6.9365562309961438E-4</v>
      </c>
      <c r="I131" s="35">
        <v>6.4100265679912182E-4</v>
      </c>
      <c r="J131" s="35">
        <v>6.9031055347597747E-4</v>
      </c>
      <c r="K131" s="35">
        <v>7.3961845015283292E-4</v>
      </c>
      <c r="M131" s="4" t="str">
        <f t="shared" si="1"/>
        <v>Mtonne</v>
      </c>
    </row>
    <row r="132" spans="1:13" s="7" customFormat="1" x14ac:dyDescent="0.25">
      <c r="A132" s="4" t="str">
        <v>OT CH4</v>
      </c>
      <c r="B132" s="35">
        <v>1.0049883203454119E-3</v>
      </c>
      <c r="C132" s="35">
        <v>1.0099213512199492E-3</v>
      </c>
      <c r="D132" s="35">
        <v>9.8644676813831357E-4</v>
      </c>
      <c r="E132" s="35">
        <v>9.175654873698609E-4</v>
      </c>
      <c r="F132" s="35">
        <v>8.4744386509830541E-4</v>
      </c>
      <c r="G132" s="35">
        <v>7.8954511866888397E-4</v>
      </c>
      <c r="H132" s="35">
        <v>6.9365562309961438E-4</v>
      </c>
      <c r="I132" s="35">
        <v>6.4100265679912182E-4</v>
      </c>
      <c r="J132" s="35">
        <v>6.9031055347597747E-4</v>
      </c>
      <c r="K132" s="35">
        <v>7.3961845015283292E-4</v>
      </c>
      <c r="M132" s="4" t="str">
        <f t="shared" si="1"/>
        <v>Mtonne</v>
      </c>
    </row>
    <row r="133" spans="1:13" s="7" customFormat="1" x14ac:dyDescent="0.25">
      <c r="A133" s="4" t="str">
        <v>EE CH4</v>
      </c>
      <c r="B133" s="35">
        <v>1.0437838286049357E-3</v>
      </c>
      <c r="C133" s="35">
        <v>1.0881536158094021E-3</v>
      </c>
      <c r="D133" s="35">
        <v>1.1618478739662597E-3</v>
      </c>
      <c r="E133" s="35">
        <v>1.068371140791775E-3</v>
      </c>
      <c r="F133" s="35">
        <v>9.7323436486166097E-4</v>
      </c>
      <c r="G133" s="35">
        <v>8.8724902834302064E-4</v>
      </c>
      <c r="H133" s="35">
        <v>7.5992969370322378E-4</v>
      </c>
      <c r="I133" s="35">
        <v>6.8447326429272291E-4</v>
      </c>
      <c r="J133" s="35">
        <v>7.371250538537016E-4</v>
      </c>
      <c r="K133" s="35">
        <v>7.8977684341468028E-4</v>
      </c>
      <c r="M133" s="4" t="str">
        <f t="shared" si="1"/>
        <v>Mtonne</v>
      </c>
    </row>
    <row r="134" spans="1:13" s="7" customFormat="1" x14ac:dyDescent="0.25">
      <c r="A134" s="4" t="str">
        <v>CA CH4</v>
      </c>
      <c r="B134" s="35">
        <v>1.0222229405970036E-3</v>
      </c>
      <c r="C134" s="35">
        <v>1.0446754614793574E-3</v>
      </c>
      <c r="D134" s="35">
        <v>1.2417404991024888E-3</v>
      </c>
      <c r="E134" s="35">
        <v>1.397185959199433E-3</v>
      </c>
      <c r="F134" s="35">
        <v>1.5549757742783885E-3</v>
      </c>
      <c r="G134" s="35">
        <v>1.4652620911181718E-3</v>
      </c>
      <c r="H134" s="35">
        <v>1.1320554633558262E-3</v>
      </c>
      <c r="I134" s="35">
        <v>9.0204940350638015E-4</v>
      </c>
      <c r="J134" s="35">
        <v>9.7143781916071714E-4</v>
      </c>
      <c r="K134" s="35">
        <v>1.040826234815054E-3</v>
      </c>
      <c r="M134" s="4" t="str">
        <f t="shared" si="1"/>
        <v>Mtonne</v>
      </c>
    </row>
    <row r="135" spans="1:13" s="7" customFormat="1" x14ac:dyDescent="0.25">
      <c r="A135" s="4" t="str">
        <v>IA CH4</v>
      </c>
      <c r="B135" s="35">
        <v>1.0222229405970036E-3</v>
      </c>
      <c r="C135" s="35">
        <v>1.0446754614793574E-3</v>
      </c>
      <c r="D135" s="35">
        <v>1.2417404991024888E-3</v>
      </c>
      <c r="E135" s="35">
        <v>1.397185959199433E-3</v>
      </c>
      <c r="F135" s="35">
        <v>1.5549757742783885E-3</v>
      </c>
      <c r="G135" s="35">
        <v>1.4652620911181718E-3</v>
      </c>
      <c r="H135" s="35">
        <v>1.1320554633558262E-3</v>
      </c>
      <c r="I135" s="35">
        <v>9.0204940350638015E-4</v>
      </c>
      <c r="J135" s="35">
        <v>9.7143781916071714E-4</v>
      </c>
      <c r="K135" s="35">
        <v>1.040826234815054E-3</v>
      </c>
      <c r="M135" s="4" t="str">
        <f t="shared" si="1"/>
        <v>Mtonne</v>
      </c>
    </row>
    <row r="136" spans="1:13" s="7" customFormat="1" x14ac:dyDescent="0.25">
      <c r="A136" s="4" t="str">
        <v>AF CH4</v>
      </c>
      <c r="B136" s="35">
        <v>1.0230443186833253E-3</v>
      </c>
      <c r="C136" s="35">
        <v>1.0463317941492951E-3</v>
      </c>
      <c r="D136" s="35">
        <v>1.2740769376647137E-3</v>
      </c>
      <c r="E136" s="35">
        <v>1.3872396452809137E-3</v>
      </c>
      <c r="F136" s="35">
        <v>1.5020604877121055E-3</v>
      </c>
      <c r="G136" s="35">
        <v>1.5028970232534519E-3</v>
      </c>
      <c r="H136" s="35">
        <v>1.3719473229179787E-3</v>
      </c>
      <c r="I136" s="35">
        <v>1.0709396599810682E-3</v>
      </c>
      <c r="J136" s="35">
        <v>1.1533196338257658E-3</v>
      </c>
      <c r="K136" s="35">
        <v>1.2356996076704633E-3</v>
      </c>
      <c r="M136" s="4" t="str">
        <f t="shared" si="1"/>
        <v>Mtonne</v>
      </c>
    </row>
    <row r="137" spans="1:13" s="7" customFormat="1" ht="13" thickBot="1" x14ac:dyDescent="0.3">
      <c r="A137" s="4" t="str">
        <v>LA CH4</v>
      </c>
      <c r="B137" s="49">
        <v>1.0230443186833253E-3</v>
      </c>
      <c r="C137" s="49">
        <v>1.0463317941492951E-3</v>
      </c>
      <c r="D137" s="49">
        <v>1.2740769376647137E-3</v>
      </c>
      <c r="E137" s="49">
        <v>1.3872396452809137E-3</v>
      </c>
      <c r="F137" s="49">
        <v>1.5020604877121055E-3</v>
      </c>
      <c r="G137" s="49">
        <v>1.5028970232534519E-3</v>
      </c>
      <c r="H137" s="49">
        <v>1.3719473229179787E-3</v>
      </c>
      <c r="I137" s="49">
        <v>1.0709396599810682E-3</v>
      </c>
      <c r="J137" s="49">
        <v>1.1533196338257658E-3</v>
      </c>
      <c r="K137" s="49">
        <v>1.2356996076704633E-3</v>
      </c>
      <c r="M137" s="4" t="str">
        <f t="shared" si="1"/>
        <v>Mtonne</v>
      </c>
    </row>
    <row r="138" spans="1:13" s="8" customFormat="1" ht="15.5" thickTop="1" x14ac:dyDescent="0.4">
      <c r="A138" s="8" t="s">
        <v>135</v>
      </c>
      <c r="B138" s="8" t="s">
        <v>350</v>
      </c>
    </row>
    <row r="139" spans="1:13" s="7" customFormat="1" x14ac:dyDescent="0.25">
      <c r="A139" s="4" t="str">
        <f t="array" ref="A139:A146">R_CODE&amp;" "&amp;'Base data'!$D$11</f>
        <v>EU N2O</v>
      </c>
      <c r="B139" s="39">
        <f t="array" ref="B139:K146">cb_n2o*E_N2O_0/100</f>
        <v>9.9833509194992873E-4</v>
      </c>
      <c r="C139" s="39">
        <v>9.9667018389985743E-4</v>
      </c>
      <c r="D139" s="39">
        <v>1.0276504498212295E-3</v>
      </c>
      <c r="E139" s="39">
        <v>1.0069239064879683E-3</v>
      </c>
      <c r="F139" s="39">
        <v>9.8619736315470712E-4</v>
      </c>
      <c r="G139" s="39">
        <v>9.6290523882116132E-4</v>
      </c>
      <c r="H139" s="39">
        <v>9.0435125847484544E-4</v>
      </c>
      <c r="I139" s="39">
        <v>8.5774869065301967E-4</v>
      </c>
      <c r="J139" s="39">
        <v>8.5774869065301967E-4</v>
      </c>
      <c r="K139" s="39">
        <v>8.5774869065301967E-4</v>
      </c>
      <c r="M139" s="4" t="str">
        <f t="shared" ref="M139:M146" si="2">EMIT_NAME</f>
        <v>Mtonne</v>
      </c>
    </row>
    <row r="140" spans="1:13" s="7" customFormat="1" x14ac:dyDescent="0.25">
      <c r="A140" s="4" t="str">
        <v>US N2O</v>
      </c>
      <c r="B140" s="35">
        <v>9.9833509194992873E-4</v>
      </c>
      <c r="C140" s="35">
        <v>9.9667018389985743E-4</v>
      </c>
      <c r="D140" s="35">
        <v>1.0276504498212295E-3</v>
      </c>
      <c r="E140" s="35">
        <v>1.0069239064879683E-3</v>
      </c>
      <c r="F140" s="35">
        <v>9.8619736315470712E-4</v>
      </c>
      <c r="G140" s="35">
        <v>9.6290523882116132E-4</v>
      </c>
      <c r="H140" s="35">
        <v>9.0435125847484544E-4</v>
      </c>
      <c r="I140" s="35">
        <v>8.5774869065301967E-4</v>
      </c>
      <c r="J140" s="35">
        <v>8.5774869065301967E-4</v>
      </c>
      <c r="K140" s="35">
        <v>8.5774869065301967E-4</v>
      </c>
      <c r="M140" s="4" t="str">
        <f t="shared" si="2"/>
        <v>Mtonne</v>
      </c>
    </row>
    <row r="141" spans="1:13" s="7" customFormat="1" x14ac:dyDescent="0.25">
      <c r="A141" s="4" t="str">
        <v>OT N2O</v>
      </c>
      <c r="B141" s="35">
        <v>9.9833509194992873E-4</v>
      </c>
      <c r="C141" s="35">
        <v>9.9667018389985743E-4</v>
      </c>
      <c r="D141" s="35">
        <v>1.0276504498212295E-3</v>
      </c>
      <c r="E141" s="35">
        <v>1.0069239064879683E-3</v>
      </c>
      <c r="F141" s="35">
        <v>9.8619736315470712E-4</v>
      </c>
      <c r="G141" s="35">
        <v>9.6290523882116132E-4</v>
      </c>
      <c r="H141" s="35">
        <v>9.0435125847484544E-4</v>
      </c>
      <c r="I141" s="35">
        <v>8.5774869065301967E-4</v>
      </c>
      <c r="J141" s="35">
        <v>8.5774869065301967E-4</v>
      </c>
      <c r="K141" s="35">
        <v>8.5774869065301967E-4</v>
      </c>
      <c r="M141" s="4" t="str">
        <f t="shared" si="2"/>
        <v>Mtonne</v>
      </c>
    </row>
    <row r="142" spans="1:13" s="7" customFormat="1" x14ac:dyDescent="0.25">
      <c r="A142" s="4" t="str">
        <v>EE N2O</v>
      </c>
      <c r="B142" s="35">
        <v>1.0019120847025301E-3</v>
      </c>
      <c r="C142" s="35">
        <v>1.0038241694050602E-3</v>
      </c>
      <c r="D142" s="35">
        <v>1.0298338758736169E-3</v>
      </c>
      <c r="E142" s="35">
        <v>1.0278428091863782E-3</v>
      </c>
      <c r="F142" s="35">
        <v>1.0258517424991394E-3</v>
      </c>
      <c r="G142" s="35">
        <v>9.9686560807057977E-4</v>
      </c>
      <c r="H142" s="35">
        <v>9.2836335382981319E-4</v>
      </c>
      <c r="I142" s="35">
        <v>8.945245241929119E-4</v>
      </c>
      <c r="J142" s="35">
        <v>8.945245241929119E-4</v>
      </c>
      <c r="K142" s="35">
        <v>8.945245241929119E-4</v>
      </c>
      <c r="M142" s="4" t="str">
        <f t="shared" si="2"/>
        <v>Mtonne</v>
      </c>
    </row>
    <row r="143" spans="1:13" s="7" customFormat="1" x14ac:dyDescent="0.25">
      <c r="A143" s="4" t="str">
        <v>CA N2O</v>
      </c>
      <c r="B143" s="35">
        <v>1.0028713025991391E-3</v>
      </c>
      <c r="C143" s="35">
        <v>1.005742605198278E-3</v>
      </c>
      <c r="D143" s="35">
        <v>1.016249235885288E-3</v>
      </c>
      <c r="E143" s="35">
        <v>1.0608144944182257E-3</v>
      </c>
      <c r="F143" s="35">
        <v>1.1053797529511633E-3</v>
      </c>
      <c r="G143" s="35">
        <v>1.1105204261502044E-3</v>
      </c>
      <c r="H143" s="35">
        <v>1.1039658695559311E-3</v>
      </c>
      <c r="I143" s="35">
        <v>1.1047441305822622E-3</v>
      </c>
      <c r="J143" s="35">
        <v>1.1047441305822622E-3</v>
      </c>
      <c r="K143" s="35">
        <v>1.1047441305822622E-3</v>
      </c>
      <c r="M143" s="4" t="str">
        <f t="shared" si="2"/>
        <v>Mtonne</v>
      </c>
    </row>
    <row r="144" spans="1:13" s="7" customFormat="1" x14ac:dyDescent="0.25">
      <c r="A144" s="4" t="str">
        <v>IA N2O</v>
      </c>
      <c r="B144" s="35">
        <v>1.0028713025991391E-3</v>
      </c>
      <c r="C144" s="35">
        <v>1.005742605198278E-3</v>
      </c>
      <c r="D144" s="35">
        <v>1.016249235885288E-3</v>
      </c>
      <c r="E144" s="35">
        <v>1.0608144944182257E-3</v>
      </c>
      <c r="F144" s="35">
        <v>1.1053797529511633E-3</v>
      </c>
      <c r="G144" s="35">
        <v>1.1105204261502044E-3</v>
      </c>
      <c r="H144" s="35">
        <v>1.1039658695559311E-3</v>
      </c>
      <c r="I144" s="35">
        <v>1.1047441305822622E-3</v>
      </c>
      <c r="J144" s="35">
        <v>1.1047441305822622E-3</v>
      </c>
      <c r="K144" s="35">
        <v>1.1047441305822622E-3</v>
      </c>
      <c r="M144" s="4" t="str">
        <f t="shared" si="2"/>
        <v>Mtonne</v>
      </c>
    </row>
    <row r="145" spans="1:13" s="7" customFormat="1" x14ac:dyDescent="0.25">
      <c r="A145" s="4" t="str">
        <v>AF N2O</v>
      </c>
      <c r="B145" s="35">
        <v>9.9864866006912304E-4</v>
      </c>
      <c r="C145" s="35">
        <v>9.9729732013824628E-4</v>
      </c>
      <c r="D145" s="35">
        <v>1.0045374398066952E-3</v>
      </c>
      <c r="E145" s="35">
        <v>1.0370510067976102E-3</v>
      </c>
      <c r="F145" s="35">
        <v>1.0695645737885252E-3</v>
      </c>
      <c r="G145" s="35">
        <v>1.0890329672692271E-3</v>
      </c>
      <c r="H145" s="35">
        <v>1.1088057053055685E-3</v>
      </c>
      <c r="I145" s="35">
        <v>1.1176981889816032E-3</v>
      </c>
      <c r="J145" s="35">
        <v>1.1176981889816032E-3</v>
      </c>
      <c r="K145" s="35">
        <v>1.1176981889816032E-3</v>
      </c>
      <c r="M145" s="4" t="str">
        <f t="shared" si="2"/>
        <v>Mtonne</v>
      </c>
    </row>
    <row r="146" spans="1:13" s="7" customFormat="1" ht="13" thickBot="1" x14ac:dyDescent="0.3">
      <c r="A146" s="4" t="str">
        <v>LA N2O</v>
      </c>
      <c r="B146" s="49">
        <v>9.9864866006912304E-4</v>
      </c>
      <c r="C146" s="49">
        <v>9.9729732013824628E-4</v>
      </c>
      <c r="D146" s="49">
        <v>1.0045374398066952E-3</v>
      </c>
      <c r="E146" s="49">
        <v>1.0370510067976102E-3</v>
      </c>
      <c r="F146" s="49">
        <v>1.0695645737885252E-3</v>
      </c>
      <c r="G146" s="49">
        <v>1.0890329672692271E-3</v>
      </c>
      <c r="H146" s="49">
        <v>1.1088057053055685E-3</v>
      </c>
      <c r="I146" s="49">
        <v>1.1176981889816032E-3</v>
      </c>
      <c r="J146" s="49">
        <v>1.1176981889816032E-3</v>
      </c>
      <c r="K146" s="49">
        <v>1.1176981889816032E-3</v>
      </c>
      <c r="M146" s="4" t="str">
        <f t="shared" si="2"/>
        <v>Mtonne</v>
      </c>
    </row>
    <row r="147" spans="1:13" s="8" customFormat="1" ht="15.5" thickTop="1" x14ac:dyDescent="0.4">
      <c r="A147" s="8" t="s">
        <v>135</v>
      </c>
      <c r="B147" s="8" t="s">
        <v>351</v>
      </c>
    </row>
    <row r="148" spans="1:13" s="7" customFormat="1" x14ac:dyDescent="0.25">
      <c r="A148" s="4" t="str">
        <f t="array" ref="A148:A155">R_CODE&amp;" "&amp;GLIN_NAME</f>
        <v>EU Lin</v>
      </c>
      <c r="B148" s="39">
        <f t="array" ref="B148:K155">cb_glin*E_GLIN_0/100</f>
        <v>1.0334352169441708E-3</v>
      </c>
      <c r="C148" s="39">
        <v>1.0668704338883418E-3</v>
      </c>
      <c r="D148" s="39">
        <v>9.6875896168722899E-4</v>
      </c>
      <c r="E148" s="39">
        <v>1.0085034234321379E-3</v>
      </c>
      <c r="F148" s="39">
        <v>1.0482478851770464E-3</v>
      </c>
      <c r="G148" s="39">
        <v>1.0875556191500954E-3</v>
      </c>
      <c r="H148" s="39">
        <v>1.1747684926713203E-3</v>
      </c>
      <c r="I148" s="39">
        <v>1.2629835263284434E-3</v>
      </c>
      <c r="J148" s="39">
        <v>1.2629835263284434E-3</v>
      </c>
      <c r="K148" s="39">
        <v>1.2629835263284434E-3</v>
      </c>
      <c r="M148" s="4" t="str">
        <f t="shared" ref="M148:M155" si="3">EMIT_NAME</f>
        <v>Mtonne</v>
      </c>
    </row>
    <row r="149" spans="1:13" s="7" customFormat="1" x14ac:dyDescent="0.25">
      <c r="A149" s="4" t="str">
        <v>US Lin</v>
      </c>
      <c r="B149" s="35">
        <v>1.0334352169441708E-3</v>
      </c>
      <c r="C149" s="35">
        <v>1.0668704338883418E-3</v>
      </c>
      <c r="D149" s="35">
        <v>9.6875896168722899E-4</v>
      </c>
      <c r="E149" s="35">
        <v>1.0085034234321379E-3</v>
      </c>
      <c r="F149" s="35">
        <v>1.0482478851770464E-3</v>
      </c>
      <c r="G149" s="35">
        <v>1.0875556191500954E-3</v>
      </c>
      <c r="H149" s="35">
        <v>1.1747684926713203E-3</v>
      </c>
      <c r="I149" s="35">
        <v>1.2629835263284434E-3</v>
      </c>
      <c r="J149" s="35">
        <v>1.2629835263284434E-3</v>
      </c>
      <c r="K149" s="35">
        <v>1.2629835263284434E-3</v>
      </c>
      <c r="M149" s="4" t="str">
        <f t="shared" si="3"/>
        <v>Mtonne</v>
      </c>
    </row>
    <row r="150" spans="1:13" s="7" customFormat="1" x14ac:dyDescent="0.25">
      <c r="A150" s="4" t="str">
        <v>OT Lin</v>
      </c>
      <c r="B150" s="35">
        <v>1.0334352169441708E-3</v>
      </c>
      <c r="C150" s="35">
        <v>1.0668704338883418E-3</v>
      </c>
      <c r="D150" s="35">
        <v>9.6875896168722899E-4</v>
      </c>
      <c r="E150" s="35">
        <v>1.0085034234321379E-3</v>
      </c>
      <c r="F150" s="35">
        <v>1.0482478851770464E-3</v>
      </c>
      <c r="G150" s="35">
        <v>1.0875556191500954E-3</v>
      </c>
      <c r="H150" s="35">
        <v>1.1747684926713203E-3</v>
      </c>
      <c r="I150" s="35">
        <v>1.2629835263284434E-3</v>
      </c>
      <c r="J150" s="35">
        <v>1.2629835263284434E-3</v>
      </c>
      <c r="K150" s="35">
        <v>1.2629835263284434E-3</v>
      </c>
      <c r="M150" s="4" t="str">
        <f t="shared" si="3"/>
        <v>Mtonne</v>
      </c>
    </row>
    <row r="151" spans="1:13" s="7" customFormat="1" x14ac:dyDescent="0.25">
      <c r="A151" s="4" t="str">
        <v>EE Lin</v>
      </c>
      <c r="B151" s="35">
        <v>1.0367654879940211E-3</v>
      </c>
      <c r="C151" s="35">
        <v>1.073530975988042E-3</v>
      </c>
      <c r="D151" s="35">
        <v>1.8417706299250799E-3</v>
      </c>
      <c r="E151" s="35">
        <v>2.6646567829543954E-3</v>
      </c>
      <c r="F151" s="35">
        <v>3.4875429359837113E-3</v>
      </c>
      <c r="G151" s="35">
        <v>3.6120122188912922E-3</v>
      </c>
      <c r="H151" s="35">
        <v>3.6818074777942834E-3</v>
      </c>
      <c r="I151" s="35">
        <v>3.3418264302438601E-3</v>
      </c>
      <c r="J151" s="35">
        <v>3.3418264302438601E-3</v>
      </c>
      <c r="K151" s="35">
        <v>3.3418264302438601E-3</v>
      </c>
      <c r="M151" s="4" t="str">
        <f t="shared" si="3"/>
        <v>Mtonne</v>
      </c>
    </row>
    <row r="152" spans="1:13" s="7" customFormat="1" x14ac:dyDescent="0.25">
      <c r="A152" s="4" t="str">
        <v>CA Lin</v>
      </c>
      <c r="B152" s="35">
        <v>1.0635467939271511E-3</v>
      </c>
      <c r="C152" s="35">
        <v>1.1270935878543024E-3</v>
      </c>
      <c r="D152" s="35">
        <v>2.3443739996280386E-3</v>
      </c>
      <c r="E152" s="35">
        <v>4.5191101241726962E-3</v>
      </c>
      <c r="F152" s="35">
        <v>6.693846248717353E-3</v>
      </c>
      <c r="G152" s="35">
        <v>9.0999452298125942E-3</v>
      </c>
      <c r="H152" s="35">
        <v>1.1080138156849925E-2</v>
      </c>
      <c r="I152" s="35">
        <v>1.0292620872302934E-2</v>
      </c>
      <c r="J152" s="35">
        <v>1.0292620872302934E-2</v>
      </c>
      <c r="K152" s="35">
        <v>1.0292620872302934E-2</v>
      </c>
      <c r="M152" s="4" t="str">
        <f t="shared" si="3"/>
        <v>Mtonne</v>
      </c>
    </row>
    <row r="153" spans="1:13" s="7" customFormat="1" x14ac:dyDescent="0.25">
      <c r="A153" s="4" t="str">
        <v>IA Lin</v>
      </c>
      <c r="B153" s="35">
        <v>1.0635467939271511E-3</v>
      </c>
      <c r="C153" s="35">
        <v>1.1270935878543024E-3</v>
      </c>
      <c r="D153" s="35">
        <v>2.3443739996280386E-3</v>
      </c>
      <c r="E153" s="35">
        <v>4.5191101241726962E-3</v>
      </c>
      <c r="F153" s="35">
        <v>6.693846248717353E-3</v>
      </c>
      <c r="G153" s="35">
        <v>9.0999452298125942E-3</v>
      </c>
      <c r="H153" s="35">
        <v>1.1080138156849925E-2</v>
      </c>
      <c r="I153" s="35">
        <v>1.0292620872302934E-2</v>
      </c>
      <c r="J153" s="35">
        <v>1.0292620872302934E-2</v>
      </c>
      <c r="K153" s="35">
        <v>1.0292620872302934E-2</v>
      </c>
      <c r="M153" s="4" t="str">
        <f t="shared" si="3"/>
        <v>Mtonne</v>
      </c>
    </row>
    <row r="154" spans="1:13" s="7" customFormat="1" x14ac:dyDescent="0.25">
      <c r="A154" s="4" t="str">
        <v>AF Lin</v>
      </c>
      <c r="B154" s="35">
        <v>1.0761971843407929E-3</v>
      </c>
      <c r="C154" s="35">
        <v>1.1523943686815859E-3</v>
      </c>
      <c r="D154" s="35">
        <v>2.3619594623922268E-3</v>
      </c>
      <c r="E154" s="35">
        <v>4.7885717300527424E-3</v>
      </c>
      <c r="F154" s="35">
        <v>7.2151839977132592E-3</v>
      </c>
      <c r="G154" s="35">
        <v>8.7777616411943739E-3</v>
      </c>
      <c r="H154" s="35">
        <v>1.0069296280714761E-2</v>
      </c>
      <c r="I154" s="35">
        <v>9.5249948602985288E-3</v>
      </c>
      <c r="J154" s="35">
        <v>9.5249948602985288E-3</v>
      </c>
      <c r="K154" s="35">
        <v>9.5249948602985288E-3</v>
      </c>
      <c r="M154" s="4" t="str">
        <f t="shared" si="3"/>
        <v>Mtonne</v>
      </c>
    </row>
    <row r="155" spans="1:13" s="7" customFormat="1" ht="13" thickBot="1" x14ac:dyDescent="0.3">
      <c r="A155" s="4" t="str">
        <v>LA Lin</v>
      </c>
      <c r="B155" s="49">
        <v>1.0761971843407929E-3</v>
      </c>
      <c r="C155" s="49">
        <v>1.1523943686815859E-3</v>
      </c>
      <c r="D155" s="49">
        <v>2.3619594623922268E-3</v>
      </c>
      <c r="E155" s="49">
        <v>4.7885717300527424E-3</v>
      </c>
      <c r="F155" s="49">
        <v>7.2151839977132592E-3</v>
      </c>
      <c r="G155" s="49">
        <v>8.7777616411943739E-3</v>
      </c>
      <c r="H155" s="49">
        <v>1.0069296280714761E-2</v>
      </c>
      <c r="I155" s="49">
        <v>9.5249948602985288E-3</v>
      </c>
      <c r="J155" s="49">
        <v>9.5249948602985288E-3</v>
      </c>
      <c r="K155" s="49">
        <v>9.5249948602985288E-3</v>
      </c>
      <c r="M155" s="4" t="str">
        <f t="shared" si="3"/>
        <v>Mtonne</v>
      </c>
    </row>
    <row r="156" spans="1:13" s="2" customFormat="1" ht="15.5" thickTop="1" x14ac:dyDescent="0.4">
      <c r="A156" s="2" t="s">
        <v>347</v>
      </c>
      <c r="B156" s="2" t="s">
        <v>352</v>
      </c>
    </row>
    <row r="157" spans="1:13" s="6" customFormat="1" x14ac:dyDescent="0.25">
      <c r="A157" s="4" t="str">
        <f t="array" ref="A157:A164">R_CODE&amp;" "&amp;'Base data'!$B$11</f>
        <v>EU CO2</v>
      </c>
      <c r="B157" s="37">
        <f t="array" ref="B157:B164">0</f>
        <v>0</v>
      </c>
      <c r="C157" s="37">
        <f t="array" ref="C157:K164">cumcbe_co2+cbe_co2*YAGG</f>
        <v>0</v>
      </c>
      <c r="D157" s="37">
        <v>3138.3805027562339</v>
      </c>
      <c r="E157" s="37">
        <v>15344.393894892411</v>
      </c>
      <c r="F157" s="37">
        <v>35774.579885752231</v>
      </c>
      <c r="G157" s="37">
        <v>65185.6407235347</v>
      </c>
      <c r="H157" s="37">
        <v>112124.4407150654</v>
      </c>
      <c r="I157" s="37">
        <v>172903.77141804437</v>
      </c>
      <c r="J157" s="37">
        <v>321078.71539856237</v>
      </c>
      <c r="K157" s="37">
        <v>568834.24267604726</v>
      </c>
      <c r="M157" s="4" t="str">
        <f t="shared" ref="M157:M165" si="4">EMIT_NAME</f>
        <v>Mtonne</v>
      </c>
    </row>
    <row r="158" spans="1:13" s="6" customFormat="1" x14ac:dyDescent="0.25">
      <c r="A158" s="4" t="str">
        <v>US CO2</v>
      </c>
      <c r="B158" s="38">
        <v>0</v>
      </c>
      <c r="C158" s="38">
        <v>11477.001195010387</v>
      </c>
      <c r="D158" s="38">
        <v>39524.811247802485</v>
      </c>
      <c r="E158" s="38">
        <v>81164.873353656643</v>
      </c>
      <c r="F158" s="38">
        <v>136875.20757939323</v>
      </c>
      <c r="G158" s="38">
        <v>207067.11410012009</v>
      </c>
      <c r="H158" s="38">
        <v>314931.21729244583</v>
      </c>
      <c r="I158" s="38">
        <v>451434.78500061412</v>
      </c>
      <c r="J158" s="38">
        <v>748854.96653480479</v>
      </c>
      <c r="K158" s="38">
        <v>1314118.4622583129</v>
      </c>
      <c r="M158" s="4" t="str">
        <f t="shared" si="4"/>
        <v>Mtonne</v>
      </c>
    </row>
    <row r="159" spans="1:13" s="6" customFormat="1" x14ac:dyDescent="0.25">
      <c r="A159" s="4" t="str">
        <v>OT CO2</v>
      </c>
      <c r="B159" s="38">
        <v>0</v>
      </c>
      <c r="C159" s="38">
        <v>0</v>
      </c>
      <c r="D159" s="38">
        <v>0</v>
      </c>
      <c r="E159" s="38">
        <v>0</v>
      </c>
      <c r="F159" s="38">
        <v>0</v>
      </c>
      <c r="G159" s="38">
        <v>0</v>
      </c>
      <c r="H159" s="38">
        <v>2348.158801155228</v>
      </c>
      <c r="I159" s="38">
        <v>10354.111841136297</v>
      </c>
      <c r="J159" s="38">
        <v>25116.284717154067</v>
      </c>
      <c r="K159" s="38">
        <v>25116.284717154067</v>
      </c>
      <c r="M159" s="4" t="str">
        <f t="shared" si="4"/>
        <v>Mtonne</v>
      </c>
    </row>
    <row r="160" spans="1:13" s="6" customFormat="1" x14ac:dyDescent="0.25">
      <c r="A160" s="4" t="str">
        <v>EE CO2</v>
      </c>
      <c r="B160" s="38">
        <v>0</v>
      </c>
      <c r="C160" s="38">
        <v>0</v>
      </c>
      <c r="D160" s="38">
        <v>0</v>
      </c>
      <c r="E160" s="38">
        <v>0</v>
      </c>
      <c r="F160" s="38">
        <v>0</v>
      </c>
      <c r="G160" s="38">
        <v>0</v>
      </c>
      <c r="H160" s="38">
        <v>633.47281872849135</v>
      </c>
      <c r="I160" s="38">
        <v>7833.2933112993287</v>
      </c>
      <c r="J160" s="38">
        <v>21121.768376531581</v>
      </c>
      <c r="K160" s="38">
        <v>21121.768376531581</v>
      </c>
      <c r="M160" s="4" t="str">
        <f t="shared" si="4"/>
        <v>Mtonne</v>
      </c>
    </row>
    <row r="161" spans="1:13" s="6" customFormat="1" x14ac:dyDescent="0.25">
      <c r="A161" s="4" t="str">
        <v>CA CO2</v>
      </c>
      <c r="B161" s="38">
        <v>0</v>
      </c>
      <c r="C161" s="38">
        <v>0</v>
      </c>
      <c r="D161" s="38">
        <v>0</v>
      </c>
      <c r="E161" s="38">
        <v>0</v>
      </c>
      <c r="F161" s="38">
        <v>4860.022676563096</v>
      </c>
      <c r="G161" s="38">
        <v>25484.794684872293</v>
      </c>
      <c r="H161" s="38">
        <v>66405.878320359567</v>
      </c>
      <c r="I161" s="38">
        <v>138400.6878678457</v>
      </c>
      <c r="J161" s="38">
        <v>334633.01366576331</v>
      </c>
      <c r="K161" s="38">
        <v>608010.04229248199</v>
      </c>
      <c r="M161" s="4" t="str">
        <f t="shared" si="4"/>
        <v>Mtonne</v>
      </c>
    </row>
    <row r="162" spans="1:13" s="6" customFormat="1" x14ac:dyDescent="0.25">
      <c r="A162" s="4" t="str">
        <v>IA CO2</v>
      </c>
      <c r="B162" s="38">
        <v>0</v>
      </c>
      <c r="C162" s="38">
        <v>0</v>
      </c>
      <c r="D162" s="38">
        <v>0</v>
      </c>
      <c r="E162" s="38">
        <v>0</v>
      </c>
      <c r="F162" s="38">
        <v>7990.2953467365296</v>
      </c>
      <c r="G162" s="38">
        <v>41899.194702333043</v>
      </c>
      <c r="H162" s="38">
        <v>109176.97629229011</v>
      </c>
      <c r="I162" s="38">
        <v>227542.63629025393</v>
      </c>
      <c r="J162" s="38">
        <v>550165.46010209899</v>
      </c>
      <c r="K162" s="38">
        <v>999620.81146796211</v>
      </c>
      <c r="M162" s="4" t="str">
        <f t="shared" si="4"/>
        <v>Mtonne</v>
      </c>
    </row>
    <row r="163" spans="1:13" s="6" customFormat="1" x14ac:dyDescent="0.25">
      <c r="A163" s="4" t="str">
        <v>AF CO2</v>
      </c>
      <c r="B163" s="38">
        <v>0</v>
      </c>
      <c r="C163" s="38">
        <v>0</v>
      </c>
      <c r="D163" s="38">
        <v>0</v>
      </c>
      <c r="E163" s="38">
        <v>0</v>
      </c>
      <c r="F163" s="38">
        <v>5221.7051711907652</v>
      </c>
      <c r="G163" s="38">
        <v>25246.42914751362</v>
      </c>
      <c r="H163" s="38">
        <v>67058.681712174119</v>
      </c>
      <c r="I163" s="38">
        <v>139319.10245304491</v>
      </c>
      <c r="J163" s="38">
        <v>322664.24584684556</v>
      </c>
      <c r="K163" s="38">
        <v>578889.31443333277</v>
      </c>
      <c r="M163" s="4" t="str">
        <f t="shared" si="4"/>
        <v>Mtonne</v>
      </c>
    </row>
    <row r="164" spans="1:13" s="6" customFormat="1" ht="13" thickBot="1" x14ac:dyDescent="0.3">
      <c r="A164" s="4" t="str">
        <v>LA CO2</v>
      </c>
      <c r="B164" s="50">
        <v>0</v>
      </c>
      <c r="C164" s="50">
        <v>0</v>
      </c>
      <c r="D164" s="50">
        <v>0</v>
      </c>
      <c r="E164" s="50">
        <v>0</v>
      </c>
      <c r="F164" s="50">
        <v>4453.9865579235029</v>
      </c>
      <c r="G164" s="50">
        <v>21534.58542220822</v>
      </c>
      <c r="H164" s="50">
        <v>57199.412288913947</v>
      </c>
      <c r="I164" s="50">
        <v>118835.78050545597</v>
      </c>
      <c r="J164" s="50">
        <v>275224.69511557062</v>
      </c>
      <c r="K164" s="50">
        <v>493778.40005923697</v>
      </c>
      <c r="M164" s="4" t="str">
        <f t="shared" si="4"/>
        <v>Mtonne</v>
      </c>
    </row>
    <row r="165" spans="1:13" s="6" customFormat="1" ht="13" thickTop="1" x14ac:dyDescent="0.25">
      <c r="A165" s="80" t="s">
        <v>257</v>
      </c>
      <c r="B165" s="38">
        <f>SUM(B157:B164)</f>
        <v>0</v>
      </c>
      <c r="C165" s="38">
        <f t="shared" ref="C165:K165" si="5">SUM(C157:C164)</f>
        <v>11477.001195010387</v>
      </c>
      <c r="D165" s="38">
        <f t="shared" si="5"/>
        <v>42663.191750558719</v>
      </c>
      <c r="E165" s="38">
        <f t="shared" si="5"/>
        <v>96509.267248549062</v>
      </c>
      <c r="F165" s="38">
        <f t="shared" si="5"/>
        <v>195175.79721755933</v>
      </c>
      <c r="G165" s="38">
        <f t="shared" si="5"/>
        <v>386417.75878058199</v>
      </c>
      <c r="H165" s="38">
        <f t="shared" si="5"/>
        <v>729878.2382411327</v>
      </c>
      <c r="I165" s="38">
        <f t="shared" si="5"/>
        <v>1266624.1686876947</v>
      </c>
      <c r="J165" s="38">
        <f t="shared" si="5"/>
        <v>2598859.1497573312</v>
      </c>
      <c r="K165" s="38">
        <f t="shared" si="5"/>
        <v>4609489.3262810595</v>
      </c>
      <c r="M165" s="4" t="str">
        <f t="shared" si="4"/>
        <v>Mtonne</v>
      </c>
    </row>
    <row r="166" spans="1:13" s="8" customFormat="1" ht="15" x14ac:dyDescent="0.4">
      <c r="A166" s="2" t="s">
        <v>347</v>
      </c>
      <c r="B166" s="2" t="s">
        <v>353</v>
      </c>
      <c r="C166" s="2"/>
      <c r="D166" s="2"/>
      <c r="E166" s="2"/>
      <c r="F166" s="2"/>
      <c r="G166" s="2"/>
      <c r="H166" s="2"/>
      <c r="I166" s="2"/>
      <c r="J166" s="2"/>
      <c r="K166" s="2"/>
    </row>
    <row r="167" spans="1:13" s="7" customFormat="1" x14ac:dyDescent="0.25">
      <c r="A167" s="4" t="str">
        <f t="array" ref="A167:A174">R_CODE&amp;" "&amp;'Base data'!$C$11</f>
        <v>EU CH4</v>
      </c>
      <c r="B167" s="39">
        <f t="array" ref="B167:B174">0</f>
        <v>0</v>
      </c>
      <c r="C167" s="39">
        <f t="array" ref="C167:K174">cumcbe_ch4+cbe_ch4*YAGG</f>
        <v>1.5074824805181179E-2</v>
      </c>
      <c r="D167" s="39">
        <v>2.5174038317380673E-2</v>
      </c>
      <c r="E167" s="39">
        <v>3.5038505998763805E-2</v>
      </c>
      <c r="F167" s="39">
        <v>4.421416087246241E-2</v>
      </c>
      <c r="G167" s="39">
        <v>5.2688599523445463E-2</v>
      </c>
      <c r="H167" s="39">
        <v>6.4531776303478727E-2</v>
      </c>
      <c r="I167" s="39">
        <v>7.8404888765471012E-2</v>
      </c>
      <c r="J167" s="39">
        <v>0.11686504817341832</v>
      </c>
      <c r="K167" s="39">
        <v>0.18589610352101607</v>
      </c>
      <c r="M167" s="4" t="str">
        <f t="shared" ref="M167:M175" si="6">EMIT_NAME</f>
        <v>Mtonne</v>
      </c>
    </row>
    <row r="168" spans="1:13" s="7" customFormat="1" x14ac:dyDescent="0.25">
      <c r="A168" s="4" t="str">
        <v>US CH4</v>
      </c>
      <c r="B168" s="35">
        <v>0</v>
      </c>
      <c r="C168" s="35">
        <v>1.5074824805181179E-2</v>
      </c>
      <c r="D168" s="35">
        <v>2.5174038317380673E-2</v>
      </c>
      <c r="E168" s="35">
        <v>3.5038505998763805E-2</v>
      </c>
      <c r="F168" s="35">
        <v>4.421416087246241E-2</v>
      </c>
      <c r="G168" s="35">
        <v>5.2688599523445463E-2</v>
      </c>
      <c r="H168" s="35">
        <v>6.4531776303478727E-2</v>
      </c>
      <c r="I168" s="35">
        <v>7.8404888765471012E-2</v>
      </c>
      <c r="J168" s="35">
        <v>0.11686504817341832</v>
      </c>
      <c r="K168" s="35">
        <v>0.18589610352101607</v>
      </c>
      <c r="M168" s="4" t="str">
        <f t="shared" si="6"/>
        <v>Mtonne</v>
      </c>
    </row>
    <row r="169" spans="1:13" s="7" customFormat="1" x14ac:dyDescent="0.25">
      <c r="A169" s="4" t="str">
        <v>OT CH4</v>
      </c>
      <c r="B169" s="35">
        <v>0</v>
      </c>
      <c r="C169" s="35">
        <v>1.5074824805181179E-2</v>
      </c>
      <c r="D169" s="35">
        <v>2.5174038317380673E-2</v>
      </c>
      <c r="E169" s="35">
        <v>3.5038505998763805E-2</v>
      </c>
      <c r="F169" s="35">
        <v>4.421416087246241E-2</v>
      </c>
      <c r="G169" s="35">
        <v>5.2688599523445463E-2</v>
      </c>
      <c r="H169" s="35">
        <v>6.4531776303478727E-2</v>
      </c>
      <c r="I169" s="35">
        <v>7.8404888765471012E-2</v>
      </c>
      <c r="J169" s="35">
        <v>0.11686504817341832</v>
      </c>
      <c r="K169" s="35">
        <v>0.18589610352101607</v>
      </c>
      <c r="M169" s="4" t="str">
        <f t="shared" si="6"/>
        <v>Mtonne</v>
      </c>
    </row>
    <row r="170" spans="1:13" s="7" customFormat="1" x14ac:dyDescent="0.25">
      <c r="A170" s="4" t="str">
        <v>EE CH4</v>
      </c>
      <c r="B170" s="35">
        <v>0</v>
      </c>
      <c r="C170" s="35">
        <v>1.5656757429074037E-2</v>
      </c>
      <c r="D170" s="35">
        <v>2.6538293587168058E-2</v>
      </c>
      <c r="E170" s="35">
        <v>3.8156772326830651E-2</v>
      </c>
      <c r="F170" s="35">
        <v>4.8840483734748405E-2</v>
      </c>
      <c r="G170" s="35">
        <v>5.8572827383365014E-2</v>
      </c>
      <c r="H170" s="35">
        <v>7.1881562808510324E-2</v>
      </c>
      <c r="I170" s="35">
        <v>8.7080156682574794E-2</v>
      </c>
      <c r="J170" s="35">
        <v>0.12814855254013818</v>
      </c>
      <c r="K170" s="35">
        <v>0.20186105792550835</v>
      </c>
      <c r="M170" s="4" t="str">
        <f t="shared" si="6"/>
        <v>Mtonne</v>
      </c>
    </row>
    <row r="171" spans="1:13" s="7" customFormat="1" x14ac:dyDescent="0.25">
      <c r="A171" s="4" t="str">
        <v>CA CH4</v>
      </c>
      <c r="B171" s="35">
        <v>0</v>
      </c>
      <c r="C171" s="35">
        <v>1.5333344108955056E-2</v>
      </c>
      <c r="D171" s="35">
        <v>2.5780098723748632E-2</v>
      </c>
      <c r="E171" s="35">
        <v>3.8197503714773519E-2</v>
      </c>
      <c r="F171" s="35">
        <v>5.2169363306767851E-2</v>
      </c>
      <c r="G171" s="35">
        <v>6.7719121049551731E-2</v>
      </c>
      <c r="H171" s="35">
        <v>8.9698052416324309E-2</v>
      </c>
      <c r="I171" s="35">
        <v>0.11233916168344082</v>
      </c>
      <c r="J171" s="35">
        <v>0.16646212589382364</v>
      </c>
      <c r="K171" s="35">
        <v>0.26360590780989535</v>
      </c>
      <c r="M171" s="4" t="str">
        <f t="shared" si="6"/>
        <v>Mtonne</v>
      </c>
    </row>
    <row r="172" spans="1:13" s="7" customFormat="1" x14ac:dyDescent="0.25">
      <c r="A172" s="4" t="str">
        <v>IA CH4</v>
      </c>
      <c r="B172" s="35">
        <v>0</v>
      </c>
      <c r="C172" s="35">
        <v>1.5333344108955056E-2</v>
      </c>
      <c r="D172" s="35">
        <v>2.5780098723748632E-2</v>
      </c>
      <c r="E172" s="35">
        <v>3.8197503714773519E-2</v>
      </c>
      <c r="F172" s="35">
        <v>5.2169363306767851E-2</v>
      </c>
      <c r="G172" s="35">
        <v>6.7719121049551731E-2</v>
      </c>
      <c r="H172" s="35">
        <v>8.9698052416324309E-2</v>
      </c>
      <c r="I172" s="35">
        <v>0.11233916168344082</v>
      </c>
      <c r="J172" s="35">
        <v>0.16646212589382364</v>
      </c>
      <c r="K172" s="35">
        <v>0.26360590780989535</v>
      </c>
      <c r="M172" s="4" t="str">
        <f t="shared" si="6"/>
        <v>Mtonne</v>
      </c>
    </row>
    <row r="173" spans="1:13" s="7" customFormat="1" x14ac:dyDescent="0.25">
      <c r="A173" s="4" t="str">
        <v>AF CH4</v>
      </c>
      <c r="B173" s="35">
        <v>0</v>
      </c>
      <c r="C173" s="35">
        <v>1.5345664780249879E-2</v>
      </c>
      <c r="D173" s="35">
        <v>2.580898272174283E-2</v>
      </c>
      <c r="E173" s="35">
        <v>3.8549752098389969E-2</v>
      </c>
      <c r="F173" s="35">
        <v>5.2422148551199109E-2</v>
      </c>
      <c r="G173" s="35">
        <v>6.7442753428320165E-2</v>
      </c>
      <c r="H173" s="35">
        <v>8.9986208777121948E-2</v>
      </c>
      <c r="I173" s="35">
        <v>0.11742515523548153</v>
      </c>
      <c r="J173" s="35">
        <v>0.18168153483434563</v>
      </c>
      <c r="K173" s="35">
        <v>0.29701349821692219</v>
      </c>
      <c r="M173" s="4" t="str">
        <f t="shared" si="6"/>
        <v>Mtonne</v>
      </c>
    </row>
    <row r="174" spans="1:13" s="7" customFormat="1" ht="13" thickBot="1" x14ac:dyDescent="0.3">
      <c r="A174" s="4" t="str">
        <v>LA CH4</v>
      </c>
      <c r="B174" s="49">
        <v>0</v>
      </c>
      <c r="C174" s="49">
        <v>1.5345664780249879E-2</v>
      </c>
      <c r="D174" s="49">
        <v>2.580898272174283E-2</v>
      </c>
      <c r="E174" s="49">
        <v>3.8549752098389969E-2</v>
      </c>
      <c r="F174" s="49">
        <v>5.2422148551199109E-2</v>
      </c>
      <c r="G174" s="49">
        <v>6.7442753428320165E-2</v>
      </c>
      <c r="H174" s="49">
        <v>8.9986208777121948E-2</v>
      </c>
      <c r="I174" s="49">
        <v>0.11742515523548153</v>
      </c>
      <c r="J174" s="49">
        <v>0.18168153483434563</v>
      </c>
      <c r="K174" s="49">
        <v>0.29701349821692219</v>
      </c>
      <c r="M174" s="4" t="str">
        <f t="shared" si="6"/>
        <v>Mtonne</v>
      </c>
    </row>
    <row r="175" spans="1:13" s="6" customFormat="1" ht="13" thickTop="1" x14ac:dyDescent="0.25">
      <c r="A175" s="80" t="s">
        <v>257</v>
      </c>
      <c r="B175" s="35">
        <f>SUM(B167:B174)</f>
        <v>0</v>
      </c>
      <c r="C175" s="35">
        <f t="shared" ref="C175:K175" si="7">SUM(C167:C174)</f>
        <v>0.12223924962302743</v>
      </c>
      <c r="D175" s="35">
        <f t="shared" si="7"/>
        <v>0.205238571430293</v>
      </c>
      <c r="E175" s="35">
        <f t="shared" si="7"/>
        <v>0.29676680194944899</v>
      </c>
      <c r="F175" s="35">
        <f t="shared" si="7"/>
        <v>0.39066599006806951</v>
      </c>
      <c r="G175" s="35">
        <f t="shared" si="7"/>
        <v>0.48696237490944527</v>
      </c>
      <c r="H175" s="35">
        <f t="shared" si="7"/>
        <v>0.62484541410583905</v>
      </c>
      <c r="I175" s="35">
        <f t="shared" si="7"/>
        <v>0.78182345681683252</v>
      </c>
      <c r="J175" s="35">
        <f t="shared" si="7"/>
        <v>1.1750310185167319</v>
      </c>
      <c r="K175" s="35">
        <f t="shared" si="7"/>
        <v>1.8807881805421915</v>
      </c>
      <c r="M175" s="4" t="str">
        <f t="shared" si="6"/>
        <v>Mtonne</v>
      </c>
    </row>
    <row r="176" spans="1:13" s="8" customFormat="1" ht="15" x14ac:dyDescent="0.4">
      <c r="A176" s="2" t="s">
        <v>347</v>
      </c>
      <c r="B176" s="8" t="s">
        <v>354</v>
      </c>
    </row>
    <row r="177" spans="1:13" s="7" customFormat="1" x14ac:dyDescent="0.25">
      <c r="A177" s="4" t="str">
        <f t="array" ref="A177:A184">R_CODE&amp;" "&amp;'Base data'!$D$11</f>
        <v>EU N2O</v>
      </c>
      <c r="B177" s="39">
        <f t="array" ref="B177:B184">0</f>
        <v>0</v>
      </c>
      <c r="C177" s="39">
        <f t="array" ref="C177:K184">cumcbe_n2o+cbe_n2o*YAGG</f>
        <v>1.4975026379248932E-2</v>
      </c>
      <c r="D177" s="39">
        <v>2.4941728218247507E-2</v>
      </c>
      <c r="E177" s="39">
        <v>3.5218232716459803E-2</v>
      </c>
      <c r="F177" s="39">
        <v>4.5287471781339489E-2</v>
      </c>
      <c r="G177" s="39">
        <v>5.5149445412886564E-2</v>
      </c>
      <c r="H177" s="39">
        <v>6.9593023995203979E-2</v>
      </c>
      <c r="I177" s="39">
        <v>8.7680049164700888E-2</v>
      </c>
      <c r="J177" s="39">
        <v>0.13914497060388206</v>
      </c>
      <c r="K177" s="39">
        <v>0.22491983966918402</v>
      </c>
      <c r="M177" s="4" t="str">
        <f t="shared" ref="M177:M185" si="8">EMIT_NAME</f>
        <v>Mtonne</v>
      </c>
    </row>
    <row r="178" spans="1:13" s="7" customFormat="1" x14ac:dyDescent="0.25">
      <c r="A178" s="4" t="str">
        <v>US N2O</v>
      </c>
      <c r="B178" s="35">
        <v>0</v>
      </c>
      <c r="C178" s="35">
        <v>1.4975026379248932E-2</v>
      </c>
      <c r="D178" s="35">
        <v>2.4941728218247507E-2</v>
      </c>
      <c r="E178" s="35">
        <v>3.5218232716459803E-2</v>
      </c>
      <c r="F178" s="35">
        <v>4.5287471781339489E-2</v>
      </c>
      <c r="G178" s="35">
        <v>5.5149445412886564E-2</v>
      </c>
      <c r="H178" s="35">
        <v>6.9593023995203979E-2</v>
      </c>
      <c r="I178" s="35">
        <v>8.7680049164700888E-2</v>
      </c>
      <c r="J178" s="35">
        <v>0.13914497060388206</v>
      </c>
      <c r="K178" s="35">
        <v>0.22491983966918402</v>
      </c>
      <c r="M178" s="4" t="str">
        <f t="shared" si="8"/>
        <v>Mtonne</v>
      </c>
    </row>
    <row r="179" spans="1:13" s="7" customFormat="1" x14ac:dyDescent="0.25">
      <c r="A179" s="4" t="str">
        <v>OT N2O</v>
      </c>
      <c r="B179" s="35">
        <v>0</v>
      </c>
      <c r="C179" s="35">
        <v>1.4975026379248932E-2</v>
      </c>
      <c r="D179" s="35">
        <v>2.4941728218247507E-2</v>
      </c>
      <c r="E179" s="35">
        <v>3.5218232716459803E-2</v>
      </c>
      <c r="F179" s="35">
        <v>4.5287471781339489E-2</v>
      </c>
      <c r="G179" s="35">
        <v>5.5149445412886564E-2</v>
      </c>
      <c r="H179" s="35">
        <v>6.9593023995203979E-2</v>
      </c>
      <c r="I179" s="35">
        <v>8.7680049164700888E-2</v>
      </c>
      <c r="J179" s="35">
        <v>0.13914497060388206</v>
      </c>
      <c r="K179" s="35">
        <v>0.22491983966918402</v>
      </c>
      <c r="M179" s="4" t="str">
        <f t="shared" si="8"/>
        <v>Mtonne</v>
      </c>
    </row>
    <row r="180" spans="1:13" s="7" customFormat="1" x14ac:dyDescent="0.25">
      <c r="A180" s="4" t="str">
        <v>EE N2O</v>
      </c>
      <c r="B180" s="35">
        <v>0</v>
      </c>
      <c r="C180" s="35">
        <v>1.5028681270537952E-2</v>
      </c>
      <c r="D180" s="35">
        <v>2.5066922964588553E-2</v>
      </c>
      <c r="E180" s="35">
        <v>3.5365261723324722E-2</v>
      </c>
      <c r="F180" s="35">
        <v>4.5643689815188501E-2</v>
      </c>
      <c r="G180" s="35">
        <v>5.5902207240179899E-2</v>
      </c>
      <c r="H180" s="35">
        <v>7.0855191361238593E-2</v>
      </c>
      <c r="I180" s="35">
        <v>8.9422458437834862E-2</v>
      </c>
      <c r="J180" s="35">
        <v>0.14309392988940958</v>
      </c>
      <c r="K180" s="35">
        <v>0.23254638230870078</v>
      </c>
      <c r="M180" s="4" t="str">
        <f t="shared" si="8"/>
        <v>Mtonne</v>
      </c>
    </row>
    <row r="181" spans="1:13" s="7" customFormat="1" x14ac:dyDescent="0.25">
      <c r="A181" s="4" t="str">
        <v>CA N2O</v>
      </c>
      <c r="B181" s="35">
        <v>0</v>
      </c>
      <c r="C181" s="35">
        <v>1.5043069538987087E-2</v>
      </c>
      <c r="D181" s="35">
        <v>2.5100495590969867E-2</v>
      </c>
      <c r="E181" s="35">
        <v>3.5262987949822744E-2</v>
      </c>
      <c r="F181" s="35">
        <v>4.5871132894005004E-2</v>
      </c>
      <c r="G181" s="35">
        <v>5.6924930423516637E-2</v>
      </c>
      <c r="H181" s="35">
        <v>7.3582736815769698E-2</v>
      </c>
      <c r="I181" s="35">
        <v>9.5662054206888322E-2</v>
      </c>
      <c r="J181" s="35">
        <v>0.16194670204182404</v>
      </c>
      <c r="K181" s="35">
        <v>0.27242111510005029</v>
      </c>
      <c r="M181" s="4" t="str">
        <f t="shared" si="8"/>
        <v>Mtonne</v>
      </c>
    </row>
    <row r="182" spans="1:13" s="7" customFormat="1" x14ac:dyDescent="0.25">
      <c r="A182" s="4" t="str">
        <v>IA N2O</v>
      </c>
      <c r="B182" s="35">
        <v>0</v>
      </c>
      <c r="C182" s="35">
        <v>1.5043069538987087E-2</v>
      </c>
      <c r="D182" s="35">
        <v>2.5100495590969867E-2</v>
      </c>
      <c r="E182" s="35">
        <v>3.5262987949822744E-2</v>
      </c>
      <c r="F182" s="35">
        <v>4.5871132894005004E-2</v>
      </c>
      <c r="G182" s="35">
        <v>5.6924930423516637E-2</v>
      </c>
      <c r="H182" s="35">
        <v>7.3582736815769698E-2</v>
      </c>
      <c r="I182" s="35">
        <v>9.5662054206888322E-2</v>
      </c>
      <c r="J182" s="35">
        <v>0.16194670204182404</v>
      </c>
      <c r="K182" s="35">
        <v>0.27242111510005029</v>
      </c>
      <c r="M182" s="4" t="str">
        <f t="shared" si="8"/>
        <v>Mtonne</v>
      </c>
    </row>
    <row r="183" spans="1:13" s="7" customFormat="1" x14ac:dyDescent="0.25">
      <c r="A183" s="4" t="str">
        <v>AF N2O</v>
      </c>
      <c r="B183" s="35">
        <v>0</v>
      </c>
      <c r="C183" s="35">
        <v>1.4979729901036846E-2</v>
      </c>
      <c r="D183" s="35">
        <v>2.4952703102419309E-2</v>
      </c>
      <c r="E183" s="35">
        <v>3.4998077500486259E-2</v>
      </c>
      <c r="F183" s="35">
        <v>4.5368587568462362E-2</v>
      </c>
      <c r="G183" s="35">
        <v>5.6064233306347619E-2</v>
      </c>
      <c r="H183" s="35">
        <v>7.2399727815386034E-2</v>
      </c>
      <c r="I183" s="35">
        <v>9.45758419214974E-2</v>
      </c>
      <c r="J183" s="35">
        <v>0.1616377332603936</v>
      </c>
      <c r="K183" s="35">
        <v>0.27340755215855395</v>
      </c>
      <c r="M183" s="4" t="str">
        <f t="shared" si="8"/>
        <v>Mtonne</v>
      </c>
    </row>
    <row r="184" spans="1:13" s="7" customFormat="1" ht="13" thickBot="1" x14ac:dyDescent="0.3">
      <c r="A184" s="4" t="str">
        <v>LA N2O</v>
      </c>
      <c r="B184" s="49">
        <v>0</v>
      </c>
      <c r="C184" s="49">
        <v>1.4979729901036846E-2</v>
      </c>
      <c r="D184" s="49">
        <v>2.4952703102419309E-2</v>
      </c>
      <c r="E184" s="49">
        <v>3.4998077500486259E-2</v>
      </c>
      <c r="F184" s="49">
        <v>4.5368587568462362E-2</v>
      </c>
      <c r="G184" s="49">
        <v>5.6064233306347619E-2</v>
      </c>
      <c r="H184" s="49">
        <v>7.2399727815386034E-2</v>
      </c>
      <c r="I184" s="49">
        <v>9.45758419214974E-2</v>
      </c>
      <c r="J184" s="49">
        <v>0.1616377332603936</v>
      </c>
      <c r="K184" s="49">
        <v>0.27340755215855395</v>
      </c>
      <c r="M184" s="4" t="str">
        <f t="shared" si="8"/>
        <v>Mtonne</v>
      </c>
    </row>
    <row r="185" spans="1:13" s="6" customFormat="1" ht="13" thickTop="1" x14ac:dyDescent="0.25">
      <c r="A185" s="80" t="s">
        <v>257</v>
      </c>
      <c r="B185" s="35">
        <f>SUM(B177:B184)</f>
        <v>0</v>
      </c>
      <c r="C185" s="35">
        <f t="shared" ref="C185:K185" si="9">SUM(C177:C184)</f>
        <v>0.11999935928833261</v>
      </c>
      <c r="D185" s="35">
        <f t="shared" si="9"/>
        <v>0.19999850500610944</v>
      </c>
      <c r="E185" s="35">
        <f t="shared" si="9"/>
        <v>0.28154209077332215</v>
      </c>
      <c r="F185" s="35">
        <f t="shared" si="9"/>
        <v>0.36398554608414169</v>
      </c>
      <c r="G185" s="35">
        <f t="shared" si="9"/>
        <v>0.44732887093856816</v>
      </c>
      <c r="H185" s="35">
        <f t="shared" si="9"/>
        <v>0.57159919260916203</v>
      </c>
      <c r="I185" s="35">
        <f t="shared" si="9"/>
        <v>0.73293839818870887</v>
      </c>
      <c r="J185" s="35">
        <f t="shared" si="9"/>
        <v>1.2076977123054911</v>
      </c>
      <c r="K185" s="35">
        <f t="shared" si="9"/>
        <v>1.9989632358334615</v>
      </c>
      <c r="M185" s="4" t="str">
        <f t="shared" si="8"/>
        <v>Mtonne</v>
      </c>
    </row>
    <row r="186" spans="1:13" s="8" customFormat="1" ht="15" x14ac:dyDescent="0.4">
      <c r="A186" s="2" t="s">
        <v>347</v>
      </c>
      <c r="B186" s="8" t="s">
        <v>355</v>
      </c>
    </row>
    <row r="187" spans="1:13" s="7" customFormat="1" x14ac:dyDescent="0.25">
      <c r="A187" s="4" t="str">
        <f t="array" ref="A187:A194">R_CODE&amp;" "&amp;GLIN_NAME</f>
        <v>EU Lin</v>
      </c>
      <c r="B187" s="39">
        <f t="array" ref="B187:B194">0</f>
        <v>0</v>
      </c>
      <c r="C187" s="39">
        <f t="array" ref="C187:K194">cumcbe_glin+cbe_glin*YAGG</f>
        <v>1.5501528254162563E-2</v>
      </c>
      <c r="D187" s="39">
        <v>2.6170232593045982E-2</v>
      </c>
      <c r="E187" s="39">
        <v>3.5857822209918275E-2</v>
      </c>
      <c r="F187" s="39">
        <v>4.5942856444239649E-2</v>
      </c>
      <c r="G187" s="39">
        <v>5.6425335296010112E-2</v>
      </c>
      <c r="H187" s="39">
        <v>7.2738669583261542E-2</v>
      </c>
      <c r="I187" s="39">
        <v>9.6234039436687943E-2</v>
      </c>
      <c r="J187" s="39">
        <v>0.17201305101639452</v>
      </c>
      <c r="K187" s="39">
        <v>0.29831140364923886</v>
      </c>
      <c r="M187" s="4" t="str">
        <f t="shared" ref="M187:M195" si="10">EMIT_NAME</f>
        <v>Mtonne</v>
      </c>
    </row>
    <row r="188" spans="1:13" s="7" customFormat="1" x14ac:dyDescent="0.25">
      <c r="A188" s="4" t="str">
        <v>US Lin</v>
      </c>
      <c r="B188" s="35">
        <v>0</v>
      </c>
      <c r="C188" s="35">
        <v>1.5501528254162563E-2</v>
      </c>
      <c r="D188" s="35">
        <v>2.6170232593045982E-2</v>
      </c>
      <c r="E188" s="35">
        <v>3.5857822209918275E-2</v>
      </c>
      <c r="F188" s="35">
        <v>4.5942856444239649E-2</v>
      </c>
      <c r="G188" s="35">
        <v>5.6425335296010112E-2</v>
      </c>
      <c r="H188" s="35">
        <v>7.2738669583261542E-2</v>
      </c>
      <c r="I188" s="35">
        <v>9.6234039436687943E-2</v>
      </c>
      <c r="J188" s="35">
        <v>0.17201305101639452</v>
      </c>
      <c r="K188" s="35">
        <v>0.29831140364923886</v>
      </c>
      <c r="M188" s="4" t="str">
        <f t="shared" si="10"/>
        <v>Mtonne</v>
      </c>
    </row>
    <row r="189" spans="1:13" s="7" customFormat="1" x14ac:dyDescent="0.25">
      <c r="A189" s="4" t="str">
        <v>OT Lin</v>
      </c>
      <c r="B189" s="35">
        <v>0</v>
      </c>
      <c r="C189" s="35">
        <v>1.5501528254162563E-2</v>
      </c>
      <c r="D189" s="35">
        <v>2.6170232593045982E-2</v>
      </c>
      <c r="E189" s="35">
        <v>3.5857822209918275E-2</v>
      </c>
      <c r="F189" s="35">
        <v>4.5942856444239649E-2</v>
      </c>
      <c r="G189" s="35">
        <v>5.6425335296010112E-2</v>
      </c>
      <c r="H189" s="35">
        <v>7.2738669583261542E-2</v>
      </c>
      <c r="I189" s="35">
        <v>9.6234039436687943E-2</v>
      </c>
      <c r="J189" s="35">
        <v>0.17201305101639452</v>
      </c>
      <c r="K189" s="35">
        <v>0.29831140364923886</v>
      </c>
      <c r="M189" s="4" t="str">
        <f t="shared" si="10"/>
        <v>Mtonne</v>
      </c>
    </row>
    <row r="190" spans="1:13" s="7" customFormat="1" x14ac:dyDescent="0.25">
      <c r="A190" s="4" t="str">
        <v>EE Lin</v>
      </c>
      <c r="B190" s="35">
        <v>0</v>
      </c>
      <c r="C190" s="35">
        <v>1.5551482319910317E-2</v>
      </c>
      <c r="D190" s="35">
        <v>2.6286792079790736E-2</v>
      </c>
      <c r="E190" s="35">
        <v>4.4704498379041537E-2</v>
      </c>
      <c r="F190" s="35">
        <v>7.1351066208585487E-2</v>
      </c>
      <c r="G190" s="35">
        <v>0.10622649556842259</v>
      </c>
      <c r="H190" s="35">
        <v>0.16040667885179197</v>
      </c>
      <c r="I190" s="35">
        <v>0.23404282840767765</v>
      </c>
      <c r="J190" s="35">
        <v>0.43455241422230928</v>
      </c>
      <c r="K190" s="35">
        <v>0.76873505724669533</v>
      </c>
      <c r="M190" s="4" t="str">
        <f t="shared" si="10"/>
        <v>Mtonne</v>
      </c>
    </row>
    <row r="191" spans="1:13" s="7" customFormat="1" x14ac:dyDescent="0.25">
      <c r="A191" s="4" t="str">
        <v>CA Lin</v>
      </c>
      <c r="B191" s="35">
        <v>0</v>
      </c>
      <c r="C191" s="35">
        <v>1.5953201908907266E-2</v>
      </c>
      <c r="D191" s="35">
        <v>2.7224137787450288E-2</v>
      </c>
      <c r="E191" s="35">
        <v>5.0667877783730678E-2</v>
      </c>
      <c r="F191" s="35">
        <v>9.5858979025457647E-2</v>
      </c>
      <c r="G191" s="35">
        <v>0.16279744151263117</v>
      </c>
      <c r="H191" s="35">
        <v>0.2992966199598201</v>
      </c>
      <c r="I191" s="35">
        <v>0.5208993830968186</v>
      </c>
      <c r="J191" s="35">
        <v>1.1384566354349945</v>
      </c>
      <c r="K191" s="35">
        <v>2.1677187226652879</v>
      </c>
      <c r="M191" s="4" t="str">
        <f t="shared" si="10"/>
        <v>Mtonne</v>
      </c>
    </row>
    <row r="192" spans="1:13" s="7" customFormat="1" x14ac:dyDescent="0.25">
      <c r="A192" s="4" t="str">
        <v>IA Lin</v>
      </c>
      <c r="B192" s="35">
        <v>0</v>
      </c>
      <c r="C192" s="35">
        <v>1.5953201908907266E-2</v>
      </c>
      <c r="D192" s="35">
        <v>2.7224137787450288E-2</v>
      </c>
      <c r="E192" s="35">
        <v>5.0667877783730678E-2</v>
      </c>
      <c r="F192" s="35">
        <v>9.5858979025457647E-2</v>
      </c>
      <c r="G192" s="35">
        <v>0.16279744151263117</v>
      </c>
      <c r="H192" s="35">
        <v>0.2992966199598201</v>
      </c>
      <c r="I192" s="35">
        <v>0.5208993830968186</v>
      </c>
      <c r="J192" s="35">
        <v>1.1384566354349945</v>
      </c>
      <c r="K192" s="35">
        <v>2.1677187226652879</v>
      </c>
      <c r="M192" s="4" t="str">
        <f t="shared" si="10"/>
        <v>Mtonne</v>
      </c>
    </row>
    <row r="193" spans="1:13" s="7" customFormat="1" x14ac:dyDescent="0.25">
      <c r="A193" s="4" t="str">
        <v>AF Lin</v>
      </c>
      <c r="B193" s="35">
        <v>0</v>
      </c>
      <c r="C193" s="35">
        <v>1.6142957765111893E-2</v>
      </c>
      <c r="D193" s="35">
        <v>2.7666901451927753E-2</v>
      </c>
      <c r="E193" s="35">
        <v>5.1286496075850022E-2</v>
      </c>
      <c r="F193" s="35">
        <v>9.9172213376377438E-2</v>
      </c>
      <c r="G193" s="35">
        <v>0.17132405335351003</v>
      </c>
      <c r="H193" s="35">
        <v>0.30299047797142564</v>
      </c>
      <c r="I193" s="35">
        <v>0.50437640358572089</v>
      </c>
      <c r="J193" s="35">
        <v>1.0758760952036326</v>
      </c>
      <c r="K193" s="35">
        <v>2.0283755812334854</v>
      </c>
      <c r="M193" s="4" t="str">
        <f t="shared" si="10"/>
        <v>Mtonne</v>
      </c>
    </row>
    <row r="194" spans="1:13" s="7" customFormat="1" ht="13" thickBot="1" x14ac:dyDescent="0.3">
      <c r="A194" s="4" t="str">
        <v>LA Lin</v>
      </c>
      <c r="B194" s="49">
        <v>0</v>
      </c>
      <c r="C194" s="49">
        <v>1.6142957765111893E-2</v>
      </c>
      <c r="D194" s="49">
        <v>2.7666901451927753E-2</v>
      </c>
      <c r="E194" s="49">
        <v>5.1286496075850022E-2</v>
      </c>
      <c r="F194" s="49">
        <v>9.9172213376377438E-2</v>
      </c>
      <c r="G194" s="49">
        <v>0.17132405335351003</v>
      </c>
      <c r="H194" s="49">
        <v>0.30299047797142564</v>
      </c>
      <c r="I194" s="49">
        <v>0.50437640358572089</v>
      </c>
      <c r="J194" s="49">
        <v>1.0758760952036326</v>
      </c>
      <c r="K194" s="49">
        <v>2.0283755812334854</v>
      </c>
      <c r="M194" s="4" t="str">
        <f t="shared" si="10"/>
        <v>Mtonne</v>
      </c>
    </row>
    <row r="195" spans="1:13" s="6" customFormat="1" ht="13" thickTop="1" x14ac:dyDescent="0.25">
      <c r="A195" s="80" t="s">
        <v>257</v>
      </c>
      <c r="B195" s="35">
        <f>SUM(B187:B194)</f>
        <v>0</v>
      </c>
      <c r="C195" s="35">
        <f t="shared" ref="C195:K195" si="11">SUM(C187:C194)</f>
        <v>0.12624838643043632</v>
      </c>
      <c r="D195" s="35">
        <f t="shared" si="11"/>
        <v>0.21457956833768471</v>
      </c>
      <c r="E195" s="35">
        <f t="shared" si="11"/>
        <v>0.35618671272795771</v>
      </c>
      <c r="F195" s="35">
        <f t="shared" si="11"/>
        <v>0.59924202034497465</v>
      </c>
      <c r="G195" s="35">
        <f t="shared" si="11"/>
        <v>0.94374549118873552</v>
      </c>
      <c r="H195" s="35">
        <f t="shared" si="11"/>
        <v>1.5831968834640682</v>
      </c>
      <c r="I195" s="35">
        <f t="shared" si="11"/>
        <v>2.5732965200828208</v>
      </c>
      <c r="J195" s="35">
        <f t="shared" si="11"/>
        <v>5.3792570285487464</v>
      </c>
      <c r="K195" s="35">
        <f t="shared" si="11"/>
        <v>10.055857875991958</v>
      </c>
      <c r="M195" s="4" t="str">
        <f t="shared" si="10"/>
        <v>Mtonne</v>
      </c>
    </row>
    <row r="196" spans="1:13" s="2" customFormat="1" ht="15" x14ac:dyDescent="0.4">
      <c r="A196" s="2" t="s">
        <v>356</v>
      </c>
      <c r="B196" s="2" t="s">
        <v>357</v>
      </c>
    </row>
    <row r="197" spans="1:13" s="6" customFormat="1" x14ac:dyDescent="0.25">
      <c r="A197" s="4" t="str">
        <f t="array" ref="A197:A204">R_CODE&amp;" "&amp;'Base data'!$B$11</f>
        <v>EU CO2</v>
      </c>
      <c r="B197" s="45">
        <f t="array" ref="B197:K204">((CROSS*cumcbe_co2_g+(1-CROSS)*cumcbe_co2+IES_CO2)/IES_CO2)^-(LN(1/(1-LEARN))/LN(2))</f>
        <v>1</v>
      </c>
      <c r="C197" s="45">
        <v>0.99512288613125544</v>
      </c>
      <c r="D197" s="45">
        <v>0.97739031156523803</v>
      </c>
      <c r="E197" s="45">
        <v>0.94034989029442029</v>
      </c>
      <c r="F197" s="45">
        <v>0.88705718831517533</v>
      </c>
      <c r="G197" s="45">
        <v>0.81850222454877042</v>
      </c>
      <c r="H197" s="45">
        <v>0.73784898483739858</v>
      </c>
      <c r="I197" s="45">
        <v>0.66143108243849691</v>
      </c>
      <c r="J197" s="45">
        <v>0.55643402394762775</v>
      </c>
      <c r="K197" s="45">
        <v>0.4737845109401968</v>
      </c>
      <c r="M197" s="4"/>
    </row>
    <row r="198" spans="1:13" s="6" customFormat="1" x14ac:dyDescent="0.25">
      <c r="A198" s="4" t="str">
        <v>US CO2</v>
      </c>
      <c r="B198" s="46">
        <v>1</v>
      </c>
      <c r="C198" s="46">
        <v>0.97654452675332204</v>
      </c>
      <c r="D198" s="46">
        <v>0.92648404551670371</v>
      </c>
      <c r="E198" s="46">
        <v>0.86633961182480357</v>
      </c>
      <c r="F198" s="46">
        <v>0.80126145928653436</v>
      </c>
      <c r="G198" s="46">
        <v>0.73343121563085345</v>
      </c>
      <c r="H198" s="46">
        <v>0.65898383163656082</v>
      </c>
      <c r="I198" s="46">
        <v>0.59198362111777669</v>
      </c>
      <c r="J198" s="46">
        <v>0.50288573156098504</v>
      </c>
      <c r="K198" s="46">
        <v>0.42608235980183801</v>
      </c>
      <c r="M198" s="4"/>
    </row>
    <row r="199" spans="1:13" s="6" customFormat="1" x14ac:dyDescent="0.25">
      <c r="A199" s="4" t="str">
        <v>OT CO2</v>
      </c>
      <c r="B199" s="46">
        <v>1</v>
      </c>
      <c r="C199" s="46">
        <v>0.99512288613125544</v>
      </c>
      <c r="D199" s="46">
        <v>0.98234693801017436</v>
      </c>
      <c r="E199" s="46">
        <v>0.96178078011255785</v>
      </c>
      <c r="F199" s="46">
        <v>0.9282434535966767</v>
      </c>
      <c r="G199" s="46">
        <v>0.87478124673759683</v>
      </c>
      <c r="H199" s="46">
        <v>0.80185089480651228</v>
      </c>
      <c r="I199" s="46">
        <v>0.7225519548422985</v>
      </c>
      <c r="J199" s="46">
        <v>0.61188107332364861</v>
      </c>
      <c r="K199" s="46">
        <v>0.52778476956911258</v>
      </c>
      <c r="M199" s="4"/>
    </row>
    <row r="200" spans="1:13" s="6" customFormat="1" x14ac:dyDescent="0.25">
      <c r="A200" s="4" t="str">
        <v>EE CO2</v>
      </c>
      <c r="B200" s="46">
        <v>1</v>
      </c>
      <c r="C200" s="46">
        <v>0.99512288613125544</v>
      </c>
      <c r="D200" s="46">
        <v>0.98234693801017436</v>
      </c>
      <c r="E200" s="46">
        <v>0.96178078011255785</v>
      </c>
      <c r="F200" s="46">
        <v>0.9282434535966767</v>
      </c>
      <c r="G200" s="46">
        <v>0.87478124673759683</v>
      </c>
      <c r="H200" s="46">
        <v>0.80304336656809328</v>
      </c>
      <c r="I200" s="46">
        <v>0.72369532028167194</v>
      </c>
      <c r="J200" s="46">
        <v>0.61279634179375564</v>
      </c>
      <c r="K200" s="46">
        <v>0.52828295615863796</v>
      </c>
      <c r="M200" s="4"/>
    </row>
    <row r="201" spans="1:13" s="6" customFormat="1" x14ac:dyDescent="0.25">
      <c r="A201" s="4" t="str">
        <v>CA CO2</v>
      </c>
      <c r="B201" s="46">
        <v>1</v>
      </c>
      <c r="C201" s="46">
        <v>0.99512288613125544</v>
      </c>
      <c r="D201" s="46">
        <v>0.98234693801017436</v>
      </c>
      <c r="E201" s="46">
        <v>0.96178078011255785</v>
      </c>
      <c r="F201" s="46">
        <v>0.92217950345209665</v>
      </c>
      <c r="G201" s="46">
        <v>0.85092057653468889</v>
      </c>
      <c r="H201" s="46">
        <v>0.76189964779719777</v>
      </c>
      <c r="I201" s="46">
        <v>0.67266274758280764</v>
      </c>
      <c r="J201" s="46">
        <v>0.55435390006676488</v>
      </c>
      <c r="K201" s="46">
        <v>0.470695782776344</v>
      </c>
      <c r="M201" s="4"/>
    </row>
    <row r="202" spans="1:13" s="6" customFormat="1" x14ac:dyDescent="0.25">
      <c r="A202" s="4" t="str">
        <v>IA CO2</v>
      </c>
      <c r="B202" s="46">
        <v>1</v>
      </c>
      <c r="C202" s="46">
        <v>0.99512288613125544</v>
      </c>
      <c r="D202" s="46">
        <v>0.98234693801017436</v>
      </c>
      <c r="E202" s="46">
        <v>0.96178078011255785</v>
      </c>
      <c r="F202" s="46">
        <v>0.91835867699762086</v>
      </c>
      <c r="G202" s="46">
        <v>0.83688552546600536</v>
      </c>
      <c r="H202" s="46">
        <v>0.7393071374928234</v>
      </c>
      <c r="I202" s="46">
        <v>0.6451102438066616</v>
      </c>
      <c r="J202" s="46">
        <v>0.52502738427422346</v>
      </c>
      <c r="K202" s="46">
        <v>0.4437394228786678</v>
      </c>
      <c r="M202" s="4"/>
    </row>
    <row r="203" spans="1:13" s="6" customFormat="1" x14ac:dyDescent="0.25">
      <c r="A203" s="4" t="str">
        <v>AF CO2</v>
      </c>
      <c r="B203" s="46">
        <v>1</v>
      </c>
      <c r="C203" s="46">
        <v>0.99512288613125544</v>
      </c>
      <c r="D203" s="46">
        <v>0.98234693801017436</v>
      </c>
      <c r="E203" s="46">
        <v>0.96178078011255785</v>
      </c>
      <c r="F203" s="46">
        <v>0.92173469075147885</v>
      </c>
      <c r="G203" s="46">
        <v>0.85113159798827853</v>
      </c>
      <c r="H203" s="46">
        <v>0.76153308395868291</v>
      </c>
      <c r="I203" s="46">
        <v>0.67235352334832377</v>
      </c>
      <c r="J203" s="46">
        <v>0.55618904101499334</v>
      </c>
      <c r="K203" s="46">
        <v>0.47298379759249132</v>
      </c>
      <c r="M203" s="4"/>
    </row>
    <row r="204" spans="1:13" s="6" customFormat="1" ht="13" thickBot="1" x14ac:dyDescent="0.3">
      <c r="A204" s="4" t="str">
        <v>LA CO2</v>
      </c>
      <c r="B204" s="47">
        <v>1</v>
      </c>
      <c r="C204" s="47">
        <v>0.99512288613125544</v>
      </c>
      <c r="D204" s="47">
        <v>0.98234693801017436</v>
      </c>
      <c r="E204" s="47">
        <v>0.96178078011255785</v>
      </c>
      <c r="F204" s="47">
        <v>0.92267991609272038</v>
      </c>
      <c r="G204" s="47">
        <v>0.85444563000519969</v>
      </c>
      <c r="H204" s="47">
        <v>0.7671477569270384</v>
      </c>
      <c r="I204" s="47">
        <v>0.67939225442783291</v>
      </c>
      <c r="J204" s="47">
        <v>0.56371684556382695</v>
      </c>
      <c r="K204" s="47">
        <v>0.47994300676198381</v>
      </c>
      <c r="M204" s="4"/>
    </row>
    <row r="205" spans="1:13" s="2" customFormat="1" ht="15.5" thickTop="1" x14ac:dyDescent="0.4">
      <c r="A205" s="2" t="s">
        <v>356</v>
      </c>
      <c r="B205" s="2" t="s">
        <v>358</v>
      </c>
    </row>
    <row r="206" spans="1:13" s="7" customFormat="1" x14ac:dyDescent="0.25">
      <c r="A206" s="4" t="str">
        <f t="array" ref="A206:A213">R_CODE&amp;" "&amp;'Base data'!$C$11</f>
        <v>EU CH4</v>
      </c>
      <c r="B206" s="39">
        <f t="array" ref="B206:K213">((CROSS*cumcbe_ch4_g+(1-CROSS)*cumcbe_ch4+IES_CH4)/IES_CH4)^-(LN(1/(1-LEARN))/LN(2))</f>
        <v>1</v>
      </c>
      <c r="C206" s="39">
        <v>0.99999412364217177</v>
      </c>
      <c r="D206" s="39">
        <v>0.99999015130084346</v>
      </c>
      <c r="E206" s="39">
        <v>0.99998593469727703</v>
      </c>
      <c r="F206" s="39">
        <v>0.99998173053728256</v>
      </c>
      <c r="G206" s="39">
        <v>0.99997753957263924</v>
      </c>
      <c r="H206" s="39">
        <v>0.99997157629272981</v>
      </c>
      <c r="I206" s="39">
        <v>0.99996473716498124</v>
      </c>
      <c r="J206" s="39">
        <v>0.99994712933302976</v>
      </c>
      <c r="K206" s="39">
        <v>0.99991552872512102</v>
      </c>
      <c r="M206" s="4"/>
    </row>
    <row r="207" spans="1:13" s="7" customFormat="1" x14ac:dyDescent="0.25">
      <c r="A207" s="4" t="str">
        <v>US CH4</v>
      </c>
      <c r="B207" s="35">
        <v>1</v>
      </c>
      <c r="C207" s="35">
        <v>0.99999412364217177</v>
      </c>
      <c r="D207" s="35">
        <v>0.99999015130084346</v>
      </c>
      <c r="E207" s="35">
        <v>0.99998593469727703</v>
      </c>
      <c r="F207" s="35">
        <v>0.99998173053728256</v>
      </c>
      <c r="G207" s="35">
        <v>0.99997753957263924</v>
      </c>
      <c r="H207" s="35">
        <v>0.99997157629272981</v>
      </c>
      <c r="I207" s="35">
        <v>0.99996473716498124</v>
      </c>
      <c r="J207" s="35">
        <v>0.99994712933302976</v>
      </c>
      <c r="K207" s="35">
        <v>0.99991552872512102</v>
      </c>
      <c r="M207" s="4"/>
    </row>
    <row r="208" spans="1:13" s="7" customFormat="1" x14ac:dyDescent="0.25">
      <c r="A208" s="4" t="str">
        <v>OT CH4</v>
      </c>
      <c r="B208" s="35">
        <v>1</v>
      </c>
      <c r="C208" s="35">
        <v>0.99999412364217177</v>
      </c>
      <c r="D208" s="35">
        <v>0.99999015130084346</v>
      </c>
      <c r="E208" s="35">
        <v>0.99998593469727703</v>
      </c>
      <c r="F208" s="35">
        <v>0.99998173053728256</v>
      </c>
      <c r="G208" s="35">
        <v>0.99997753957263924</v>
      </c>
      <c r="H208" s="35">
        <v>0.99997157629272981</v>
      </c>
      <c r="I208" s="35">
        <v>0.99996473716498124</v>
      </c>
      <c r="J208" s="35">
        <v>0.99994712933302976</v>
      </c>
      <c r="K208" s="35">
        <v>0.99991552872512102</v>
      </c>
      <c r="M208" s="4"/>
    </row>
    <row r="209" spans="1:13" s="7" customFormat="1" x14ac:dyDescent="0.25">
      <c r="A209" s="4" t="str">
        <v>EE CH4</v>
      </c>
      <c r="B209" s="35">
        <v>1</v>
      </c>
      <c r="C209" s="35">
        <v>0.99999404870780695</v>
      </c>
      <c r="D209" s="35">
        <v>0.9999899756311712</v>
      </c>
      <c r="E209" s="35">
        <v>0.99998553317778394</v>
      </c>
      <c r="F209" s="35">
        <v>0.99998113484537965</v>
      </c>
      <c r="G209" s="35">
        <v>0.9999767819243931</v>
      </c>
      <c r="H209" s="35">
        <v>0.99997062996392139</v>
      </c>
      <c r="I209" s="35">
        <v>0.99996362020430363</v>
      </c>
      <c r="J209" s="35">
        <v>0.99994567666195822</v>
      </c>
      <c r="K209" s="35">
        <v>0.9999134736198475</v>
      </c>
      <c r="M209" s="4"/>
    </row>
    <row r="210" spans="1:13" s="7" customFormat="1" x14ac:dyDescent="0.25">
      <c r="A210" s="4" t="str">
        <v>CA CH4</v>
      </c>
      <c r="B210" s="35">
        <v>1</v>
      </c>
      <c r="C210" s="35">
        <v>0.99999409035312647</v>
      </c>
      <c r="D210" s="35">
        <v>0.99999007326086331</v>
      </c>
      <c r="E210" s="35">
        <v>0.99998552793306428</v>
      </c>
      <c r="F210" s="35">
        <v>0.99998070621501922</v>
      </c>
      <c r="G210" s="35">
        <v>0.99997560425996823</v>
      </c>
      <c r="H210" s="35">
        <v>0.99996833599998114</v>
      </c>
      <c r="I210" s="35">
        <v>0.99996036807854527</v>
      </c>
      <c r="J210" s="35">
        <v>0.9999407441260928</v>
      </c>
      <c r="K210" s="35">
        <v>0.99990552561341373</v>
      </c>
      <c r="M210" s="4"/>
    </row>
    <row r="211" spans="1:13" s="7" customFormat="1" x14ac:dyDescent="0.25">
      <c r="A211" s="4" t="str">
        <v>IA CH4</v>
      </c>
      <c r="B211" s="35">
        <v>1</v>
      </c>
      <c r="C211" s="35">
        <v>0.99999409035312647</v>
      </c>
      <c r="D211" s="35">
        <v>0.99999007326086331</v>
      </c>
      <c r="E211" s="35">
        <v>0.99998552793306428</v>
      </c>
      <c r="F211" s="35">
        <v>0.99998070621501922</v>
      </c>
      <c r="G211" s="35">
        <v>0.99997560425996823</v>
      </c>
      <c r="H211" s="35">
        <v>0.99996833599998114</v>
      </c>
      <c r="I211" s="35">
        <v>0.99996036807854527</v>
      </c>
      <c r="J211" s="35">
        <v>0.9999407441260928</v>
      </c>
      <c r="K211" s="35">
        <v>0.99990552561341373</v>
      </c>
      <c r="M211" s="4"/>
    </row>
    <row r="212" spans="1:13" s="7" customFormat="1" x14ac:dyDescent="0.25">
      <c r="A212" s="4" t="str">
        <v>AF CH4</v>
      </c>
      <c r="B212" s="35">
        <v>1</v>
      </c>
      <c r="C212" s="35">
        <v>0.99999408876661677</v>
      </c>
      <c r="D212" s="35">
        <v>0.99999006954158676</v>
      </c>
      <c r="E212" s="35">
        <v>0.99998548257630337</v>
      </c>
      <c r="F212" s="35">
        <v>0.9999806736661313</v>
      </c>
      <c r="G212" s="35">
        <v>0.99997563984460636</v>
      </c>
      <c r="H212" s="35">
        <v>0.99996829889855698</v>
      </c>
      <c r="I212" s="35">
        <v>0.99995971325631638</v>
      </c>
      <c r="J212" s="35">
        <v>0.99993878478866793</v>
      </c>
      <c r="K212" s="35">
        <v>0.9999012253832531</v>
      </c>
      <c r="M212" s="4"/>
    </row>
    <row r="213" spans="1:13" s="7" customFormat="1" ht="13" thickBot="1" x14ac:dyDescent="0.3">
      <c r="A213" s="4" t="str">
        <v>LA CH4</v>
      </c>
      <c r="B213" s="49">
        <v>1</v>
      </c>
      <c r="C213" s="49">
        <v>0.99999408876661677</v>
      </c>
      <c r="D213" s="49">
        <v>0.99999006954158676</v>
      </c>
      <c r="E213" s="49">
        <v>0.99998548257630337</v>
      </c>
      <c r="F213" s="49">
        <v>0.9999806736661313</v>
      </c>
      <c r="G213" s="49">
        <v>0.99997563984460636</v>
      </c>
      <c r="H213" s="49">
        <v>0.99996829889855698</v>
      </c>
      <c r="I213" s="49">
        <v>0.99995971325631638</v>
      </c>
      <c r="J213" s="49">
        <v>0.99993878478866793</v>
      </c>
      <c r="K213" s="49">
        <v>0.9999012253832531</v>
      </c>
      <c r="M213" s="4"/>
    </row>
    <row r="214" spans="1:13" s="2" customFormat="1" ht="15.5" thickTop="1" x14ac:dyDescent="0.4">
      <c r="A214" s="2" t="s">
        <v>356</v>
      </c>
      <c r="B214" s="2" t="s">
        <v>359</v>
      </c>
    </row>
    <row r="215" spans="1:13" s="7" customFormat="1" x14ac:dyDescent="0.25">
      <c r="A215" s="4" t="str">
        <f t="array" ref="A215:A222">R_CODE&amp;" "&amp;'Base data'!$D$11</f>
        <v>EU N2O</v>
      </c>
      <c r="B215" s="39">
        <f t="array" ref="B215:K222">((CROSS*cumcbe_n2o_g+(1-CROSS)*cumcbe_n2o+IES_N2O)/IES_N2O)^-(LN(1/(1-LEARN))/LN(2))</f>
        <v>1</v>
      </c>
      <c r="C215" s="39">
        <v>0.99978291669547947</v>
      </c>
      <c r="D215" s="39">
        <v>0.99963838273652539</v>
      </c>
      <c r="E215" s="39">
        <v>0.99949058103152433</v>
      </c>
      <c r="F215" s="39">
        <v>0.99934278377006147</v>
      </c>
      <c r="G215" s="39">
        <v>0.99919499101176068</v>
      </c>
      <c r="H215" s="39">
        <v>0.99897604530128481</v>
      </c>
      <c r="I215" s="39">
        <v>0.99869527729220875</v>
      </c>
      <c r="J215" s="39">
        <v>0.99787937703109797</v>
      </c>
      <c r="K215" s="39">
        <v>0.99652560239506249</v>
      </c>
      <c r="M215" s="4"/>
    </row>
    <row r="216" spans="1:13" s="7" customFormat="1" x14ac:dyDescent="0.25">
      <c r="A216" s="4" t="str">
        <v>US N2O</v>
      </c>
      <c r="B216" s="35">
        <v>1</v>
      </c>
      <c r="C216" s="35">
        <v>0.99978291669547947</v>
      </c>
      <c r="D216" s="35">
        <v>0.99963838273652539</v>
      </c>
      <c r="E216" s="35">
        <v>0.99949058103152433</v>
      </c>
      <c r="F216" s="35">
        <v>0.99934278377006147</v>
      </c>
      <c r="G216" s="35">
        <v>0.99919499101176068</v>
      </c>
      <c r="H216" s="35">
        <v>0.99897604530128481</v>
      </c>
      <c r="I216" s="35">
        <v>0.99869527729220875</v>
      </c>
      <c r="J216" s="35">
        <v>0.99787937703109797</v>
      </c>
      <c r="K216" s="35">
        <v>0.99652560239506249</v>
      </c>
      <c r="M216" s="4"/>
    </row>
    <row r="217" spans="1:13" s="7" customFormat="1" x14ac:dyDescent="0.25">
      <c r="A217" s="4" t="str">
        <v>OT N2O</v>
      </c>
      <c r="B217" s="35">
        <v>1</v>
      </c>
      <c r="C217" s="35">
        <v>0.99978291669547947</v>
      </c>
      <c r="D217" s="35">
        <v>0.99963838273652539</v>
      </c>
      <c r="E217" s="35">
        <v>0.99949058103152433</v>
      </c>
      <c r="F217" s="35">
        <v>0.99934278377006147</v>
      </c>
      <c r="G217" s="35">
        <v>0.99919499101176068</v>
      </c>
      <c r="H217" s="35">
        <v>0.99897604530128481</v>
      </c>
      <c r="I217" s="35">
        <v>0.99869527729220875</v>
      </c>
      <c r="J217" s="35">
        <v>0.99787937703109797</v>
      </c>
      <c r="K217" s="35">
        <v>0.99652560239506249</v>
      </c>
      <c r="M217" s="4"/>
    </row>
    <row r="218" spans="1:13" s="7" customFormat="1" x14ac:dyDescent="0.25">
      <c r="A218" s="4" t="str">
        <v>EE N2O</v>
      </c>
      <c r="B218" s="35">
        <v>1</v>
      </c>
      <c r="C218" s="35">
        <v>0.9997826578312442</v>
      </c>
      <c r="D218" s="35">
        <v>0.99963777907888363</v>
      </c>
      <c r="E218" s="35">
        <v>0.9994898725250333</v>
      </c>
      <c r="F218" s="35">
        <v>0.99934106826467006</v>
      </c>
      <c r="G218" s="35">
        <v>0.99919136801193331</v>
      </c>
      <c r="H218" s="35">
        <v>0.99896997605617333</v>
      </c>
      <c r="I218" s="35">
        <v>0.99868690846575914</v>
      </c>
      <c r="J218" s="35">
        <v>0.99786047405853828</v>
      </c>
      <c r="K218" s="35">
        <v>0.99648929972660083</v>
      </c>
      <c r="M218" s="4"/>
    </row>
    <row r="219" spans="1:13" s="7" customFormat="1" x14ac:dyDescent="0.25">
      <c r="A219" s="4" t="str">
        <v>CA N2O</v>
      </c>
      <c r="B219" s="35">
        <v>1</v>
      </c>
      <c r="C219" s="35">
        <v>0.99978258841342393</v>
      </c>
      <c r="D219" s="35">
        <v>0.99963761720036071</v>
      </c>
      <c r="E219" s="35">
        <v>0.99949036536383995</v>
      </c>
      <c r="F219" s="35">
        <v>0.99933997293108889</v>
      </c>
      <c r="G219" s="35">
        <v>0.99918644578989424</v>
      </c>
      <c r="H219" s="35">
        <v>0.99895686092607228</v>
      </c>
      <c r="I219" s="35">
        <v>0.9986569419248138</v>
      </c>
      <c r="J219" s="35">
        <v>0.99777024942065984</v>
      </c>
      <c r="K219" s="35">
        <v>0.99629958267491292</v>
      </c>
      <c r="M219" s="4"/>
    </row>
    <row r="220" spans="1:13" s="7" customFormat="1" x14ac:dyDescent="0.25">
      <c r="A220" s="4" t="str">
        <v>IA N2O</v>
      </c>
      <c r="B220" s="35">
        <v>1</v>
      </c>
      <c r="C220" s="35">
        <v>0.99978258841342393</v>
      </c>
      <c r="D220" s="35">
        <v>0.99963761720036071</v>
      </c>
      <c r="E220" s="35">
        <v>0.99949036536383995</v>
      </c>
      <c r="F220" s="35">
        <v>0.99933997293108889</v>
      </c>
      <c r="G220" s="35">
        <v>0.99918644578989424</v>
      </c>
      <c r="H220" s="35">
        <v>0.99895686092607228</v>
      </c>
      <c r="I220" s="35">
        <v>0.9986569419248138</v>
      </c>
      <c r="J220" s="35">
        <v>0.99777024942065984</v>
      </c>
      <c r="K220" s="35">
        <v>0.99629958267491292</v>
      </c>
      <c r="M220" s="4"/>
    </row>
    <row r="221" spans="1:13" s="7" customFormat="1" x14ac:dyDescent="0.25">
      <c r="A221" s="4" t="str">
        <v>AF N2O</v>
      </c>
      <c r="B221" s="35">
        <v>1</v>
      </c>
      <c r="C221" s="35">
        <v>0.9997828940027832</v>
      </c>
      <c r="D221" s="35">
        <v>0.9996383298183289</v>
      </c>
      <c r="E221" s="35">
        <v>0.99949164192399587</v>
      </c>
      <c r="F221" s="35">
        <v>0.99934239312462614</v>
      </c>
      <c r="G221" s="35">
        <v>0.99919058819675421</v>
      </c>
      <c r="H221" s="35">
        <v>0.99896254921995553</v>
      </c>
      <c r="I221" s="35">
        <v>0.99866215834747019</v>
      </c>
      <c r="J221" s="35">
        <v>0.99777172779775303</v>
      </c>
      <c r="K221" s="35">
        <v>0.99629489125841575</v>
      </c>
      <c r="M221" s="4"/>
    </row>
    <row r="222" spans="1:13" s="7" customFormat="1" ht="13" thickBot="1" x14ac:dyDescent="0.3">
      <c r="A222" s="4" t="str">
        <v>LA N2O</v>
      </c>
      <c r="B222" s="49">
        <v>1</v>
      </c>
      <c r="C222" s="49">
        <v>0.9997828940027832</v>
      </c>
      <c r="D222" s="49">
        <v>0.9996383298183289</v>
      </c>
      <c r="E222" s="49">
        <v>0.99949164192399587</v>
      </c>
      <c r="F222" s="49">
        <v>0.99934239312462614</v>
      </c>
      <c r="G222" s="49">
        <v>0.99919058819675421</v>
      </c>
      <c r="H222" s="49">
        <v>0.99896254921995553</v>
      </c>
      <c r="I222" s="49">
        <v>0.99866215834747019</v>
      </c>
      <c r="J222" s="49">
        <v>0.99777172779775303</v>
      </c>
      <c r="K222" s="49">
        <v>0.99629489125841575</v>
      </c>
      <c r="M222" s="4"/>
    </row>
    <row r="223" spans="1:13" s="2" customFormat="1" ht="15.5" thickTop="1" x14ac:dyDescent="0.4">
      <c r="A223" s="2" t="s">
        <v>356</v>
      </c>
      <c r="B223" s="2" t="s">
        <v>360</v>
      </c>
    </row>
    <row r="224" spans="1:13" s="7" customFormat="1" x14ac:dyDescent="0.25">
      <c r="A224" s="4" t="str">
        <f t="array" ref="A224:A231">R_CODE&amp;" "&amp;GLIN_NAME</f>
        <v>EU Lin</v>
      </c>
      <c r="B224" s="39">
        <f t="array" ref="B224:K231">((CROSS*cumcbe_glin_g+(1-CROSS)*cumcbe_glin+IES_GLIN)/IES_GLIN)^-(LN(1/(1-LEARN))/LN(2))</f>
        <v>1</v>
      </c>
      <c r="C224" s="39">
        <v>0.99999393963417249</v>
      </c>
      <c r="D224" s="39">
        <v>0.99998972232446626</v>
      </c>
      <c r="E224" s="39">
        <v>0.99998391642398265</v>
      </c>
      <c r="F224" s="39">
        <v>0.99997479390181609</v>
      </c>
      <c r="G224" s="39">
        <v>0.99996235513068632</v>
      </c>
      <c r="H224" s="39">
        <v>0.99993967326861444</v>
      </c>
      <c r="I224" s="39">
        <v>0.99990478479564726</v>
      </c>
      <c r="J224" s="39">
        <v>0.99980475456315365</v>
      </c>
      <c r="K224" s="39">
        <v>0.99963812878062841</v>
      </c>
      <c r="M224" s="4"/>
    </row>
    <row r="225" spans="1:13" s="7" customFormat="1" x14ac:dyDescent="0.25">
      <c r="A225" s="4" t="str">
        <v>US Lin</v>
      </c>
      <c r="B225" s="35">
        <v>1</v>
      </c>
      <c r="C225" s="35">
        <v>0.99999393963417249</v>
      </c>
      <c r="D225" s="35">
        <v>0.99998972232446626</v>
      </c>
      <c r="E225" s="35">
        <v>0.99998391642398265</v>
      </c>
      <c r="F225" s="35">
        <v>0.99997479390181609</v>
      </c>
      <c r="G225" s="35">
        <v>0.99996235513068632</v>
      </c>
      <c r="H225" s="35">
        <v>0.99993967326861444</v>
      </c>
      <c r="I225" s="35">
        <v>0.99990478479564726</v>
      </c>
      <c r="J225" s="35">
        <v>0.99980475456315365</v>
      </c>
      <c r="K225" s="35">
        <v>0.99963812878062841</v>
      </c>
      <c r="M225" s="4"/>
    </row>
    <row r="226" spans="1:13" s="7" customFormat="1" x14ac:dyDescent="0.25">
      <c r="A226" s="4" t="str">
        <v>OT Lin</v>
      </c>
      <c r="B226" s="35">
        <v>1</v>
      </c>
      <c r="C226" s="35">
        <v>0.99999393963417249</v>
      </c>
      <c r="D226" s="35">
        <v>0.99998972232446626</v>
      </c>
      <c r="E226" s="35">
        <v>0.99998391642398265</v>
      </c>
      <c r="F226" s="35">
        <v>0.99997479390181609</v>
      </c>
      <c r="G226" s="35">
        <v>0.99996235513068632</v>
      </c>
      <c r="H226" s="35">
        <v>0.99993967326861444</v>
      </c>
      <c r="I226" s="35">
        <v>0.99990478479564726</v>
      </c>
      <c r="J226" s="35">
        <v>0.99980475456315365</v>
      </c>
      <c r="K226" s="35">
        <v>0.99963812878062841</v>
      </c>
      <c r="M226" s="4"/>
    </row>
    <row r="227" spans="1:13" s="7" customFormat="1" x14ac:dyDescent="0.25">
      <c r="A227" s="4" t="str">
        <v>EE Lin</v>
      </c>
      <c r="B227" s="35">
        <v>1</v>
      </c>
      <c r="C227" s="35">
        <v>0.99999393320168573</v>
      </c>
      <c r="D227" s="35">
        <v>0.99998970731559067</v>
      </c>
      <c r="E227" s="35">
        <v>0.99998277730443974</v>
      </c>
      <c r="F227" s="35">
        <v>0.99997152241579923</v>
      </c>
      <c r="G227" s="35">
        <v>0.99995594324929993</v>
      </c>
      <c r="H227" s="35">
        <v>0.9999283872083351</v>
      </c>
      <c r="I227" s="35">
        <v>0.99988704657062311</v>
      </c>
      <c r="J227" s="35">
        <v>0.99977097648387447</v>
      </c>
      <c r="K227" s="35">
        <v>0.99957764922143877</v>
      </c>
      <c r="M227" s="4"/>
    </row>
    <row r="228" spans="1:13" s="7" customFormat="1" x14ac:dyDescent="0.25">
      <c r="A228" s="4" t="str">
        <v>CA Lin</v>
      </c>
      <c r="B228" s="35">
        <v>1</v>
      </c>
      <c r="C228" s="35">
        <v>0.99999388147305124</v>
      </c>
      <c r="D228" s="35">
        <v>0.99998958661755499</v>
      </c>
      <c r="E228" s="35">
        <v>0.99998200944820814</v>
      </c>
      <c r="F228" s="35">
        <v>0.99996836689099744</v>
      </c>
      <c r="G228" s="35">
        <v>0.99994865996525928</v>
      </c>
      <c r="H228" s="35">
        <v>0.99991050809378967</v>
      </c>
      <c r="I228" s="35">
        <v>0.99985012762584169</v>
      </c>
      <c r="J228" s="35">
        <v>0.99968043591640443</v>
      </c>
      <c r="K228" s="35">
        <v>0.99939787898926358</v>
      </c>
      <c r="M228" s="4"/>
    </row>
    <row r="229" spans="1:13" s="7" customFormat="1" x14ac:dyDescent="0.25">
      <c r="A229" s="4" t="str">
        <v>IA Lin</v>
      </c>
      <c r="B229" s="35">
        <v>1</v>
      </c>
      <c r="C229" s="35">
        <v>0.99999388147305124</v>
      </c>
      <c r="D229" s="35">
        <v>0.99998958661755499</v>
      </c>
      <c r="E229" s="35">
        <v>0.99998200944820814</v>
      </c>
      <c r="F229" s="35">
        <v>0.99996836689099744</v>
      </c>
      <c r="G229" s="35">
        <v>0.99994865996525928</v>
      </c>
      <c r="H229" s="35">
        <v>0.99991050809378967</v>
      </c>
      <c r="I229" s="35">
        <v>0.99985012762584169</v>
      </c>
      <c r="J229" s="35">
        <v>0.99968043591640443</v>
      </c>
      <c r="K229" s="35">
        <v>0.99939787898926358</v>
      </c>
      <c r="M229" s="4"/>
    </row>
    <row r="230" spans="1:13" s="7" customFormat="1" x14ac:dyDescent="0.25">
      <c r="A230" s="4" t="str">
        <v>AF Lin</v>
      </c>
      <c r="B230" s="35">
        <v>1</v>
      </c>
      <c r="C230" s="35">
        <v>0.9999938570385698</v>
      </c>
      <c r="D230" s="35">
        <v>0.99998952960477427</v>
      </c>
      <c r="E230" s="35">
        <v>0.99998192979386247</v>
      </c>
      <c r="F230" s="35">
        <v>0.99996794029749891</v>
      </c>
      <c r="G230" s="35">
        <v>0.99994756221682601</v>
      </c>
      <c r="H230" s="35">
        <v>0.99991003260635669</v>
      </c>
      <c r="I230" s="35">
        <v>0.99985225401054123</v>
      </c>
      <c r="J230" s="35">
        <v>0.99968848405368915</v>
      </c>
      <c r="K230" s="35">
        <v>0.99941577871309606</v>
      </c>
      <c r="M230" s="4"/>
    </row>
    <row r="231" spans="1:13" s="7" customFormat="1" ht="13" thickBot="1" x14ac:dyDescent="0.3">
      <c r="A231" s="4" t="str">
        <v>LA Lin</v>
      </c>
      <c r="B231" s="49">
        <v>1</v>
      </c>
      <c r="C231" s="49">
        <v>0.9999938570385698</v>
      </c>
      <c r="D231" s="49">
        <v>0.99998952960477427</v>
      </c>
      <c r="E231" s="49">
        <v>0.99998192979386247</v>
      </c>
      <c r="F231" s="49">
        <v>0.99996794029749891</v>
      </c>
      <c r="G231" s="49">
        <v>0.99994756221682601</v>
      </c>
      <c r="H231" s="49">
        <v>0.99991003260635669</v>
      </c>
      <c r="I231" s="49">
        <v>0.99985225401054123</v>
      </c>
      <c r="J231" s="49">
        <v>0.99968848405368915</v>
      </c>
      <c r="K231" s="49">
        <v>0.99941577871309606</v>
      </c>
      <c r="M231" s="4"/>
    </row>
    <row r="232" spans="1:13" s="2" customFormat="1" ht="13.5" thickTop="1" x14ac:dyDescent="0.3">
      <c r="A232" s="2" t="s">
        <v>361</v>
      </c>
      <c r="B232" s="2" t="s">
        <v>362</v>
      </c>
    </row>
    <row r="233" spans="1:13" s="7" customFormat="1" ht="13" thickBot="1" x14ac:dyDescent="0.3">
      <c r="A233" s="4"/>
      <c r="B233" s="47">
        <f t="array" ref="B233:K233">(1-AUTO/100)^YMINUSY0</f>
        <v>0.98574317438306291</v>
      </c>
      <c r="C233" s="47">
        <v>0.97168960584279762</v>
      </c>
      <c r="D233" s="47">
        <v>0.95783639657850661</v>
      </c>
      <c r="E233" s="47">
        <v>0.94418069010293137</v>
      </c>
      <c r="F233" s="47">
        <v>0.93071967065325456</v>
      </c>
      <c r="G233" s="47">
        <v>0.91745056261049807</v>
      </c>
      <c r="H233" s="47">
        <v>0.89147717556324768</v>
      </c>
      <c r="I233" s="47">
        <v>0.86623910534090265</v>
      </c>
      <c r="J233" s="47">
        <v>0.75037018762180752</v>
      </c>
      <c r="K233" s="47">
        <v>0.6499999999999998</v>
      </c>
      <c r="M233" s="4"/>
    </row>
    <row r="234" spans="1:13" s="2" customFormat="1" ht="13.5" thickTop="1" x14ac:dyDescent="0.3">
      <c r="A234" s="2" t="s">
        <v>372</v>
      </c>
      <c r="B234" s="2" t="s">
        <v>373</v>
      </c>
    </row>
    <row r="235" spans="1:13" s="7" customFormat="1" x14ac:dyDescent="0.25">
      <c r="A235" s="80" t="s">
        <v>14</v>
      </c>
      <c r="B235" s="35">
        <f t="array" ref="B235:K235">C0_INIT_CO2*(1+C0G/100)^YMINUSY0</f>
        <v>-231.91957706904191</v>
      </c>
      <c r="C235" s="35">
        <v>-230.51438672385891</v>
      </c>
      <c r="D235" s="35">
        <v>-229.11771036413222</v>
      </c>
      <c r="E235" s="35">
        <v>-227.72949640400472</v>
      </c>
      <c r="F235" s="35">
        <v>-226.3496935701757</v>
      </c>
      <c r="G235" s="35">
        <v>-224.97825090000708</v>
      </c>
      <c r="H235" s="35">
        <v>-222.26024374212977</v>
      </c>
      <c r="I235" s="35">
        <v>-219.57507337127834</v>
      </c>
      <c r="J235" s="35">
        <v>-206.62805508381373</v>
      </c>
      <c r="K235" s="35">
        <v>-194.4444444088904</v>
      </c>
      <c r="M235" s="43" t="str">
        <f>CURRENCY_NAME&amp;" per "&amp;EMIT_NAME</f>
        <v>$million per Mtonne</v>
      </c>
    </row>
    <row r="236" spans="1:13" s="7" customFormat="1" x14ac:dyDescent="0.25">
      <c r="A236" s="80" t="s">
        <v>15</v>
      </c>
      <c r="B236" s="35">
        <f t="array" ref="B236:K236">C0_INIT_CH4*(1+C0G/100)^YMINUSY0</f>
        <v>-4307.0778601376187</v>
      </c>
      <c r="C236" s="35">
        <v>-4280.9814680110703</v>
      </c>
      <c r="D236" s="35">
        <v>-4255.0431927572936</v>
      </c>
      <c r="E236" s="35">
        <v>-4229.2620763532259</v>
      </c>
      <c r="F236" s="35">
        <v>-4203.6371665804254</v>
      </c>
      <c r="G236" s="35">
        <v>-4178.1675169899008</v>
      </c>
      <c r="H236" s="35">
        <v>-4127.6902411974224</v>
      </c>
      <c r="I236" s="35">
        <v>-4077.8227914497506</v>
      </c>
      <c r="J236" s="35">
        <v>-3837.3781660952691</v>
      </c>
      <c r="K236" s="35">
        <v>-3611.1111106889171</v>
      </c>
      <c r="M236" s="43" t="str">
        <f>CURRENCY_NAME&amp;" per "&amp;EMIT_NAME</f>
        <v>$million per Mtonne</v>
      </c>
    </row>
    <row r="237" spans="1:13" s="7" customFormat="1" x14ac:dyDescent="0.25">
      <c r="A237" s="80" t="s">
        <v>182</v>
      </c>
      <c r="B237" s="35">
        <f t="array" ref="B237:K237">C0_INIT_N2O*(1+C0G/100)^YMINUSY0</f>
        <v>-7288.9009943084175</v>
      </c>
      <c r="C237" s="35">
        <v>-7244.7378691697932</v>
      </c>
      <c r="D237" s="35">
        <v>-7200.8423264312505</v>
      </c>
      <c r="E237" s="35">
        <v>-7157.212744822994</v>
      </c>
      <c r="F237" s="35">
        <v>-7113.8475128984292</v>
      </c>
      <c r="G237" s="35">
        <v>-7070.7450289746457</v>
      </c>
      <c r="H237" s="35">
        <v>-6985.3219468616098</v>
      </c>
      <c r="I237" s="35">
        <v>-6900.9308780552019</v>
      </c>
      <c r="J237" s="35">
        <v>-6494.0245889809667</v>
      </c>
      <c r="K237" s="35">
        <v>-6111.1111105889368</v>
      </c>
      <c r="M237" s="43" t="str">
        <f>CURRENCY_NAME&amp;" per "&amp;EMIT_NAME</f>
        <v>$million per Mtonne</v>
      </c>
    </row>
    <row r="238" spans="1:13" s="7" customFormat="1" x14ac:dyDescent="0.25">
      <c r="A238" s="4" t="str">
        <f>GLIN_NAME</f>
        <v>Lin</v>
      </c>
      <c r="B238" s="35">
        <f t="array" ref="B238:K238">C0_INIT_GLIN*(1+C0G/100)^YMINUSY0</f>
        <v>-231.91957706904191</v>
      </c>
      <c r="C238" s="35">
        <v>-230.51438672385891</v>
      </c>
      <c r="D238" s="35">
        <v>-229.11771036413222</v>
      </c>
      <c r="E238" s="35">
        <v>-227.72949640400472</v>
      </c>
      <c r="F238" s="35">
        <v>-226.3496935701757</v>
      </c>
      <c r="G238" s="35">
        <v>-224.97825090000708</v>
      </c>
      <c r="H238" s="35">
        <v>-222.26024374212977</v>
      </c>
      <c r="I238" s="35">
        <v>-219.57507337127834</v>
      </c>
      <c r="J238" s="35">
        <v>-206.62805508381373</v>
      </c>
      <c r="K238" s="35">
        <v>-194.4444444088904</v>
      </c>
      <c r="M238" s="43" t="str">
        <f>CURRENCY_NAME&amp;" per "&amp;EMIT_NAME</f>
        <v>$million per Mtonne</v>
      </c>
    </row>
    <row r="239" spans="1:13" s="2" customFormat="1" ht="15" x14ac:dyDescent="0.4">
      <c r="A239" s="2" t="s">
        <v>374</v>
      </c>
      <c r="B239" s="2" t="s">
        <v>375</v>
      </c>
    </row>
    <row r="240" spans="1:13" s="7" customFormat="1" x14ac:dyDescent="0.25">
      <c r="A240" s="80" t="s">
        <v>14</v>
      </c>
      <c r="B240" s="39">
        <f t="array" ref="B240:K240">QMAX_MINUS_Q0_PROP_INIT_CO2*(1+QMAX_MINUS_Q0_PROPG/100)^YMINUSY0</f>
        <v>70.553752632766773</v>
      </c>
      <c r="C240" s="39">
        <v>71.111885865223485</v>
      </c>
      <c r="D240" s="39">
        <v>71.674434351207438</v>
      </c>
      <c r="E240" s="39">
        <v>72.241433018693868</v>
      </c>
      <c r="F240" s="39">
        <v>72.812917071964534</v>
      </c>
      <c r="G240" s="39">
        <v>73.388921993793517</v>
      </c>
      <c r="H240" s="39">
        <v>74.554637779920483</v>
      </c>
      <c r="I240" s="39">
        <v>75.738869893268344</v>
      </c>
      <c r="J240" s="39">
        <v>81.948234467277558</v>
      </c>
      <c r="K240" s="39">
        <v>88.666666690002629</v>
      </c>
      <c r="M240" s="4" t="str">
        <f>'Library data'!$G$77</f>
        <v>%</v>
      </c>
    </row>
    <row r="241" spans="1:15" s="7" customFormat="1" x14ac:dyDescent="0.25">
      <c r="A241" s="80" t="s">
        <v>15</v>
      </c>
      <c r="B241" s="35">
        <f t="array" ref="B241:K241">QMAX_MINUS_Q0_PROP_INIT_CH4*(1+QMAX_MINUS_Q0_PROPG/100)^YMINUSY0</f>
        <v>52.075388851354219</v>
      </c>
      <c r="C241" s="35">
        <v>52.4873443324798</v>
      </c>
      <c r="D241" s="35">
        <v>52.902558691209038</v>
      </c>
      <c r="E241" s="35">
        <v>53.321057707714111</v>
      </c>
      <c r="F241" s="35">
        <v>53.742867366107774</v>
      </c>
      <c r="G241" s="35">
        <v>54.168013856056589</v>
      </c>
      <c r="H241" s="35">
        <v>55.028423126824862</v>
      </c>
      <c r="I241" s="35">
        <v>55.902499210542764</v>
      </c>
      <c r="J241" s="35">
        <v>60.485601634511916</v>
      </c>
      <c r="K241" s="35">
        <v>65.444444465890825</v>
      </c>
      <c r="M241" s="4" t="str">
        <f>'Library data'!$G$77</f>
        <v>%</v>
      </c>
    </row>
    <row r="242" spans="1:15" s="7" customFormat="1" x14ac:dyDescent="0.25">
      <c r="A242" s="80" t="s">
        <v>182</v>
      </c>
      <c r="B242" s="35">
        <f t="array" ref="B242:K242">QMAX_MINUS_Q0_PROP_INIT_N2O*(1+QMAX_MINUS_Q0_PROPG/100)^YMINUSY0</f>
        <v>52.075388851354219</v>
      </c>
      <c r="C242" s="35">
        <v>52.4873443324798</v>
      </c>
      <c r="D242" s="35">
        <v>52.902558691209038</v>
      </c>
      <c r="E242" s="35">
        <v>53.321057707714111</v>
      </c>
      <c r="F242" s="35">
        <v>53.742867366107774</v>
      </c>
      <c r="G242" s="35">
        <v>54.168013856056589</v>
      </c>
      <c r="H242" s="35">
        <v>55.028423126824862</v>
      </c>
      <c r="I242" s="35">
        <v>55.902499210542764</v>
      </c>
      <c r="J242" s="35">
        <v>60.485601634511916</v>
      </c>
      <c r="K242" s="35">
        <v>65.444444465890825</v>
      </c>
      <c r="M242" s="4" t="str">
        <f>'Library data'!$G$77</f>
        <v>%</v>
      </c>
    </row>
    <row r="243" spans="1:15" s="7" customFormat="1" x14ac:dyDescent="0.25">
      <c r="A243" s="4" t="str">
        <f>GLIN_NAME</f>
        <v>Lin</v>
      </c>
      <c r="B243" s="35">
        <f t="array" ref="B243:K243">QMAX_MINUS_Q0_PROP_INIT_GLIN*(1+QMAX_MINUS_Q0_PROPG/100)^YMINUSY0</f>
        <v>70.553752632766773</v>
      </c>
      <c r="C243" s="35">
        <v>71.111885865223485</v>
      </c>
      <c r="D243" s="35">
        <v>71.674434351207438</v>
      </c>
      <c r="E243" s="35">
        <v>72.241433018693868</v>
      </c>
      <c r="F243" s="35">
        <v>72.812917071964534</v>
      </c>
      <c r="G243" s="35">
        <v>73.388921993793517</v>
      </c>
      <c r="H243" s="35">
        <v>74.554637779920483</v>
      </c>
      <c r="I243" s="35">
        <v>75.738869893268344</v>
      </c>
      <c r="J243" s="35">
        <v>81.948234467277558</v>
      </c>
      <c r="K243" s="35">
        <v>88.666666690002629</v>
      </c>
      <c r="M243" s="4" t="str">
        <f>'Library data'!$G$77</f>
        <v>%</v>
      </c>
    </row>
    <row r="244" spans="1:15" s="2" customFormat="1" ht="15" x14ac:dyDescent="0.4">
      <c r="A244" s="2" t="s">
        <v>363</v>
      </c>
      <c r="B244" s="2" t="s">
        <v>364</v>
      </c>
    </row>
    <row r="245" spans="1:15" s="6" customFormat="1" x14ac:dyDescent="0.25">
      <c r="A245" s="4" t="str">
        <f t="array" ref="A245:A252">R_CODE&amp;" "&amp;'Base data'!$B$11</f>
        <v>EU CO2</v>
      </c>
      <c r="B245" s="39">
        <f t="array" ref="B245:K252">Q0_PROP_INIT_CO2*(1+Q0PROPG/100)^YMINUSY0</f>
        <v>19.794295219178107</v>
      </c>
      <c r="C245" s="39">
        <v>19.590706161198863</v>
      </c>
      <c r="D245" s="39">
        <v>19.389211065347087</v>
      </c>
      <c r="E245" s="39">
        <v>19.189788394721756</v>
      </c>
      <c r="F245" s="39">
        <v>18.992416833934019</v>
      </c>
      <c r="G245" s="39">
        <v>18.7970752868289</v>
      </c>
      <c r="H245" s="39">
        <v>18.412398931709888</v>
      </c>
      <c r="I245" s="39">
        <v>18.035594859695014</v>
      </c>
      <c r="J245" s="39">
        <v>16.264134097152862</v>
      </c>
      <c r="K245" s="39">
        <v>14.666666666000028</v>
      </c>
      <c r="M245" s="4" t="str">
        <f>'Library data'!$G$77</f>
        <v>%</v>
      </c>
    </row>
    <row r="246" spans="1:15" s="6" customFormat="1" x14ac:dyDescent="0.25">
      <c r="A246" s="4" t="str">
        <v>US CO2</v>
      </c>
      <c r="B246" s="35">
        <v>21.44381981417818</v>
      </c>
      <c r="C246" s="35">
        <v>21.223265001435198</v>
      </c>
      <c r="D246" s="35">
        <v>21.004978647662938</v>
      </c>
      <c r="E246" s="35">
        <v>20.788937421218638</v>
      </c>
      <c r="F246" s="35">
        <v>20.575118230431045</v>
      </c>
      <c r="G246" s="35">
        <v>20.363498221132279</v>
      </c>
      <c r="H246" s="35">
        <v>19.946765503214909</v>
      </c>
      <c r="I246" s="35">
        <v>19.538561091991063</v>
      </c>
      <c r="J246" s="35">
        <v>17.619478599827552</v>
      </c>
      <c r="K246" s="35">
        <v>15.888888883277806</v>
      </c>
      <c r="M246" s="4" t="str">
        <f>'Library data'!$G$77</f>
        <v>%</v>
      </c>
    </row>
    <row r="247" spans="1:15" s="6" customFormat="1" x14ac:dyDescent="0.25">
      <c r="A247" s="4" t="str">
        <v>OT CO2</v>
      </c>
      <c r="B247" s="35">
        <v>19.794295219178107</v>
      </c>
      <c r="C247" s="35">
        <v>19.590706161198863</v>
      </c>
      <c r="D247" s="35">
        <v>19.389211065347087</v>
      </c>
      <c r="E247" s="35">
        <v>19.189788394721756</v>
      </c>
      <c r="F247" s="35">
        <v>18.992416833934019</v>
      </c>
      <c r="G247" s="35">
        <v>18.7970752868289</v>
      </c>
      <c r="H247" s="35">
        <v>18.412398931709888</v>
      </c>
      <c r="I247" s="35">
        <v>18.035594859695014</v>
      </c>
      <c r="J247" s="35">
        <v>16.264134097152862</v>
      </c>
      <c r="K247" s="35">
        <v>14.666666666000028</v>
      </c>
      <c r="M247" s="4" t="str">
        <f>'Library data'!$G$77</f>
        <v>%</v>
      </c>
    </row>
    <row r="248" spans="1:15" s="6" customFormat="1" x14ac:dyDescent="0.25">
      <c r="A248" s="4" t="str">
        <v>EE CO2</v>
      </c>
      <c r="B248" s="35">
        <v>13.856006653424675</v>
      </c>
      <c r="C248" s="35">
        <v>13.713494312839204</v>
      </c>
      <c r="D248" s="35">
        <v>13.572447745742961</v>
      </c>
      <c r="E248" s="35">
        <v>13.432851876305229</v>
      </c>
      <c r="F248" s="35">
        <v>13.294691783753812</v>
      </c>
      <c r="G248" s="35">
        <v>13.15795270078023</v>
      </c>
      <c r="H248" s="35">
        <v>12.888679252196921</v>
      </c>
      <c r="I248" s="35">
        <v>12.624916401786511</v>
      </c>
      <c r="J248" s="35">
        <v>11.384893868007001</v>
      </c>
      <c r="K248" s="35">
        <v>10.26666666620002</v>
      </c>
      <c r="M248" s="4" t="str">
        <f>'Library data'!$G$77</f>
        <v>%</v>
      </c>
    </row>
    <row r="249" spans="1:15" s="6" customFormat="1" x14ac:dyDescent="0.25">
      <c r="A249" s="4" t="str">
        <v>CA CO2</v>
      </c>
      <c r="B249" s="35">
        <v>13.856006653424675</v>
      </c>
      <c r="C249" s="35">
        <v>13.713494312839204</v>
      </c>
      <c r="D249" s="35">
        <v>13.572447745742961</v>
      </c>
      <c r="E249" s="35">
        <v>13.432851876305229</v>
      </c>
      <c r="F249" s="35">
        <v>13.294691783753812</v>
      </c>
      <c r="G249" s="35">
        <v>13.15795270078023</v>
      </c>
      <c r="H249" s="35">
        <v>12.888679252196921</v>
      </c>
      <c r="I249" s="35">
        <v>12.624916401786511</v>
      </c>
      <c r="J249" s="35">
        <v>11.384893868007001</v>
      </c>
      <c r="K249" s="35">
        <v>10.26666666620002</v>
      </c>
      <c r="M249" s="4" t="str">
        <f>'Library data'!$G$77</f>
        <v>%</v>
      </c>
    </row>
    <row r="250" spans="1:15" s="6" customFormat="1" x14ac:dyDescent="0.25">
      <c r="A250" s="4" t="str">
        <v>IA CO2</v>
      </c>
      <c r="B250" s="35">
        <v>13.856006653424675</v>
      </c>
      <c r="C250" s="35">
        <v>13.713494312839204</v>
      </c>
      <c r="D250" s="35">
        <v>13.572447745742961</v>
      </c>
      <c r="E250" s="35">
        <v>13.432851876305229</v>
      </c>
      <c r="F250" s="35">
        <v>13.294691783753812</v>
      </c>
      <c r="G250" s="35">
        <v>13.15795270078023</v>
      </c>
      <c r="H250" s="35">
        <v>12.888679252196921</v>
      </c>
      <c r="I250" s="35">
        <v>12.624916401786511</v>
      </c>
      <c r="J250" s="35">
        <v>11.384893868007001</v>
      </c>
      <c r="K250" s="35">
        <v>10.26666666620002</v>
      </c>
      <c r="M250" s="4" t="str">
        <f>'Library data'!$G$77</f>
        <v>%</v>
      </c>
    </row>
    <row r="251" spans="1:15" s="6" customFormat="1" x14ac:dyDescent="0.25">
      <c r="A251" s="4" t="str">
        <v>AF CO2</v>
      </c>
      <c r="B251" s="35">
        <v>13.856006653424675</v>
      </c>
      <c r="C251" s="35">
        <v>13.713494312839204</v>
      </c>
      <c r="D251" s="35">
        <v>13.572447745742961</v>
      </c>
      <c r="E251" s="35">
        <v>13.432851876305229</v>
      </c>
      <c r="F251" s="35">
        <v>13.294691783753812</v>
      </c>
      <c r="G251" s="35">
        <v>13.15795270078023</v>
      </c>
      <c r="H251" s="35">
        <v>12.888679252196921</v>
      </c>
      <c r="I251" s="35">
        <v>12.624916401786511</v>
      </c>
      <c r="J251" s="35">
        <v>11.384893868007001</v>
      </c>
      <c r="K251" s="35">
        <v>10.26666666620002</v>
      </c>
      <c r="M251" s="4" t="str">
        <f>'Library data'!$G$77</f>
        <v>%</v>
      </c>
    </row>
    <row r="252" spans="1:15" s="6" customFormat="1" ht="13" thickBot="1" x14ac:dyDescent="0.3">
      <c r="A252" s="4" t="str">
        <v>LA CO2</v>
      </c>
      <c r="B252" s="49">
        <v>13.856006653424675</v>
      </c>
      <c r="C252" s="49">
        <v>13.713494312839204</v>
      </c>
      <c r="D252" s="49">
        <v>13.572447745742961</v>
      </c>
      <c r="E252" s="49">
        <v>13.432851876305229</v>
      </c>
      <c r="F252" s="49">
        <v>13.294691783753812</v>
      </c>
      <c r="G252" s="49">
        <v>13.15795270078023</v>
      </c>
      <c r="H252" s="49">
        <v>12.888679252196921</v>
      </c>
      <c r="I252" s="49">
        <v>12.624916401786511</v>
      </c>
      <c r="J252" s="49">
        <v>11.384893868007001</v>
      </c>
      <c r="K252" s="49">
        <v>10.26666666620002</v>
      </c>
      <c r="M252" s="4" t="str">
        <f>'Library data'!$G$77</f>
        <v>%</v>
      </c>
      <c r="O252" s="92"/>
    </row>
    <row r="253" spans="1:15" s="8" customFormat="1" ht="15.5" thickTop="1" x14ac:dyDescent="0.4">
      <c r="A253" s="2" t="s">
        <v>363</v>
      </c>
      <c r="B253" s="2" t="s">
        <v>365</v>
      </c>
    </row>
    <row r="254" spans="1:15" s="7" customFormat="1" x14ac:dyDescent="0.25">
      <c r="A254" s="4" t="str">
        <f t="array" ref="A254:A261">R_CODE&amp;" "&amp;'Base data'!$C$11</f>
        <v>EU CH4</v>
      </c>
      <c r="B254" s="39">
        <f t="array" ref="B254:K261">Q0_PROP_INIT_CH4*(1+Q0PROPG/100)^YMINUSY0</f>
        <v>9.8971476095890534</v>
      </c>
      <c r="C254" s="39">
        <v>9.7953530805994316</v>
      </c>
      <c r="D254" s="39">
        <v>9.6946055326735436</v>
      </c>
      <c r="E254" s="39">
        <v>9.5948941973608779</v>
      </c>
      <c r="F254" s="39">
        <v>9.4962084169670096</v>
      </c>
      <c r="G254" s="39">
        <v>9.3985376434144499</v>
      </c>
      <c r="H254" s="39">
        <v>9.2061994658549438</v>
      </c>
      <c r="I254" s="39">
        <v>9.0177974298475068</v>
      </c>
      <c r="J254" s="39">
        <v>8.132067048576431</v>
      </c>
      <c r="K254" s="39">
        <v>7.3333333330000139</v>
      </c>
      <c r="M254" s="4" t="str">
        <f>'Library data'!$G$77</f>
        <v>%</v>
      </c>
    </row>
    <row r="255" spans="1:15" s="7" customFormat="1" x14ac:dyDescent="0.25">
      <c r="A255" s="4" t="str">
        <v>US CH4</v>
      </c>
      <c r="B255" s="35">
        <v>10.72190990708909</v>
      </c>
      <c r="C255" s="35">
        <v>10.611632500717599</v>
      </c>
      <c r="D255" s="35">
        <v>10.502489323831469</v>
      </c>
      <c r="E255" s="35">
        <v>10.394468710609319</v>
      </c>
      <c r="F255" s="35">
        <v>10.287559115215522</v>
      </c>
      <c r="G255" s="35">
        <v>10.181749110566139</v>
      </c>
      <c r="H255" s="35">
        <v>9.9733827516074545</v>
      </c>
      <c r="I255" s="35">
        <v>9.7692805459955316</v>
      </c>
      <c r="J255" s="35">
        <v>8.809739299913776</v>
      </c>
      <c r="K255" s="35">
        <v>7.9444444416389031</v>
      </c>
      <c r="M255" s="4" t="str">
        <f>'Library data'!$G$77</f>
        <v>%</v>
      </c>
    </row>
    <row r="256" spans="1:15" s="7" customFormat="1" x14ac:dyDescent="0.25">
      <c r="A256" s="4" t="str">
        <v>OT CH4</v>
      </c>
      <c r="B256" s="35">
        <v>9.8971476095890534</v>
      </c>
      <c r="C256" s="35">
        <v>9.7953530805994316</v>
      </c>
      <c r="D256" s="35">
        <v>9.6946055326735436</v>
      </c>
      <c r="E256" s="35">
        <v>9.5948941973608779</v>
      </c>
      <c r="F256" s="35">
        <v>9.4962084169670096</v>
      </c>
      <c r="G256" s="35">
        <v>9.3985376434144499</v>
      </c>
      <c r="H256" s="35">
        <v>9.2061994658549438</v>
      </c>
      <c r="I256" s="35">
        <v>9.0177974298475068</v>
      </c>
      <c r="J256" s="35">
        <v>8.132067048576431</v>
      </c>
      <c r="K256" s="35">
        <v>7.3333333330000139</v>
      </c>
      <c r="M256" s="4" t="str">
        <f>'Library data'!$G$77</f>
        <v>%</v>
      </c>
    </row>
    <row r="257" spans="1:13" s="7" customFormat="1" x14ac:dyDescent="0.25">
      <c r="A257" s="4" t="str">
        <v>EE CH4</v>
      </c>
      <c r="B257" s="35">
        <v>6.9280033267123375</v>
      </c>
      <c r="C257" s="35">
        <v>6.8567471564196021</v>
      </c>
      <c r="D257" s="35">
        <v>6.7862238728714805</v>
      </c>
      <c r="E257" s="35">
        <v>6.7164259381526143</v>
      </c>
      <c r="F257" s="35">
        <v>6.6473458918769062</v>
      </c>
      <c r="G257" s="35">
        <v>6.5789763503901151</v>
      </c>
      <c r="H257" s="35">
        <v>6.4443396260984604</v>
      </c>
      <c r="I257" s="35">
        <v>6.3124582008932553</v>
      </c>
      <c r="J257" s="35">
        <v>5.6924469340035007</v>
      </c>
      <c r="K257" s="35">
        <v>5.1333333331000102</v>
      </c>
      <c r="M257" s="4" t="str">
        <f>'Library data'!$G$77</f>
        <v>%</v>
      </c>
    </row>
    <row r="258" spans="1:13" s="7" customFormat="1" x14ac:dyDescent="0.25">
      <c r="A258" s="4" t="str">
        <v>CA CH4</v>
      </c>
      <c r="B258" s="35">
        <v>6.9280033267123375</v>
      </c>
      <c r="C258" s="35">
        <v>6.8567471564196021</v>
      </c>
      <c r="D258" s="35">
        <v>6.7862238728714805</v>
      </c>
      <c r="E258" s="35">
        <v>6.7164259381526143</v>
      </c>
      <c r="F258" s="35">
        <v>6.6473458918769062</v>
      </c>
      <c r="G258" s="35">
        <v>6.5789763503901151</v>
      </c>
      <c r="H258" s="35">
        <v>6.4443396260984604</v>
      </c>
      <c r="I258" s="35">
        <v>6.3124582008932553</v>
      </c>
      <c r="J258" s="35">
        <v>5.6924469340035007</v>
      </c>
      <c r="K258" s="35">
        <v>5.1333333331000102</v>
      </c>
      <c r="M258" s="4" t="str">
        <f>'Library data'!$G$77</f>
        <v>%</v>
      </c>
    </row>
    <row r="259" spans="1:13" s="7" customFormat="1" x14ac:dyDescent="0.25">
      <c r="A259" s="4" t="str">
        <v>IA CH4</v>
      </c>
      <c r="B259" s="35">
        <v>6.9280033267123375</v>
      </c>
      <c r="C259" s="35">
        <v>6.8567471564196021</v>
      </c>
      <c r="D259" s="35">
        <v>6.7862238728714805</v>
      </c>
      <c r="E259" s="35">
        <v>6.7164259381526143</v>
      </c>
      <c r="F259" s="35">
        <v>6.6473458918769062</v>
      </c>
      <c r="G259" s="35">
        <v>6.5789763503901151</v>
      </c>
      <c r="H259" s="35">
        <v>6.4443396260984604</v>
      </c>
      <c r="I259" s="35">
        <v>6.3124582008932553</v>
      </c>
      <c r="J259" s="35">
        <v>5.6924469340035007</v>
      </c>
      <c r="K259" s="35">
        <v>5.1333333331000102</v>
      </c>
      <c r="M259" s="4" t="str">
        <f>'Library data'!$G$77</f>
        <v>%</v>
      </c>
    </row>
    <row r="260" spans="1:13" s="7" customFormat="1" x14ac:dyDescent="0.25">
      <c r="A260" s="4" t="str">
        <v>AF CH4</v>
      </c>
      <c r="B260" s="35">
        <v>6.9280033267123375</v>
      </c>
      <c r="C260" s="35">
        <v>6.8567471564196021</v>
      </c>
      <c r="D260" s="35">
        <v>6.7862238728714805</v>
      </c>
      <c r="E260" s="35">
        <v>6.7164259381526143</v>
      </c>
      <c r="F260" s="35">
        <v>6.6473458918769062</v>
      </c>
      <c r="G260" s="35">
        <v>6.5789763503901151</v>
      </c>
      <c r="H260" s="35">
        <v>6.4443396260984604</v>
      </c>
      <c r="I260" s="35">
        <v>6.3124582008932553</v>
      </c>
      <c r="J260" s="35">
        <v>5.6924469340035007</v>
      </c>
      <c r="K260" s="35">
        <v>5.1333333331000102</v>
      </c>
      <c r="M260" s="4" t="str">
        <f>'Library data'!$G$77</f>
        <v>%</v>
      </c>
    </row>
    <row r="261" spans="1:13" s="7" customFormat="1" ht="13" thickBot="1" x14ac:dyDescent="0.3">
      <c r="A261" s="4" t="str">
        <v>LA CH4</v>
      </c>
      <c r="B261" s="49">
        <v>6.9280033267123375</v>
      </c>
      <c r="C261" s="49">
        <v>6.8567471564196021</v>
      </c>
      <c r="D261" s="49">
        <v>6.7862238728714805</v>
      </c>
      <c r="E261" s="49">
        <v>6.7164259381526143</v>
      </c>
      <c r="F261" s="49">
        <v>6.6473458918769062</v>
      </c>
      <c r="G261" s="49">
        <v>6.5789763503901151</v>
      </c>
      <c r="H261" s="49">
        <v>6.4443396260984604</v>
      </c>
      <c r="I261" s="49">
        <v>6.3124582008932553</v>
      </c>
      <c r="J261" s="49">
        <v>5.6924469340035007</v>
      </c>
      <c r="K261" s="49">
        <v>5.1333333331000102</v>
      </c>
      <c r="M261" s="4" t="str">
        <f>'Library data'!$G$77</f>
        <v>%</v>
      </c>
    </row>
    <row r="262" spans="1:13" s="8" customFormat="1" ht="15.5" thickTop="1" x14ac:dyDescent="0.4">
      <c r="A262" s="2" t="s">
        <v>363</v>
      </c>
      <c r="B262" s="2" t="s">
        <v>366</v>
      </c>
    </row>
    <row r="263" spans="1:13" s="7" customFormat="1" x14ac:dyDescent="0.25">
      <c r="A263" s="4" t="str">
        <f t="array" ref="A263:A270">R_CODE&amp;" "&amp;'Base data'!$D$11</f>
        <v>EU N2O</v>
      </c>
      <c r="B263" s="39">
        <f t="array" ref="B263:K270">Q0_PROP_INIT_N2O*(1+Q0PROPG/100)^YMINUSY0</f>
        <v>9.8971476095890534</v>
      </c>
      <c r="C263" s="39">
        <v>9.7953530805994316</v>
      </c>
      <c r="D263" s="39">
        <v>9.6946055326735436</v>
      </c>
      <c r="E263" s="39">
        <v>9.5948941973608779</v>
      </c>
      <c r="F263" s="39">
        <v>9.4962084169670096</v>
      </c>
      <c r="G263" s="39">
        <v>9.3985376434144499</v>
      </c>
      <c r="H263" s="39">
        <v>9.2061994658549438</v>
      </c>
      <c r="I263" s="39">
        <v>9.0177974298475068</v>
      </c>
      <c r="J263" s="39">
        <v>8.132067048576431</v>
      </c>
      <c r="K263" s="39">
        <v>7.3333333330000139</v>
      </c>
      <c r="M263" s="4" t="str">
        <f>'Library data'!$G$77</f>
        <v>%</v>
      </c>
    </row>
    <row r="264" spans="1:13" s="7" customFormat="1" x14ac:dyDescent="0.25">
      <c r="A264" s="4" t="str">
        <v>US N2O</v>
      </c>
      <c r="B264" s="35">
        <v>10.72190990708909</v>
      </c>
      <c r="C264" s="35">
        <v>10.611632500717599</v>
      </c>
      <c r="D264" s="35">
        <v>10.502489323831469</v>
      </c>
      <c r="E264" s="35">
        <v>10.394468710609319</v>
      </c>
      <c r="F264" s="35">
        <v>10.287559115215522</v>
      </c>
      <c r="G264" s="35">
        <v>10.181749110566139</v>
      </c>
      <c r="H264" s="35">
        <v>9.9733827516074545</v>
      </c>
      <c r="I264" s="35">
        <v>9.7692805459955316</v>
      </c>
      <c r="J264" s="35">
        <v>8.809739299913776</v>
      </c>
      <c r="K264" s="35">
        <v>7.9444444416389031</v>
      </c>
      <c r="M264" s="4" t="str">
        <f>'Library data'!$G$77</f>
        <v>%</v>
      </c>
    </row>
    <row r="265" spans="1:13" s="7" customFormat="1" x14ac:dyDescent="0.25">
      <c r="A265" s="4" t="str">
        <v>OT N2O</v>
      </c>
      <c r="B265" s="35">
        <v>9.8971476095890534</v>
      </c>
      <c r="C265" s="35">
        <v>9.7953530805994316</v>
      </c>
      <c r="D265" s="35">
        <v>9.6946055326735436</v>
      </c>
      <c r="E265" s="35">
        <v>9.5948941973608779</v>
      </c>
      <c r="F265" s="35">
        <v>9.4962084169670096</v>
      </c>
      <c r="G265" s="35">
        <v>9.3985376434144499</v>
      </c>
      <c r="H265" s="35">
        <v>9.2061994658549438</v>
      </c>
      <c r="I265" s="35">
        <v>9.0177974298475068</v>
      </c>
      <c r="J265" s="35">
        <v>8.132067048576431</v>
      </c>
      <c r="K265" s="35">
        <v>7.3333333330000139</v>
      </c>
      <c r="M265" s="4" t="str">
        <f>'Library data'!$G$77</f>
        <v>%</v>
      </c>
    </row>
    <row r="266" spans="1:13" s="7" customFormat="1" x14ac:dyDescent="0.25">
      <c r="A266" s="4" t="str">
        <v>EE N2O</v>
      </c>
      <c r="B266" s="35">
        <v>6.9280033267123375</v>
      </c>
      <c r="C266" s="35">
        <v>6.8567471564196021</v>
      </c>
      <c r="D266" s="35">
        <v>6.7862238728714805</v>
      </c>
      <c r="E266" s="35">
        <v>6.7164259381526143</v>
      </c>
      <c r="F266" s="35">
        <v>6.6473458918769062</v>
      </c>
      <c r="G266" s="35">
        <v>6.5789763503901151</v>
      </c>
      <c r="H266" s="35">
        <v>6.4443396260984604</v>
      </c>
      <c r="I266" s="35">
        <v>6.3124582008932553</v>
      </c>
      <c r="J266" s="35">
        <v>5.6924469340035007</v>
      </c>
      <c r="K266" s="35">
        <v>5.1333333331000102</v>
      </c>
      <c r="M266" s="4" t="str">
        <f>'Library data'!$G$77</f>
        <v>%</v>
      </c>
    </row>
    <row r="267" spans="1:13" s="7" customFormat="1" x14ac:dyDescent="0.25">
      <c r="A267" s="4" t="str">
        <v>CA N2O</v>
      </c>
      <c r="B267" s="35">
        <v>6.9280033267123375</v>
      </c>
      <c r="C267" s="35">
        <v>6.8567471564196021</v>
      </c>
      <c r="D267" s="35">
        <v>6.7862238728714805</v>
      </c>
      <c r="E267" s="35">
        <v>6.7164259381526143</v>
      </c>
      <c r="F267" s="35">
        <v>6.6473458918769062</v>
      </c>
      <c r="G267" s="35">
        <v>6.5789763503901151</v>
      </c>
      <c r="H267" s="35">
        <v>6.4443396260984604</v>
      </c>
      <c r="I267" s="35">
        <v>6.3124582008932553</v>
      </c>
      <c r="J267" s="35">
        <v>5.6924469340035007</v>
      </c>
      <c r="K267" s="35">
        <v>5.1333333331000102</v>
      </c>
      <c r="M267" s="4" t="str">
        <f>'Library data'!$G$77</f>
        <v>%</v>
      </c>
    </row>
    <row r="268" spans="1:13" s="7" customFormat="1" x14ac:dyDescent="0.25">
      <c r="A268" s="4" t="str">
        <v>IA N2O</v>
      </c>
      <c r="B268" s="35">
        <v>6.9280033267123375</v>
      </c>
      <c r="C268" s="35">
        <v>6.8567471564196021</v>
      </c>
      <c r="D268" s="35">
        <v>6.7862238728714805</v>
      </c>
      <c r="E268" s="35">
        <v>6.7164259381526143</v>
      </c>
      <c r="F268" s="35">
        <v>6.6473458918769062</v>
      </c>
      <c r="G268" s="35">
        <v>6.5789763503901151</v>
      </c>
      <c r="H268" s="35">
        <v>6.4443396260984604</v>
      </c>
      <c r="I268" s="35">
        <v>6.3124582008932553</v>
      </c>
      <c r="J268" s="35">
        <v>5.6924469340035007</v>
      </c>
      <c r="K268" s="35">
        <v>5.1333333331000102</v>
      </c>
      <c r="M268" s="4" t="str">
        <f>'Library data'!$G$77</f>
        <v>%</v>
      </c>
    </row>
    <row r="269" spans="1:13" s="7" customFormat="1" x14ac:dyDescent="0.25">
      <c r="A269" s="4" t="str">
        <v>AF N2O</v>
      </c>
      <c r="B269" s="35">
        <v>6.9280033267123375</v>
      </c>
      <c r="C269" s="35">
        <v>6.8567471564196021</v>
      </c>
      <c r="D269" s="35">
        <v>6.7862238728714805</v>
      </c>
      <c r="E269" s="35">
        <v>6.7164259381526143</v>
      </c>
      <c r="F269" s="35">
        <v>6.6473458918769062</v>
      </c>
      <c r="G269" s="35">
        <v>6.5789763503901151</v>
      </c>
      <c r="H269" s="35">
        <v>6.4443396260984604</v>
      </c>
      <c r="I269" s="35">
        <v>6.3124582008932553</v>
      </c>
      <c r="J269" s="35">
        <v>5.6924469340035007</v>
      </c>
      <c r="K269" s="35">
        <v>5.1333333331000102</v>
      </c>
      <c r="M269" s="4" t="str">
        <f>'Library data'!$G$77</f>
        <v>%</v>
      </c>
    </row>
    <row r="270" spans="1:13" s="7" customFormat="1" ht="13" thickBot="1" x14ac:dyDescent="0.3">
      <c r="A270" s="4" t="str">
        <v>LA N2O</v>
      </c>
      <c r="B270" s="49">
        <v>6.9280033267123375</v>
      </c>
      <c r="C270" s="49">
        <v>6.8567471564196021</v>
      </c>
      <c r="D270" s="49">
        <v>6.7862238728714805</v>
      </c>
      <c r="E270" s="49">
        <v>6.7164259381526143</v>
      </c>
      <c r="F270" s="49">
        <v>6.6473458918769062</v>
      </c>
      <c r="G270" s="49">
        <v>6.5789763503901151</v>
      </c>
      <c r="H270" s="49">
        <v>6.4443396260984604</v>
      </c>
      <c r="I270" s="49">
        <v>6.3124582008932553</v>
      </c>
      <c r="J270" s="49">
        <v>5.6924469340035007</v>
      </c>
      <c r="K270" s="49">
        <v>5.1333333331000102</v>
      </c>
      <c r="M270" s="4" t="str">
        <f>'Library data'!$G$77</f>
        <v>%</v>
      </c>
    </row>
    <row r="271" spans="1:13" s="8" customFormat="1" ht="15.5" thickTop="1" x14ac:dyDescent="0.4">
      <c r="A271" s="2" t="s">
        <v>363</v>
      </c>
      <c r="B271" s="2" t="s">
        <v>367</v>
      </c>
    </row>
    <row r="272" spans="1:13" s="7" customFormat="1" x14ac:dyDescent="0.25">
      <c r="A272" s="4" t="str">
        <f t="array" ref="A272:A279">R_CODE&amp;" "&amp;GLIN_NAME</f>
        <v>EU Lin</v>
      </c>
      <c r="B272" s="39">
        <f t="array" ref="B272:K279">Q0_PROP_INIT_GLIN*(1+Q0PROPG/100)^YMINUSY0</f>
        <v>9.8971476095890534</v>
      </c>
      <c r="C272" s="39">
        <v>9.7953530805994316</v>
      </c>
      <c r="D272" s="39">
        <v>9.6946055326735436</v>
      </c>
      <c r="E272" s="39">
        <v>9.5948941973608779</v>
      </c>
      <c r="F272" s="39">
        <v>9.4962084169670096</v>
      </c>
      <c r="G272" s="39">
        <v>9.3985376434144499</v>
      </c>
      <c r="H272" s="39">
        <v>9.2061994658549438</v>
      </c>
      <c r="I272" s="39">
        <v>9.0177974298475068</v>
      </c>
      <c r="J272" s="39">
        <v>8.132067048576431</v>
      </c>
      <c r="K272" s="39">
        <v>7.3333333330000139</v>
      </c>
      <c r="M272" s="4" t="str">
        <f>'Library data'!$G$77</f>
        <v>%</v>
      </c>
    </row>
    <row r="273" spans="1:13" s="7" customFormat="1" x14ac:dyDescent="0.25">
      <c r="A273" s="4" t="str">
        <v>US Lin</v>
      </c>
      <c r="B273" s="35">
        <v>10.72190990708909</v>
      </c>
      <c r="C273" s="35">
        <v>10.611632500717599</v>
      </c>
      <c r="D273" s="35">
        <v>10.502489323831469</v>
      </c>
      <c r="E273" s="35">
        <v>10.394468710609319</v>
      </c>
      <c r="F273" s="35">
        <v>10.287559115215522</v>
      </c>
      <c r="G273" s="35">
        <v>10.181749110566139</v>
      </c>
      <c r="H273" s="35">
        <v>9.9733827516074545</v>
      </c>
      <c r="I273" s="35">
        <v>9.7692805459955316</v>
      </c>
      <c r="J273" s="35">
        <v>8.809739299913776</v>
      </c>
      <c r="K273" s="35">
        <v>7.9444444416389031</v>
      </c>
      <c r="M273" s="4" t="str">
        <f>'Library data'!$G$77</f>
        <v>%</v>
      </c>
    </row>
    <row r="274" spans="1:13" s="7" customFormat="1" x14ac:dyDescent="0.25">
      <c r="A274" s="4" t="str">
        <v>OT Lin</v>
      </c>
      <c r="B274" s="35">
        <v>9.8971476095890534</v>
      </c>
      <c r="C274" s="35">
        <v>9.7953530805994316</v>
      </c>
      <c r="D274" s="35">
        <v>9.6946055326735436</v>
      </c>
      <c r="E274" s="35">
        <v>9.5948941973608779</v>
      </c>
      <c r="F274" s="35">
        <v>9.4962084169670096</v>
      </c>
      <c r="G274" s="35">
        <v>9.3985376434144499</v>
      </c>
      <c r="H274" s="35">
        <v>9.2061994658549438</v>
      </c>
      <c r="I274" s="35">
        <v>9.0177974298475068</v>
      </c>
      <c r="J274" s="35">
        <v>8.132067048576431</v>
      </c>
      <c r="K274" s="35">
        <v>7.3333333330000139</v>
      </c>
      <c r="M274" s="4" t="str">
        <f>'Library data'!$G$77</f>
        <v>%</v>
      </c>
    </row>
    <row r="275" spans="1:13" s="7" customFormat="1" x14ac:dyDescent="0.25">
      <c r="A275" s="4" t="str">
        <v>EE Lin</v>
      </c>
      <c r="B275" s="35">
        <v>6.9280033267123375</v>
      </c>
      <c r="C275" s="35">
        <v>6.8567471564196021</v>
      </c>
      <c r="D275" s="35">
        <v>6.7862238728714805</v>
      </c>
      <c r="E275" s="35">
        <v>6.7164259381526143</v>
      </c>
      <c r="F275" s="35">
        <v>6.6473458918769062</v>
      </c>
      <c r="G275" s="35">
        <v>6.5789763503901151</v>
      </c>
      <c r="H275" s="35">
        <v>6.4443396260984604</v>
      </c>
      <c r="I275" s="35">
        <v>6.3124582008932553</v>
      </c>
      <c r="J275" s="35">
        <v>5.6924469340035007</v>
      </c>
      <c r="K275" s="35">
        <v>5.1333333331000102</v>
      </c>
      <c r="M275" s="4" t="str">
        <f>'Library data'!$G$77</f>
        <v>%</v>
      </c>
    </row>
    <row r="276" spans="1:13" s="7" customFormat="1" x14ac:dyDescent="0.25">
      <c r="A276" s="4" t="str">
        <v>CA Lin</v>
      </c>
      <c r="B276" s="35">
        <v>6.9280033267123375</v>
      </c>
      <c r="C276" s="35">
        <v>6.8567471564196021</v>
      </c>
      <c r="D276" s="35">
        <v>6.7862238728714805</v>
      </c>
      <c r="E276" s="35">
        <v>6.7164259381526143</v>
      </c>
      <c r="F276" s="35">
        <v>6.6473458918769062</v>
      </c>
      <c r="G276" s="35">
        <v>6.5789763503901151</v>
      </c>
      <c r="H276" s="35">
        <v>6.4443396260984604</v>
      </c>
      <c r="I276" s="35">
        <v>6.3124582008932553</v>
      </c>
      <c r="J276" s="35">
        <v>5.6924469340035007</v>
      </c>
      <c r="K276" s="35">
        <v>5.1333333331000102</v>
      </c>
      <c r="M276" s="4" t="str">
        <f>'Library data'!$G$77</f>
        <v>%</v>
      </c>
    </row>
    <row r="277" spans="1:13" s="7" customFormat="1" x14ac:dyDescent="0.25">
      <c r="A277" s="4" t="str">
        <v>IA Lin</v>
      </c>
      <c r="B277" s="35">
        <v>6.9280033267123375</v>
      </c>
      <c r="C277" s="35">
        <v>6.8567471564196021</v>
      </c>
      <c r="D277" s="35">
        <v>6.7862238728714805</v>
      </c>
      <c r="E277" s="35">
        <v>6.7164259381526143</v>
      </c>
      <c r="F277" s="35">
        <v>6.6473458918769062</v>
      </c>
      <c r="G277" s="35">
        <v>6.5789763503901151</v>
      </c>
      <c r="H277" s="35">
        <v>6.4443396260984604</v>
      </c>
      <c r="I277" s="35">
        <v>6.3124582008932553</v>
      </c>
      <c r="J277" s="35">
        <v>5.6924469340035007</v>
      </c>
      <c r="K277" s="35">
        <v>5.1333333331000102</v>
      </c>
      <c r="M277" s="4" t="str">
        <f>'Library data'!$G$77</f>
        <v>%</v>
      </c>
    </row>
    <row r="278" spans="1:13" s="7" customFormat="1" x14ac:dyDescent="0.25">
      <c r="A278" s="4" t="str">
        <v>AF Lin</v>
      </c>
      <c r="B278" s="35">
        <v>6.9280033267123375</v>
      </c>
      <c r="C278" s="35">
        <v>6.8567471564196021</v>
      </c>
      <c r="D278" s="35">
        <v>6.7862238728714805</v>
      </c>
      <c r="E278" s="35">
        <v>6.7164259381526143</v>
      </c>
      <c r="F278" s="35">
        <v>6.6473458918769062</v>
      </c>
      <c r="G278" s="35">
        <v>6.5789763503901151</v>
      </c>
      <c r="H278" s="35">
        <v>6.4443396260984604</v>
      </c>
      <c r="I278" s="35">
        <v>6.3124582008932553</v>
      </c>
      <c r="J278" s="35">
        <v>5.6924469340035007</v>
      </c>
      <c r="K278" s="35">
        <v>5.1333333331000102</v>
      </c>
      <c r="M278" s="4" t="str">
        <f>'Library data'!$G$77</f>
        <v>%</v>
      </c>
    </row>
    <row r="279" spans="1:13" s="7" customFormat="1" ht="13" thickBot="1" x14ac:dyDescent="0.3">
      <c r="A279" s="4" t="str">
        <v>LA Lin</v>
      </c>
      <c r="B279" s="49">
        <v>6.9280033267123375</v>
      </c>
      <c r="C279" s="49">
        <v>6.8567471564196021</v>
      </c>
      <c r="D279" s="49">
        <v>6.7862238728714805</v>
      </c>
      <c r="E279" s="49">
        <v>6.7164259381526143</v>
      </c>
      <c r="F279" s="49">
        <v>6.6473458918769062</v>
      </c>
      <c r="G279" s="49">
        <v>6.5789763503901151</v>
      </c>
      <c r="H279" s="49">
        <v>6.4443396260984604</v>
      </c>
      <c r="I279" s="49">
        <v>6.3124582008932553</v>
      </c>
      <c r="J279" s="49">
        <v>5.6924469340035007</v>
      </c>
      <c r="K279" s="49">
        <v>5.1333333331000102</v>
      </c>
      <c r="M279" s="4" t="str">
        <f>'Library data'!$G$77</f>
        <v>%</v>
      </c>
    </row>
    <row r="280" spans="1:13" s="2" customFormat="1" ht="15.5" thickTop="1" x14ac:dyDescent="0.4">
      <c r="A280" s="2" t="s">
        <v>363</v>
      </c>
      <c r="B280" s="2" t="s">
        <v>368</v>
      </c>
    </row>
    <row r="281" spans="1:13" s="6" customFormat="1" x14ac:dyDescent="0.25">
      <c r="A281" s="4" t="str">
        <f t="array" ref="A281:A288">R_CODE&amp;" "&amp;'Base data'!$B$11</f>
        <v>EU CO2</v>
      </c>
      <c r="B281" s="39">
        <f t="array" ref="B281:K288">(Q0_PROP_CO2/100)*(ZC_CO2/100)*E_CO2_0</f>
        <v>910.77986700931115</v>
      </c>
      <c r="C281" s="39">
        <v>910.64881668248779</v>
      </c>
      <c r="D281" s="39">
        <v>927.06818896360448</v>
      </c>
      <c r="E281" s="39">
        <v>903.5815085165425</v>
      </c>
      <c r="F281" s="39">
        <v>880.39027556027588</v>
      </c>
      <c r="G281" s="39">
        <v>828.64584135004645</v>
      </c>
      <c r="H281" s="39">
        <v>697.68591156606931</v>
      </c>
      <c r="I281" s="39">
        <v>573.73808107180832</v>
      </c>
      <c r="J281" s="39">
        <v>531.36876791840143</v>
      </c>
      <c r="K281" s="39">
        <v>491.78752756740636</v>
      </c>
      <c r="M281" s="4" t="str">
        <f t="shared" ref="M281:M288" si="12">EMIT_NAME</f>
        <v>Mtonne</v>
      </c>
    </row>
    <row r="282" spans="1:13" s="6" customFormat="1" x14ac:dyDescent="0.25">
      <c r="A282" s="4" t="str">
        <v>US CO2</v>
      </c>
      <c r="B282" s="35">
        <v>2141.3683101897836</v>
      </c>
      <c r="C282" s="35">
        <v>2141.0601929080299</v>
      </c>
      <c r="D282" s="35">
        <v>2179.6643877849374</v>
      </c>
      <c r="E282" s="35">
        <v>2124.4439826764674</v>
      </c>
      <c r="F282" s="35">
        <v>2069.918215116576</v>
      </c>
      <c r="G282" s="35">
        <v>1948.2599575506429</v>
      </c>
      <c r="H282" s="35">
        <v>1640.3552116267622</v>
      </c>
      <c r="I282" s="35">
        <v>1348.9368722988113</v>
      </c>
      <c r="J282" s="35">
        <v>1249.3208094085173</v>
      </c>
      <c r="K282" s="35">
        <v>1156.259887844735</v>
      </c>
      <c r="M282" s="4" t="str">
        <f t="shared" si="12"/>
        <v>Mtonne</v>
      </c>
    </row>
    <row r="283" spans="1:13" s="6" customFormat="1" x14ac:dyDescent="0.25">
      <c r="A283" s="4" t="str">
        <v>OT CO2</v>
      </c>
      <c r="B283" s="35">
        <v>334.21906639342126</v>
      </c>
      <c r="C283" s="35">
        <v>334.17097626816928</v>
      </c>
      <c r="D283" s="35">
        <v>340.19621625572023</v>
      </c>
      <c r="E283" s="35">
        <v>331.57756240089429</v>
      </c>
      <c r="F283" s="35">
        <v>323.06732572580478</v>
      </c>
      <c r="G283" s="35">
        <v>304.07922869025418</v>
      </c>
      <c r="H283" s="35">
        <v>256.02227546502286</v>
      </c>
      <c r="I283" s="35">
        <v>210.53847670110221</v>
      </c>
      <c r="J283" s="35">
        <v>194.99066674307048</v>
      </c>
      <c r="K283" s="35">
        <v>180.46596579613143</v>
      </c>
      <c r="M283" s="4" t="str">
        <f t="shared" si="12"/>
        <v>Mtonne</v>
      </c>
    </row>
    <row r="284" spans="1:13" s="6" customFormat="1" x14ac:dyDescent="0.25">
      <c r="A284" s="4" t="str">
        <v>EE CO2</v>
      </c>
      <c r="B284" s="35">
        <v>315.97460677958946</v>
      </c>
      <c r="C284" s="35">
        <v>322.24093008599755</v>
      </c>
      <c r="D284" s="35">
        <v>293.54873728172964</v>
      </c>
      <c r="E284" s="35">
        <v>285.79081263609214</v>
      </c>
      <c r="F284" s="35">
        <v>278.13129743666468</v>
      </c>
      <c r="G284" s="35">
        <v>259.95190790611758</v>
      </c>
      <c r="H284" s="35">
        <v>215.26819691573994</v>
      </c>
      <c r="I284" s="35">
        <v>181.86907815835158</v>
      </c>
      <c r="J284" s="35">
        <v>168.43844111397479</v>
      </c>
      <c r="K284" s="35">
        <v>155.89159450837428</v>
      </c>
      <c r="M284" s="4" t="str">
        <f t="shared" si="12"/>
        <v>Mtonne</v>
      </c>
    </row>
    <row r="285" spans="1:13" s="6" customFormat="1" x14ac:dyDescent="0.25">
      <c r="A285" s="4" t="str">
        <v>CA CO2</v>
      </c>
      <c r="B285" s="35">
        <v>359.49499399898787</v>
      </c>
      <c r="C285" s="35">
        <v>370.64573881007288</v>
      </c>
      <c r="D285" s="35">
        <v>470.28972506322867</v>
      </c>
      <c r="E285" s="35">
        <v>549.9646006980231</v>
      </c>
      <c r="F285" s="35">
        <v>628.40337834237016</v>
      </c>
      <c r="G285" s="35">
        <v>645.03759315737238</v>
      </c>
      <c r="H285" s="35">
        <v>653.86130249933728</v>
      </c>
      <c r="I285" s="35">
        <v>585.97960486616762</v>
      </c>
      <c r="J285" s="35">
        <v>542.70628172592262</v>
      </c>
      <c r="K285" s="35">
        <v>502.28051891502446</v>
      </c>
      <c r="M285" s="4" t="str">
        <f t="shared" si="12"/>
        <v>Mtonne</v>
      </c>
    </row>
    <row r="286" spans="1:13" s="6" customFormat="1" x14ac:dyDescent="0.25">
      <c r="A286" s="4" t="str">
        <v>IA CO2</v>
      </c>
      <c r="B286" s="35">
        <v>591.04069443489504</v>
      </c>
      <c r="C286" s="35">
        <v>609.37347810817346</v>
      </c>
      <c r="D286" s="35">
        <v>773.19676303406072</v>
      </c>
      <c r="E286" s="35">
        <v>904.18911233040558</v>
      </c>
      <c r="F286" s="35">
        <v>1033.1492101994452</v>
      </c>
      <c r="G286" s="35">
        <v>1060.4972902555085</v>
      </c>
      <c r="H286" s="35">
        <v>1075.0042274424588</v>
      </c>
      <c r="I286" s="35">
        <v>963.4008772477099</v>
      </c>
      <c r="J286" s="35">
        <v>892.25581156874796</v>
      </c>
      <c r="K286" s="35">
        <v>825.79238002265845</v>
      </c>
      <c r="M286" s="4" t="str">
        <f t="shared" si="12"/>
        <v>Mtonne</v>
      </c>
    </row>
    <row r="287" spans="1:13" s="6" customFormat="1" x14ac:dyDescent="0.25">
      <c r="A287" s="4" t="str">
        <v>AF CO2</v>
      </c>
      <c r="B287" s="35">
        <v>331.3421436675726</v>
      </c>
      <c r="C287" s="35">
        <v>341.6821995568194</v>
      </c>
      <c r="D287" s="35">
        <v>439.73931217234195</v>
      </c>
      <c r="E287" s="35">
        <v>516.77820396097115</v>
      </c>
      <c r="F287" s="35">
        <v>592.62286279750833</v>
      </c>
      <c r="G287" s="35">
        <v>630.39922464059237</v>
      </c>
      <c r="H287" s="35">
        <v>640.66668178906411</v>
      </c>
      <c r="I287" s="35">
        <v>545.27740492351313</v>
      </c>
      <c r="J287" s="35">
        <v>505.00985098753853</v>
      </c>
      <c r="K287" s="35">
        <v>467.39206556544275</v>
      </c>
      <c r="M287" s="4" t="str">
        <f t="shared" si="12"/>
        <v>Mtonne</v>
      </c>
    </row>
    <row r="288" spans="1:13" s="6" customFormat="1" ht="13" thickBot="1" x14ac:dyDescent="0.3">
      <c r="A288" s="4" t="str">
        <v>LA CO2</v>
      </c>
      <c r="B288" s="49">
        <v>282.62672931271351</v>
      </c>
      <c r="C288" s="49">
        <v>291.44654361264281</v>
      </c>
      <c r="D288" s="49">
        <v>375.0868578739578</v>
      </c>
      <c r="E288" s="49">
        <v>440.79914480218179</v>
      </c>
      <c r="F288" s="49">
        <v>505.49278028585582</v>
      </c>
      <c r="G288" s="49">
        <v>537.71509126286207</v>
      </c>
      <c r="H288" s="49">
        <v>546.47298061587594</v>
      </c>
      <c r="I288" s="49">
        <v>465.10826487641532</v>
      </c>
      <c r="J288" s="49">
        <v>430.7610280885537</v>
      </c>
      <c r="K288" s="49">
        <v>398.67397891288039</v>
      </c>
      <c r="M288" s="4" t="str">
        <f t="shared" si="12"/>
        <v>Mtonne</v>
      </c>
    </row>
    <row r="289" spans="1:13" s="8" customFormat="1" ht="15.5" thickTop="1" x14ac:dyDescent="0.4">
      <c r="A289" s="2" t="s">
        <v>363</v>
      </c>
      <c r="B289" s="2" t="s">
        <v>369</v>
      </c>
    </row>
    <row r="290" spans="1:13" s="7" customFormat="1" x14ac:dyDescent="0.25">
      <c r="A290" s="4" t="str">
        <f t="array" ref="A290:A297">R_CODE&amp;" "&amp;'Base data'!$C$11</f>
        <v>EU CH4</v>
      </c>
      <c r="B290" s="39">
        <f t="array" ref="B290:K297">(Q0_PROP_CH4/100)*(ZC_CH4/100)*E_CH4_0</f>
        <v>9.9465177523715113E-5</v>
      </c>
      <c r="C290" s="39">
        <v>9.8925362188354699E-5</v>
      </c>
      <c r="D290" s="39">
        <v>9.5632122960816315E-5</v>
      </c>
      <c r="E290" s="39">
        <v>8.8039437704636833E-5</v>
      </c>
      <c r="F290" s="39">
        <v>8.0475035646535844E-5</v>
      </c>
      <c r="G290" s="39">
        <v>7.4205695189836346E-5</v>
      </c>
      <c r="H290" s="39">
        <v>6.3859320268669467E-5</v>
      </c>
      <c r="I290" s="39">
        <v>5.7804321110085446E-5</v>
      </c>
      <c r="J290" s="39">
        <v>5.613651705206555E-5</v>
      </c>
      <c r="K290" s="39">
        <v>5.4238686342075789E-5</v>
      </c>
      <c r="M290" s="4" t="str">
        <f t="shared" ref="M290:M297" si="13">EMIT_NAME</f>
        <v>Mtonne</v>
      </c>
    </row>
    <row r="291" spans="1:13" s="7" customFormat="1" x14ac:dyDescent="0.25">
      <c r="A291" s="4" t="str">
        <v>US CH4</v>
      </c>
      <c r="B291" s="35">
        <v>1.0775394228420297E-4</v>
      </c>
      <c r="C291" s="35">
        <v>1.0716914233774247E-4</v>
      </c>
      <c r="D291" s="35">
        <v>1.0360146650900696E-4</v>
      </c>
      <c r="E291" s="35">
        <v>9.5376057484010082E-5</v>
      </c>
      <c r="F291" s="35">
        <v>8.718128859025547E-5</v>
      </c>
      <c r="G291" s="35">
        <v>8.0389503097587467E-5</v>
      </c>
      <c r="H291" s="35">
        <v>6.9180930269772156E-5</v>
      </c>
      <c r="I291" s="35">
        <v>6.2621347849991117E-5</v>
      </c>
      <c r="J291" s="35">
        <v>6.0814560121025486E-5</v>
      </c>
      <c r="K291" s="35">
        <v>5.8758576852502542E-5</v>
      </c>
      <c r="M291" s="4" t="str">
        <f t="shared" si="13"/>
        <v>Mtonne</v>
      </c>
    </row>
    <row r="292" spans="1:13" s="7" customFormat="1" x14ac:dyDescent="0.25">
      <c r="A292" s="4" t="str">
        <v>OT CH4</v>
      </c>
      <c r="B292" s="35">
        <v>9.9465177523715113E-5</v>
      </c>
      <c r="C292" s="35">
        <v>9.8925362188354699E-5</v>
      </c>
      <c r="D292" s="35">
        <v>9.5632122960816315E-5</v>
      </c>
      <c r="E292" s="35">
        <v>8.8039437704636833E-5</v>
      </c>
      <c r="F292" s="35">
        <v>8.0475035646535844E-5</v>
      </c>
      <c r="G292" s="35">
        <v>7.4205695189836346E-5</v>
      </c>
      <c r="H292" s="35">
        <v>6.3859320268669467E-5</v>
      </c>
      <c r="I292" s="35">
        <v>5.7804321110085446E-5</v>
      </c>
      <c r="J292" s="35">
        <v>5.613651705206555E-5</v>
      </c>
      <c r="K292" s="35">
        <v>5.4238686342075789E-5</v>
      </c>
      <c r="M292" s="4" t="str">
        <f t="shared" si="13"/>
        <v>Mtonne</v>
      </c>
    </row>
    <row r="293" spans="1:13" s="7" customFormat="1" x14ac:dyDescent="0.25">
      <c r="A293" s="4" t="str">
        <v>EE CH4</v>
      </c>
      <c r="B293" s="35">
        <v>7.2313378369435349E-5</v>
      </c>
      <c r="C293" s="35">
        <v>7.4611942109488249E-5</v>
      </c>
      <c r="D293" s="35">
        <v>7.8845597789548055E-5</v>
      </c>
      <c r="E293" s="35">
        <v>7.1756356415875758E-5</v>
      </c>
      <c r="F293" s="35">
        <v>6.4694254570965925E-5</v>
      </c>
      <c r="G293" s="35">
        <v>5.8371903743753418E-5</v>
      </c>
      <c r="H293" s="35">
        <v>4.8972450381805504E-5</v>
      </c>
      <c r="I293" s="35">
        <v>4.3207088704767742E-5</v>
      </c>
      <c r="J293" s="35">
        <v>4.1960452527866692E-5</v>
      </c>
      <c r="K293" s="35">
        <v>4.0541877960110859E-5</v>
      </c>
      <c r="M293" s="4" t="str">
        <f t="shared" si="13"/>
        <v>Mtonne</v>
      </c>
    </row>
    <row r="294" spans="1:13" s="7" customFormat="1" x14ac:dyDescent="0.25">
      <c r="A294" s="4" t="str">
        <v>CA CH4</v>
      </c>
      <c r="B294" s="35">
        <v>7.0819639330977103E-5</v>
      </c>
      <c r="C294" s="35">
        <v>7.1630754998799187E-5</v>
      </c>
      <c r="D294" s="35">
        <v>8.4267290189206565E-5</v>
      </c>
      <c r="E294" s="35">
        <v>9.3840960167897118E-5</v>
      </c>
      <c r="F294" s="35">
        <v>1.0336461825117558E-4</v>
      </c>
      <c r="G294" s="35">
        <v>9.6399246445896185E-5</v>
      </c>
      <c r="H294" s="35">
        <v>7.2953498814452055E-5</v>
      </c>
      <c r="I294" s="35">
        <v>5.6941491547747176E-5</v>
      </c>
      <c r="J294" s="35">
        <v>5.5298582352564715E-5</v>
      </c>
      <c r="K294" s="35">
        <v>5.3429080051410954E-5</v>
      </c>
      <c r="M294" s="4" t="str">
        <f t="shared" si="13"/>
        <v>Mtonne</v>
      </c>
    </row>
    <row r="295" spans="1:13" s="7" customFormat="1" x14ac:dyDescent="0.25">
      <c r="A295" s="4" t="str">
        <v>IA CH4</v>
      </c>
      <c r="B295" s="35">
        <v>7.0819639330977103E-5</v>
      </c>
      <c r="C295" s="35">
        <v>7.1630754998799187E-5</v>
      </c>
      <c r="D295" s="35">
        <v>8.4267290189206565E-5</v>
      </c>
      <c r="E295" s="35">
        <v>9.3840960167897118E-5</v>
      </c>
      <c r="F295" s="35">
        <v>1.0336461825117558E-4</v>
      </c>
      <c r="G295" s="35">
        <v>9.6399246445896185E-5</v>
      </c>
      <c r="H295" s="35">
        <v>7.2953498814452055E-5</v>
      </c>
      <c r="I295" s="35">
        <v>5.6941491547747176E-5</v>
      </c>
      <c r="J295" s="35">
        <v>5.5298582352564715E-5</v>
      </c>
      <c r="K295" s="35">
        <v>5.3429080051410954E-5</v>
      </c>
      <c r="M295" s="4" t="str">
        <f t="shared" si="13"/>
        <v>Mtonne</v>
      </c>
    </row>
    <row r="296" spans="1:13" s="7" customFormat="1" x14ac:dyDescent="0.25">
      <c r="A296" s="4" t="str">
        <v>AF CH4</v>
      </c>
      <c r="B296" s="35">
        <v>7.087654443212234E-5</v>
      </c>
      <c r="C296" s="35">
        <v>7.1744325542045994E-5</v>
      </c>
      <c r="D296" s="35">
        <v>8.6461713302552682E-5</v>
      </c>
      <c r="E296" s="35">
        <v>9.3172923359983629E-5</v>
      </c>
      <c r="F296" s="35">
        <v>9.9847156123436859E-5</v>
      </c>
      <c r="G296" s="35">
        <v>9.8875239730561633E-5</v>
      </c>
      <c r="H296" s="35">
        <v>8.8412944980000317E-5</v>
      </c>
      <c r="I296" s="35">
        <v>6.7602618393093278E-5</v>
      </c>
      <c r="J296" s="35">
        <v>6.5652108134975218E-5</v>
      </c>
      <c r="K296" s="35">
        <v>6.3432579857533936E-5</v>
      </c>
      <c r="M296" s="4" t="str">
        <f t="shared" si="13"/>
        <v>Mtonne</v>
      </c>
    </row>
    <row r="297" spans="1:13" s="7" customFormat="1" ht="13" thickBot="1" x14ac:dyDescent="0.3">
      <c r="A297" s="4" t="str">
        <v>LA CH4</v>
      </c>
      <c r="B297" s="49">
        <v>7.087654443212234E-5</v>
      </c>
      <c r="C297" s="49">
        <v>7.1744325542045994E-5</v>
      </c>
      <c r="D297" s="49">
        <v>8.6461713302552682E-5</v>
      </c>
      <c r="E297" s="49">
        <v>9.3172923359983629E-5</v>
      </c>
      <c r="F297" s="49">
        <v>9.9847156123436859E-5</v>
      </c>
      <c r="G297" s="49">
        <v>9.8875239730561633E-5</v>
      </c>
      <c r="H297" s="49">
        <v>8.8412944980000317E-5</v>
      </c>
      <c r="I297" s="49">
        <v>6.7602618393093278E-5</v>
      </c>
      <c r="J297" s="49">
        <v>6.5652108134975218E-5</v>
      </c>
      <c r="K297" s="49">
        <v>6.3432579857533936E-5</v>
      </c>
      <c r="M297" s="4" t="str">
        <f t="shared" si="13"/>
        <v>Mtonne</v>
      </c>
    </row>
    <row r="298" spans="1:13" s="8" customFormat="1" ht="15.5" thickTop="1" x14ac:dyDescent="0.4">
      <c r="A298" s="2" t="s">
        <v>363</v>
      </c>
      <c r="B298" s="2" t="s">
        <v>370</v>
      </c>
    </row>
    <row r="299" spans="1:13" s="7" customFormat="1" x14ac:dyDescent="0.25">
      <c r="A299" s="4" t="str">
        <f t="array" ref="A299:A306">R_CODE&amp;" "&amp;'Base data'!$D$11</f>
        <v>EU N2O</v>
      </c>
      <c r="B299" s="39">
        <f t="array" ref="B299:K306">(Q0_PROP_N2O/100)*(ZC_N2O/100)*E_N2O_0</f>
        <v>9.8806697688611056E-5</v>
      </c>
      <c r="C299" s="39">
        <v>9.7627363562050683E-5</v>
      </c>
      <c r="D299" s="39">
        <v>9.9626657364913478E-5</v>
      </c>
      <c r="E299" s="39">
        <v>9.6613283475453538E-5</v>
      </c>
      <c r="F299" s="39">
        <v>9.3651357007804018E-5</v>
      </c>
      <c r="G299" s="39">
        <v>9.0499011341016656E-5</v>
      </c>
      <c r="H299" s="39">
        <v>8.325638072716368E-5</v>
      </c>
      <c r="I299" s="39">
        <v>7.7350039380258653E-5</v>
      </c>
      <c r="J299" s="39">
        <v>6.9752698632190001E-5</v>
      </c>
      <c r="K299" s="39">
        <v>6.2901570645029059E-5</v>
      </c>
      <c r="M299" s="4" t="str">
        <f t="shared" ref="M299:M306" si="14">EMIT_NAME</f>
        <v>Mtonne</v>
      </c>
    </row>
    <row r="300" spans="1:13" s="7" customFormat="1" x14ac:dyDescent="0.25">
      <c r="A300" s="4" t="str">
        <v>US N2O</v>
      </c>
      <c r="B300" s="35">
        <v>1.0704058912972639E-4</v>
      </c>
      <c r="C300" s="35">
        <v>1.0576297715967912E-4</v>
      </c>
      <c r="D300" s="35">
        <v>1.0792887877878072E-4</v>
      </c>
      <c r="E300" s="35">
        <v>1.046643903995369E-4</v>
      </c>
      <c r="F300" s="35">
        <v>1.014556367272372E-4</v>
      </c>
      <c r="G300" s="35">
        <v>9.804059558926835E-5</v>
      </c>
      <c r="H300" s="35">
        <v>9.0194412426675179E-5</v>
      </c>
      <c r="I300" s="35">
        <v>8.3795875969496842E-5</v>
      </c>
      <c r="J300" s="35">
        <v>7.556542349495491E-5</v>
      </c>
      <c r="K300" s="35">
        <v>6.8143368177814287E-5</v>
      </c>
      <c r="M300" s="4" t="str">
        <f t="shared" si="14"/>
        <v>Mtonne</v>
      </c>
    </row>
    <row r="301" spans="1:13" s="7" customFormat="1" x14ac:dyDescent="0.25">
      <c r="A301" s="4" t="str">
        <v>OT N2O</v>
      </c>
      <c r="B301" s="35">
        <v>9.8806697688611056E-5</v>
      </c>
      <c r="C301" s="35">
        <v>9.7627363562050683E-5</v>
      </c>
      <c r="D301" s="35">
        <v>9.9626657364913478E-5</v>
      </c>
      <c r="E301" s="35">
        <v>9.6613283475453538E-5</v>
      </c>
      <c r="F301" s="35">
        <v>9.3651357007804018E-5</v>
      </c>
      <c r="G301" s="35">
        <v>9.0499011341016656E-5</v>
      </c>
      <c r="H301" s="35">
        <v>8.325638072716368E-5</v>
      </c>
      <c r="I301" s="35">
        <v>7.7350039380258653E-5</v>
      </c>
      <c r="J301" s="35">
        <v>6.9752698632190001E-5</v>
      </c>
      <c r="K301" s="35">
        <v>6.2901570645029059E-5</v>
      </c>
      <c r="M301" s="4" t="str">
        <f t="shared" si="14"/>
        <v>Mtonne</v>
      </c>
    </row>
    <row r="302" spans="1:13" s="7" customFormat="1" x14ac:dyDescent="0.25">
      <c r="A302" s="4" t="str">
        <v>EE N2O</v>
      </c>
      <c r="B302" s="35">
        <v>6.941250255892421E-5</v>
      </c>
      <c r="C302" s="35">
        <v>6.8829685191134152E-5</v>
      </c>
      <c r="D302" s="35">
        <v>6.9886832335453044E-5</v>
      </c>
      <c r="E302" s="35">
        <v>6.9034301039630402E-5</v>
      </c>
      <c r="F302" s="35">
        <v>6.8191913661764191E-5</v>
      </c>
      <c r="G302" s="35">
        <v>6.5583552600136059E-5</v>
      </c>
      <c r="H302" s="35">
        <v>5.9826887485031319E-5</v>
      </c>
      <c r="I302" s="35">
        <v>5.6466486686416839E-5</v>
      </c>
      <c r="J302" s="35">
        <v>5.0920333851328818E-5</v>
      </c>
      <c r="K302" s="35">
        <v>4.5918925573149011E-5</v>
      </c>
      <c r="M302" s="4" t="str">
        <f t="shared" si="14"/>
        <v>Mtonne</v>
      </c>
    </row>
    <row r="303" spans="1:13" s="7" customFormat="1" x14ac:dyDescent="0.25">
      <c r="A303" s="4" t="str">
        <v>CA N2O</v>
      </c>
      <c r="B303" s="35">
        <v>6.9478957206711708E-5</v>
      </c>
      <c r="C303" s="35">
        <v>6.8961227482833358E-5</v>
      </c>
      <c r="D303" s="35">
        <v>6.8964948253521412E-5</v>
      </c>
      <c r="E303" s="35">
        <v>7.1248819858788233E-5</v>
      </c>
      <c r="F303" s="35">
        <v>7.3478415597438249E-5</v>
      </c>
      <c r="G303" s="35">
        <v>7.3060876202673441E-5</v>
      </c>
      <c r="H303" s="35">
        <v>7.1143309990395312E-5</v>
      </c>
      <c r="I303" s="35">
        <v>6.9736511469826898E-5</v>
      </c>
      <c r="J303" s="35">
        <v>6.2886973389913615E-5</v>
      </c>
      <c r="K303" s="35">
        <v>5.6710198700645175E-5</v>
      </c>
      <c r="M303" s="4" t="str">
        <f t="shared" si="14"/>
        <v>Mtonne</v>
      </c>
    </row>
    <row r="304" spans="1:13" s="7" customFormat="1" x14ac:dyDescent="0.25">
      <c r="A304" s="4" t="str">
        <v>IA N2O</v>
      </c>
      <c r="B304" s="35">
        <v>6.9478957206711708E-5</v>
      </c>
      <c r="C304" s="35">
        <v>6.8961227482833358E-5</v>
      </c>
      <c r="D304" s="35">
        <v>6.8964948253521412E-5</v>
      </c>
      <c r="E304" s="35">
        <v>7.1248819858788233E-5</v>
      </c>
      <c r="F304" s="35">
        <v>7.3478415597438249E-5</v>
      </c>
      <c r="G304" s="35">
        <v>7.3060876202673441E-5</v>
      </c>
      <c r="H304" s="35">
        <v>7.1143309990395312E-5</v>
      </c>
      <c r="I304" s="35">
        <v>6.9736511469826898E-5</v>
      </c>
      <c r="J304" s="35">
        <v>6.2886973389913615E-5</v>
      </c>
      <c r="K304" s="35">
        <v>5.6710198700645175E-5</v>
      </c>
      <c r="M304" s="4" t="str">
        <f t="shared" si="14"/>
        <v>Mtonne</v>
      </c>
    </row>
    <row r="305" spans="1:13" s="7" customFormat="1" x14ac:dyDescent="0.25">
      <c r="A305" s="4" t="str">
        <v>AF N2O</v>
      </c>
      <c r="B305" s="35">
        <v>6.9186412391757039E-5</v>
      </c>
      <c r="C305" s="35">
        <v>6.8382155639628095E-5</v>
      </c>
      <c r="D305" s="35">
        <v>6.8170159552093942E-5</v>
      </c>
      <c r="E305" s="35">
        <v>6.9652762812427526E-5</v>
      </c>
      <c r="F305" s="35">
        <v>7.1097656756702272E-5</v>
      </c>
      <c r="G305" s="35">
        <v>7.1647221364594163E-5</v>
      </c>
      <c r="H305" s="35">
        <v>7.1455205443447274E-5</v>
      </c>
      <c r="I305" s="35">
        <v>7.0554230991604617E-5</v>
      </c>
      <c r="J305" s="35">
        <v>6.3624376290095924E-5</v>
      </c>
      <c r="K305" s="35">
        <v>5.7375173698447795E-5</v>
      </c>
      <c r="M305" s="4" t="str">
        <f t="shared" si="14"/>
        <v>Mtonne</v>
      </c>
    </row>
    <row r="306" spans="1:13" s="7" customFormat="1" ht="13" thickBot="1" x14ac:dyDescent="0.3">
      <c r="A306" s="4" t="str">
        <v>LA N2O</v>
      </c>
      <c r="B306" s="49">
        <v>6.9186412391757039E-5</v>
      </c>
      <c r="C306" s="49">
        <v>6.8382155639628095E-5</v>
      </c>
      <c r="D306" s="49">
        <v>6.8170159552093942E-5</v>
      </c>
      <c r="E306" s="49">
        <v>6.9652762812427526E-5</v>
      </c>
      <c r="F306" s="49">
        <v>7.1097656756702272E-5</v>
      </c>
      <c r="G306" s="49">
        <v>7.1647221364594163E-5</v>
      </c>
      <c r="H306" s="49">
        <v>7.1455205443447274E-5</v>
      </c>
      <c r="I306" s="49">
        <v>7.0554230991604617E-5</v>
      </c>
      <c r="J306" s="49">
        <v>6.3624376290095924E-5</v>
      </c>
      <c r="K306" s="49">
        <v>5.7375173698447795E-5</v>
      </c>
      <c r="M306" s="4" t="str">
        <f t="shared" si="14"/>
        <v>Mtonne</v>
      </c>
    </row>
    <row r="307" spans="1:13" s="8" customFormat="1" ht="15.5" thickTop="1" x14ac:dyDescent="0.4">
      <c r="A307" s="2" t="s">
        <v>363</v>
      </c>
      <c r="B307" s="2" t="s">
        <v>371</v>
      </c>
    </row>
    <row r="308" spans="1:13" s="7" customFormat="1" x14ac:dyDescent="0.25">
      <c r="A308" s="4" t="str">
        <f t="array" ref="A308:A315">R_CODE&amp;" "&amp;GLIN_NAME</f>
        <v>EU Lin</v>
      </c>
      <c r="B308" s="39">
        <f t="array" ref="B308:K315">(Q0_PROP_GLIN/100)*(ZC_GLIN/100)*E_GLIN_0</f>
        <v>1.0228060887044147E-4</v>
      </c>
      <c r="C308" s="39">
        <v>1.0450372591188621E-4</v>
      </c>
      <c r="D308" s="39">
        <v>9.3917359898000889E-5</v>
      </c>
      <c r="E308" s="39">
        <v>9.676483645507599E-5</v>
      </c>
      <c r="F308" s="39">
        <v>9.9543803902861372E-5</v>
      </c>
      <c r="G308" s="39">
        <v>1.0221432425889078E-4</v>
      </c>
      <c r="H308" s="39">
        <v>1.0815153069733923E-4</v>
      </c>
      <c r="I308" s="39">
        <v>1.1389329597664379E-4</v>
      </c>
      <c r="J308" s="39">
        <v>1.0270666717350399E-4</v>
      </c>
      <c r="K308" s="39">
        <v>9.2618791926542748E-5</v>
      </c>
      <c r="M308" s="4" t="str">
        <f t="shared" ref="M308:M315" si="15">EMIT_NAME</f>
        <v>Mtonne</v>
      </c>
    </row>
    <row r="309" spans="1:13" s="7" customFormat="1" x14ac:dyDescent="0.25">
      <c r="A309" s="4" t="str">
        <v>US Lin</v>
      </c>
      <c r="B309" s="35">
        <v>1.108039929088847E-4</v>
      </c>
      <c r="C309" s="35">
        <v>1.1321236970304216E-4</v>
      </c>
      <c r="D309" s="35">
        <v>1.0174380652486183E-4</v>
      </c>
      <c r="E309" s="35">
        <v>1.0482857279407735E-4</v>
      </c>
      <c r="F309" s="35">
        <v>1.0783912086158519E-4</v>
      </c>
      <c r="G309" s="35">
        <v>1.1073218457972689E-4</v>
      </c>
      <c r="H309" s="35">
        <v>1.1716415821940031E-4</v>
      </c>
      <c r="I309" s="35">
        <v>1.2338440393673298E-4</v>
      </c>
      <c r="J309" s="35">
        <v>1.1126555607039374E-4</v>
      </c>
      <c r="K309" s="35">
        <v>1.0033702455621505E-4</v>
      </c>
      <c r="M309" s="4" t="str">
        <f t="shared" si="15"/>
        <v>Mtonne</v>
      </c>
    </row>
    <row r="310" spans="1:13" s="7" customFormat="1" x14ac:dyDescent="0.25">
      <c r="A310" s="4" t="str">
        <v>OT Lin</v>
      </c>
      <c r="B310" s="35">
        <v>1.0228060887044147E-4</v>
      </c>
      <c r="C310" s="35">
        <v>1.0450372591188621E-4</v>
      </c>
      <c r="D310" s="35">
        <v>9.3917359898000889E-5</v>
      </c>
      <c r="E310" s="35">
        <v>9.676483645507599E-5</v>
      </c>
      <c r="F310" s="35">
        <v>9.9543803902861372E-5</v>
      </c>
      <c r="G310" s="35">
        <v>1.0221432425889078E-4</v>
      </c>
      <c r="H310" s="35">
        <v>1.0815153069733923E-4</v>
      </c>
      <c r="I310" s="35">
        <v>1.1389329597664379E-4</v>
      </c>
      <c r="J310" s="35">
        <v>1.0270666717350399E-4</v>
      </c>
      <c r="K310" s="35">
        <v>9.2618791926542748E-5</v>
      </c>
      <c r="M310" s="4" t="str">
        <f t="shared" si="15"/>
        <v>Mtonne</v>
      </c>
    </row>
    <row r="311" spans="1:13" s="7" customFormat="1" x14ac:dyDescent="0.25">
      <c r="A311" s="4" t="str">
        <v>EE Lin</v>
      </c>
      <c r="B311" s="35">
        <v>7.1827147498431168E-5</v>
      </c>
      <c r="C311" s="35">
        <v>7.3609304669343661E-5</v>
      </c>
      <c r="D311" s="35">
        <v>1.2498667817151122E-4</v>
      </c>
      <c r="E311" s="35">
        <v>1.7896969933309205E-4</v>
      </c>
      <c r="F311" s="35">
        <v>2.3182904208255648E-4</v>
      </c>
      <c r="G311" s="35">
        <v>2.3763342965405933E-4</v>
      </c>
      <c r="H311" s="35">
        <v>2.372681782481533E-4</v>
      </c>
      <c r="I311" s="35">
        <v>2.1095139655554686E-4</v>
      </c>
      <c r="J311" s="35">
        <v>1.9023169616813523E-4</v>
      </c>
      <c r="K311" s="35">
        <v>1.7154709007805423E-4</v>
      </c>
      <c r="M311" s="4" t="str">
        <f t="shared" si="15"/>
        <v>Mtonne</v>
      </c>
    </row>
    <row r="312" spans="1:13" s="7" customFormat="1" x14ac:dyDescent="0.25">
      <c r="A312" s="4" t="str">
        <v>CA Lin</v>
      </c>
      <c r="B312" s="35">
        <v>7.3682557264415443E-5</v>
      </c>
      <c r="C312" s="35">
        <v>7.7281957535387536E-5</v>
      </c>
      <c r="D312" s="35">
        <v>1.5909446803214991E-4</v>
      </c>
      <c r="E312" s="35">
        <v>3.0352268455361575E-4</v>
      </c>
      <c r="F312" s="35">
        <v>4.4496311362266931E-4</v>
      </c>
      <c r="G312" s="35">
        <v>5.9868324456782392E-4</v>
      </c>
      <c r="H312" s="35">
        <v>7.1404173386833535E-4</v>
      </c>
      <c r="I312" s="35">
        <v>6.497173903405372E-4</v>
      </c>
      <c r="J312" s="35">
        <v>5.8590198127401257E-4</v>
      </c>
      <c r="K312" s="35">
        <v>5.2835453808753544E-4</v>
      </c>
      <c r="M312" s="4" t="str">
        <f t="shared" si="15"/>
        <v>Mtonne</v>
      </c>
    </row>
    <row r="313" spans="1:13" s="7" customFormat="1" x14ac:dyDescent="0.25">
      <c r="A313" s="4" t="str">
        <v>IA Lin</v>
      </c>
      <c r="B313" s="35">
        <v>7.3682557264415443E-5</v>
      </c>
      <c r="C313" s="35">
        <v>7.7281957535387536E-5</v>
      </c>
      <c r="D313" s="35">
        <v>1.5909446803214991E-4</v>
      </c>
      <c r="E313" s="35">
        <v>3.0352268455361575E-4</v>
      </c>
      <c r="F313" s="35">
        <v>4.4496311362266931E-4</v>
      </c>
      <c r="G313" s="35">
        <v>5.9868324456782392E-4</v>
      </c>
      <c r="H313" s="35">
        <v>7.1404173386833535E-4</v>
      </c>
      <c r="I313" s="35">
        <v>6.497173903405372E-4</v>
      </c>
      <c r="J313" s="35">
        <v>5.8590198127401257E-4</v>
      </c>
      <c r="K313" s="35">
        <v>5.2835453808753544E-4</v>
      </c>
      <c r="M313" s="4" t="str">
        <f t="shared" si="15"/>
        <v>Mtonne</v>
      </c>
    </row>
    <row r="314" spans="1:13" s="7" customFormat="1" x14ac:dyDescent="0.25">
      <c r="A314" s="4" t="str">
        <v>AF Lin</v>
      </c>
      <c r="B314" s="35">
        <v>7.4558976733114636E-5</v>
      </c>
      <c r="C314" s="35">
        <v>7.901676810531426E-5</v>
      </c>
      <c r="D314" s="35">
        <v>1.6028785690440814E-4</v>
      </c>
      <c r="E314" s="35">
        <v>3.216208737443058E-4</v>
      </c>
      <c r="F314" s="35">
        <v>4.7961823706335231E-4</v>
      </c>
      <c r="G314" s="35">
        <v>5.7748686246779303E-4</v>
      </c>
      <c r="H314" s="35">
        <v>6.4889965028735975E-4</v>
      </c>
      <c r="I314" s="35">
        <v>6.012613191935755E-4</v>
      </c>
      <c r="J314" s="35">
        <v>5.4220527788905457E-4</v>
      </c>
      <c r="K314" s="35">
        <v>4.8894973613976722E-4</v>
      </c>
      <c r="M314" s="4" t="str">
        <f t="shared" si="15"/>
        <v>Mtonne</v>
      </c>
    </row>
    <row r="315" spans="1:13" s="7" customFormat="1" ht="13" thickBot="1" x14ac:dyDescent="0.3">
      <c r="A315" s="4" t="str">
        <v>LA Lin</v>
      </c>
      <c r="B315" s="49">
        <v>7.4558976733114636E-5</v>
      </c>
      <c r="C315" s="49">
        <v>7.901676810531426E-5</v>
      </c>
      <c r="D315" s="49">
        <v>1.6028785690440814E-4</v>
      </c>
      <c r="E315" s="49">
        <v>3.216208737443058E-4</v>
      </c>
      <c r="F315" s="49">
        <v>4.7961823706335231E-4</v>
      </c>
      <c r="G315" s="49">
        <v>5.7748686246779303E-4</v>
      </c>
      <c r="H315" s="49">
        <v>6.4889965028735975E-4</v>
      </c>
      <c r="I315" s="49">
        <v>6.012613191935755E-4</v>
      </c>
      <c r="J315" s="49">
        <v>5.4220527788905457E-4</v>
      </c>
      <c r="K315" s="49">
        <v>4.8894973613976722E-4</v>
      </c>
      <c r="M315" s="4" t="str">
        <f t="shared" si="15"/>
        <v>Mtonne</v>
      </c>
    </row>
    <row r="316" spans="1:13" s="2" customFormat="1" ht="15.5" thickTop="1" x14ac:dyDescent="0.4">
      <c r="A316" s="2" t="s">
        <v>376</v>
      </c>
      <c r="B316" s="2" t="s">
        <v>377</v>
      </c>
    </row>
    <row r="317" spans="1:13" s="6" customFormat="1" x14ac:dyDescent="0.25">
      <c r="A317" s="4" t="str">
        <f t="array" ref="A317:A324">R_CODE&amp;" "&amp;'Base data'!$B$11</f>
        <v>EU CO2</v>
      </c>
      <c r="B317" s="39">
        <f t="array" ref="B317:K324">(QMAX_MINUS_Q0_PROP_CO2/100)*(ZC_CO2/100)*E_CO2_0+Q0_CO2</f>
        <v>4157.1160829924174</v>
      </c>
      <c r="C317" s="39">
        <v>4216.1935062090342</v>
      </c>
      <c r="D317" s="39">
        <v>4354.0816876056742</v>
      </c>
      <c r="E317" s="39">
        <v>4305.1835315165799</v>
      </c>
      <c r="F317" s="39">
        <v>4255.6207523260991</v>
      </c>
      <c r="G317" s="39">
        <v>4063.9057997932568</v>
      </c>
      <c r="H317" s="39">
        <v>3522.7235730834027</v>
      </c>
      <c r="I317" s="39">
        <v>2983.099913224095</v>
      </c>
      <c r="J317" s="39">
        <v>3208.715875477501</v>
      </c>
      <c r="K317" s="39">
        <v>3464.8666724152472</v>
      </c>
      <c r="M317" s="4" t="str">
        <f t="shared" ref="M317:M324" si="16">EMIT_NAME</f>
        <v>Mtonne</v>
      </c>
    </row>
    <row r="318" spans="1:13" s="6" customFormat="1" x14ac:dyDescent="0.25">
      <c r="A318" s="4" t="str">
        <v>US CO2</v>
      </c>
      <c r="B318" s="35">
        <v>9186.8280912351365</v>
      </c>
      <c r="C318" s="35">
        <v>9315.0189621338359</v>
      </c>
      <c r="D318" s="35">
        <v>9617.2445296404185</v>
      </c>
      <c r="E318" s="35">
        <v>9506.8740976396366</v>
      </c>
      <c r="F318" s="35">
        <v>9395.1146808223584</v>
      </c>
      <c r="G318" s="35">
        <v>8969.6811542258292</v>
      </c>
      <c r="H318" s="35">
        <v>7771.4790077894568</v>
      </c>
      <c r="I318" s="35">
        <v>6577.927573520441</v>
      </c>
      <c r="J318" s="35">
        <v>7059.9146947043164</v>
      </c>
      <c r="K318" s="35">
        <v>7608.6752100040758</v>
      </c>
      <c r="M318" s="4" t="str">
        <f t="shared" si="16"/>
        <v>Mtonne</v>
      </c>
    </row>
    <row r="319" spans="1:13" s="6" customFormat="1" x14ac:dyDescent="0.25">
      <c r="A319" s="4" t="str">
        <v>OT CO2</v>
      </c>
      <c r="B319" s="35">
        <v>1525.4920606766095</v>
      </c>
      <c r="C319" s="35">
        <v>1547.1710656124801</v>
      </c>
      <c r="D319" s="35">
        <v>1597.7704046211456</v>
      </c>
      <c r="E319" s="35">
        <v>1579.8267755748423</v>
      </c>
      <c r="F319" s="35">
        <v>1561.6392569559919</v>
      </c>
      <c r="G319" s="35">
        <v>1491.2876881849506</v>
      </c>
      <c r="H319" s="35">
        <v>1292.6958822927027</v>
      </c>
      <c r="I319" s="35">
        <v>1094.6760068707802</v>
      </c>
      <c r="J319" s="35">
        <v>1177.4678636071301</v>
      </c>
      <c r="K319" s="35">
        <v>1271.4647593549248</v>
      </c>
      <c r="M319" s="4" t="str">
        <f t="shared" si="16"/>
        <v>Mtonne</v>
      </c>
    </row>
    <row r="320" spans="1:13" s="6" customFormat="1" x14ac:dyDescent="0.25">
      <c r="A320" s="4" t="str">
        <v>EE CO2</v>
      </c>
      <c r="B320" s="35">
        <v>1924.8937421823489</v>
      </c>
      <c r="C320" s="35">
        <v>1993.2344579663932</v>
      </c>
      <c r="D320" s="35">
        <v>1843.7436684634256</v>
      </c>
      <c r="E320" s="35">
        <v>1822.7643487491921</v>
      </c>
      <c r="F320" s="35">
        <v>1801.4122748957495</v>
      </c>
      <c r="G320" s="35">
        <v>1709.842382913572</v>
      </c>
      <c r="H320" s="35">
        <v>1460.4882953097579</v>
      </c>
      <c r="I320" s="35">
        <v>1272.9304372890031</v>
      </c>
      <c r="J320" s="35">
        <v>1380.8549138313506</v>
      </c>
      <c r="K320" s="35">
        <v>1502.2280929507765</v>
      </c>
      <c r="M320" s="4" t="str">
        <f t="shared" si="16"/>
        <v>Mtonne</v>
      </c>
    </row>
    <row r="321" spans="1:13" s="6" customFormat="1" x14ac:dyDescent="0.25">
      <c r="A321" s="4" t="str">
        <v>CA CO2</v>
      </c>
      <c r="B321" s="35">
        <v>2190.0166957949114</v>
      </c>
      <c r="C321" s="35">
        <v>2292.6443828767719</v>
      </c>
      <c r="D321" s="35">
        <v>2953.8321675577536</v>
      </c>
      <c r="E321" s="35">
        <v>3507.6560298770182</v>
      </c>
      <c r="F321" s="35">
        <v>4070.0689557948162</v>
      </c>
      <c r="G321" s="35">
        <v>4242.7563784273398</v>
      </c>
      <c r="H321" s="35">
        <v>4436.125692222261</v>
      </c>
      <c r="I321" s="35">
        <v>4101.3639163842381</v>
      </c>
      <c r="J321" s="35">
        <v>4449.0950577089279</v>
      </c>
      <c r="K321" s="35">
        <v>4840.1577290654423</v>
      </c>
      <c r="M321" s="4" t="str">
        <f t="shared" si="16"/>
        <v>Mtonne</v>
      </c>
    </row>
    <row r="322" spans="1:13" s="6" customFormat="1" x14ac:dyDescent="0.25">
      <c r="A322" s="4" t="str">
        <v>IA CO2</v>
      </c>
      <c r="B322" s="35">
        <v>3600.575836419805</v>
      </c>
      <c r="C322" s="35">
        <v>3769.30458217052</v>
      </c>
      <c r="D322" s="35">
        <v>4856.3541765546288</v>
      </c>
      <c r="E322" s="35">
        <v>5766.8882469698492</v>
      </c>
      <c r="F322" s="35">
        <v>6691.5434767852403</v>
      </c>
      <c r="G322" s="35">
        <v>6975.4564544251671</v>
      </c>
      <c r="H322" s="35">
        <v>7293.3722402234816</v>
      </c>
      <c r="I322" s="35">
        <v>6742.9950840338706</v>
      </c>
      <c r="J322" s="35">
        <v>7314.6949927279038</v>
      </c>
      <c r="K322" s="35">
        <v>7957.6356642376986</v>
      </c>
      <c r="M322" s="4" t="str">
        <f t="shared" si="16"/>
        <v>Mtonne</v>
      </c>
    </row>
    <row r="323" spans="1:13" s="6" customFormat="1" x14ac:dyDescent="0.25">
      <c r="A323" s="4" t="str">
        <v>AF CO2</v>
      </c>
      <c r="B323" s="35">
        <v>2018.5116309422181</v>
      </c>
      <c r="C323" s="35">
        <v>2113.4892257437537</v>
      </c>
      <c r="D323" s="35">
        <v>2761.9487656460069</v>
      </c>
      <c r="E323" s="35">
        <v>3295.9942893270509</v>
      </c>
      <c r="F323" s="35">
        <v>3838.3242348710951</v>
      </c>
      <c r="G323" s="35">
        <v>4146.4720191075467</v>
      </c>
      <c r="H323" s="35">
        <v>4346.6067136434212</v>
      </c>
      <c r="I323" s="35">
        <v>3816.4827826792753</v>
      </c>
      <c r="J323" s="35">
        <v>4140.0604853467994</v>
      </c>
      <c r="K323" s="35">
        <v>4503.9599057855676</v>
      </c>
      <c r="M323" s="4" t="str">
        <f t="shared" si="16"/>
        <v>Mtonne</v>
      </c>
    </row>
    <row r="324" spans="1:13" s="6" customFormat="1" ht="13" thickBot="1" x14ac:dyDescent="0.3">
      <c r="A324" s="4" t="str">
        <v>LA CO2</v>
      </c>
      <c r="B324" s="49">
        <v>1721.7409594151234</v>
      </c>
      <c r="C324" s="49">
        <v>1802.7545204418707</v>
      </c>
      <c r="D324" s="49">
        <v>2355.874618071447</v>
      </c>
      <c r="E324" s="49">
        <v>2811.4023634749979</v>
      </c>
      <c r="F324" s="49">
        <v>3273.996517725519</v>
      </c>
      <c r="G324" s="49">
        <v>3536.8390268000176</v>
      </c>
      <c r="H324" s="49">
        <v>3707.5490171217498</v>
      </c>
      <c r="I324" s="49">
        <v>3255.3662942106757</v>
      </c>
      <c r="J324" s="49">
        <v>3531.3701456108624</v>
      </c>
      <c r="K324" s="49">
        <v>3841.7674342231603</v>
      </c>
      <c r="M324" s="4" t="str">
        <f t="shared" si="16"/>
        <v>Mtonne</v>
      </c>
    </row>
    <row r="325" spans="1:13" s="2" customFormat="1" ht="15.5" thickTop="1" x14ac:dyDescent="0.4">
      <c r="A325" s="2" t="s">
        <v>376</v>
      </c>
      <c r="B325" s="2" t="s">
        <v>378</v>
      </c>
    </row>
    <row r="326" spans="1:13" s="7" customFormat="1" x14ac:dyDescent="0.25">
      <c r="A326" s="4" t="str">
        <f t="array" ref="A326:A333">R_CODE&amp;" "&amp;'Base data'!$C$11</f>
        <v>EU CH4</v>
      </c>
      <c r="B326" s="39">
        <f t="array" ref="B326:K333">(QMAX_MINUS_Q0_PROP_CH4/100)*(ZC_CH4/100)*E_CH4_0+Q0_CH4</f>
        <v>6.2281675325428175E-4</v>
      </c>
      <c r="C326" s="39">
        <v>6.2900625929040218E-4</v>
      </c>
      <c r="D326" s="39">
        <v>6.1748770343272245E-4</v>
      </c>
      <c r="E326" s="39">
        <v>5.7729506073118855E-4</v>
      </c>
      <c r="F326" s="39">
        <v>5.3591566806853548E-4</v>
      </c>
      <c r="G326" s="39">
        <v>5.0188660447021585E-4</v>
      </c>
      <c r="H326" s="39">
        <v>4.4556707159093881E-4</v>
      </c>
      <c r="I326" s="39">
        <v>4.1614082626677273E-4</v>
      </c>
      <c r="J326" s="39">
        <v>4.7367500846853968E-4</v>
      </c>
      <c r="K326" s="39">
        <v>5.3827787221182889E-4</v>
      </c>
      <c r="M326" s="4" t="str">
        <f t="shared" ref="M326:M333" si="17">EMIT_NAME</f>
        <v>Mtonne</v>
      </c>
    </row>
    <row r="327" spans="1:13" s="7" customFormat="1" x14ac:dyDescent="0.25">
      <c r="A327" s="4" t="str">
        <v>US CH4</v>
      </c>
      <c r="B327" s="35">
        <v>6.3110551801476961E-4</v>
      </c>
      <c r="C327" s="35">
        <v>6.3725003943978988E-4</v>
      </c>
      <c r="D327" s="35">
        <v>6.2545704698091303E-4</v>
      </c>
      <c r="E327" s="35">
        <v>5.8463168051056181E-4</v>
      </c>
      <c r="F327" s="35">
        <v>5.4262192101225514E-4</v>
      </c>
      <c r="G327" s="35">
        <v>5.0807041237796696E-4</v>
      </c>
      <c r="H327" s="35">
        <v>4.5088868159204147E-4</v>
      </c>
      <c r="I327" s="35">
        <v>4.2095785300667838E-4</v>
      </c>
      <c r="J327" s="35">
        <v>4.7835305153749963E-4</v>
      </c>
      <c r="K327" s="35">
        <v>5.4279776272225572E-4</v>
      </c>
      <c r="M327" s="4" t="str">
        <f t="shared" si="17"/>
        <v>Mtonne</v>
      </c>
    </row>
    <row r="328" spans="1:13" s="7" customFormat="1" x14ac:dyDescent="0.25">
      <c r="A328" s="4" t="str">
        <v>OT CH4</v>
      </c>
      <c r="B328" s="35">
        <v>6.2281675325428175E-4</v>
      </c>
      <c r="C328" s="35">
        <v>6.2900625929040218E-4</v>
      </c>
      <c r="D328" s="35">
        <v>6.1748770343272245E-4</v>
      </c>
      <c r="E328" s="35">
        <v>5.7729506073118855E-4</v>
      </c>
      <c r="F328" s="35">
        <v>5.3591566806853548E-4</v>
      </c>
      <c r="G328" s="35">
        <v>5.0188660447021585E-4</v>
      </c>
      <c r="H328" s="35">
        <v>4.4556707159093881E-4</v>
      </c>
      <c r="I328" s="35">
        <v>4.1614082626677273E-4</v>
      </c>
      <c r="J328" s="35">
        <v>4.7367500846853968E-4</v>
      </c>
      <c r="K328" s="35">
        <v>5.3827787221182889E-4</v>
      </c>
      <c r="M328" s="4" t="str">
        <f t="shared" si="17"/>
        <v>Mtonne</v>
      </c>
    </row>
    <row r="329" spans="1:13" s="7" customFormat="1" x14ac:dyDescent="0.25">
      <c r="A329" s="4" t="str">
        <v>EE CH4</v>
      </c>
      <c r="B329" s="35">
        <v>6.1586786588300828E-4</v>
      </c>
      <c r="C329" s="35">
        <v>6.4575487730569837E-4</v>
      </c>
      <c r="D329" s="35">
        <v>6.9349285121711294E-4</v>
      </c>
      <c r="E329" s="35">
        <v>6.4142314893002165E-4</v>
      </c>
      <c r="F329" s="35">
        <v>5.8773830843994966E-4</v>
      </c>
      <c r="G329" s="35">
        <v>5.3897708035432828E-4</v>
      </c>
      <c r="H329" s="35">
        <v>4.6714977769919967E-4</v>
      </c>
      <c r="I329" s="35">
        <v>4.2584474987238341E-4</v>
      </c>
      <c r="J329" s="35">
        <v>4.8781497614999817E-4</v>
      </c>
      <c r="K329" s="35">
        <v>5.5740694565309683E-4</v>
      </c>
      <c r="M329" s="4" t="str">
        <f t="shared" si="17"/>
        <v>Mtonne</v>
      </c>
    </row>
    <row r="330" spans="1:13" s="7" customFormat="1" x14ac:dyDescent="0.25">
      <c r="A330" s="4" t="str">
        <v>CA CH4</v>
      </c>
      <c r="B330" s="35">
        <v>6.0314621057461454E-4</v>
      </c>
      <c r="C330" s="35">
        <v>6.1995316162239203E-4</v>
      </c>
      <c r="D330" s="35">
        <v>7.4117978651941276E-4</v>
      </c>
      <c r="E330" s="35">
        <v>8.3883529175670572E-4</v>
      </c>
      <c r="F330" s="35">
        <v>9.3905318619671736E-4</v>
      </c>
      <c r="G330" s="35">
        <v>8.9010261899033212E-4</v>
      </c>
      <c r="H330" s="35">
        <v>6.9590576922023387E-4</v>
      </c>
      <c r="I330" s="35">
        <v>5.6120965222160703E-4</v>
      </c>
      <c r="J330" s="35">
        <v>6.4287859177710642E-4</v>
      </c>
      <c r="K330" s="35">
        <v>7.3459202728137145E-4</v>
      </c>
      <c r="M330" s="4" t="str">
        <f t="shared" si="17"/>
        <v>Mtonne</v>
      </c>
    </row>
    <row r="331" spans="1:13" s="7" customFormat="1" x14ac:dyDescent="0.25">
      <c r="A331" s="4" t="str">
        <v>IA CH4</v>
      </c>
      <c r="B331" s="35">
        <v>6.0314621057461454E-4</v>
      </c>
      <c r="C331" s="35">
        <v>6.1995316162239203E-4</v>
      </c>
      <c r="D331" s="35">
        <v>7.4117978651941276E-4</v>
      </c>
      <c r="E331" s="35">
        <v>8.3883529175670572E-4</v>
      </c>
      <c r="F331" s="35">
        <v>9.3905318619671736E-4</v>
      </c>
      <c r="G331" s="35">
        <v>8.9010261899033212E-4</v>
      </c>
      <c r="H331" s="35">
        <v>6.9590576922023387E-4</v>
      </c>
      <c r="I331" s="35">
        <v>5.6120965222160703E-4</v>
      </c>
      <c r="J331" s="35">
        <v>6.4287859177710642E-4</v>
      </c>
      <c r="K331" s="35">
        <v>7.3459202728137145E-4</v>
      </c>
      <c r="M331" s="4" t="str">
        <f t="shared" si="17"/>
        <v>Mtonne</v>
      </c>
    </row>
    <row r="332" spans="1:13" s="7" customFormat="1" x14ac:dyDescent="0.25">
      <c r="A332" s="4" t="str">
        <v>AF CH4</v>
      </c>
      <c r="B332" s="35">
        <v>6.0363085150815139E-4</v>
      </c>
      <c r="C332" s="35">
        <v>6.2093609719740029E-4</v>
      </c>
      <c r="D332" s="35">
        <v>7.6048101302178658E-4</v>
      </c>
      <c r="E332" s="35">
        <v>8.328637751645083E-4</v>
      </c>
      <c r="F332" s="35">
        <v>9.0709753179326518E-4</v>
      </c>
      <c r="G332" s="35">
        <v>9.1296470752875352E-4</v>
      </c>
      <c r="H332" s="35">
        <v>8.4337392291245188E-4</v>
      </c>
      <c r="I332" s="35">
        <v>6.662846533593993E-4</v>
      </c>
      <c r="J332" s="35">
        <v>7.6324442742343947E-4</v>
      </c>
      <c r="K332" s="35">
        <v>8.7212932336466103E-4</v>
      </c>
      <c r="M332" s="4" t="str">
        <f t="shared" si="17"/>
        <v>Mtonne</v>
      </c>
    </row>
    <row r="333" spans="1:13" s="7" customFormat="1" ht="13" thickBot="1" x14ac:dyDescent="0.3">
      <c r="A333" s="4" t="str">
        <v>LA CH4</v>
      </c>
      <c r="B333" s="49">
        <v>6.0363085150815139E-4</v>
      </c>
      <c r="C333" s="49">
        <v>6.2093609719740029E-4</v>
      </c>
      <c r="D333" s="49">
        <v>7.6048101302178658E-4</v>
      </c>
      <c r="E333" s="49">
        <v>8.328637751645083E-4</v>
      </c>
      <c r="F333" s="49">
        <v>9.0709753179326518E-4</v>
      </c>
      <c r="G333" s="49">
        <v>9.1296470752875352E-4</v>
      </c>
      <c r="H333" s="49">
        <v>8.4337392291245188E-4</v>
      </c>
      <c r="I333" s="49">
        <v>6.662846533593993E-4</v>
      </c>
      <c r="J333" s="49">
        <v>7.6324442742343947E-4</v>
      </c>
      <c r="K333" s="49">
        <v>8.7212932336466103E-4</v>
      </c>
      <c r="M333" s="4" t="str">
        <f t="shared" si="17"/>
        <v>Mtonne</v>
      </c>
    </row>
    <row r="334" spans="1:13" s="2" customFormat="1" ht="15.5" thickTop="1" x14ac:dyDescent="0.4">
      <c r="A334" s="2" t="s">
        <v>376</v>
      </c>
      <c r="B334" s="2" t="s">
        <v>379</v>
      </c>
    </row>
    <row r="335" spans="1:13" s="7" customFormat="1" x14ac:dyDescent="0.25">
      <c r="A335" s="4" t="str">
        <f t="array" ref="A335:A342">R_CODE&amp;" "&amp;'Base data'!$D$11</f>
        <v>EU N2O</v>
      </c>
      <c r="B335" s="39">
        <f t="array" ref="B335:K342">(QMAX_MINUS_Q0_PROP_N2O/100)*(ZC_N2O/100)*E_N2O_0+Q0_N2O</f>
        <v>6.1869357886106121E-4</v>
      </c>
      <c r="C335" s="39">
        <v>6.2075307484472843E-4</v>
      </c>
      <c r="D335" s="39">
        <v>6.4328003972206318E-4</v>
      </c>
      <c r="E335" s="39">
        <v>6.3351576072667249E-4</v>
      </c>
      <c r="F335" s="39">
        <v>6.2366209785609051E-4</v>
      </c>
      <c r="G335" s="39">
        <v>6.1208565452635809E-4</v>
      </c>
      <c r="H335" s="39">
        <v>5.8090661779346717E-4</v>
      </c>
      <c r="I335" s="39">
        <v>5.5685299440100386E-4</v>
      </c>
      <c r="J335" s="39">
        <v>5.8856715468581745E-4</v>
      </c>
      <c r="K335" s="39">
        <v>6.2425043615635021E-4</v>
      </c>
      <c r="M335" s="4" t="str">
        <f t="shared" ref="M335:M342" si="18">EMIT_NAME</f>
        <v>Mtonne</v>
      </c>
    </row>
    <row r="336" spans="1:13" s="7" customFormat="1" x14ac:dyDescent="0.25">
      <c r="A336" s="4" t="str">
        <v>US N2O</v>
      </c>
      <c r="B336" s="35">
        <v>6.2692747030217654E-4</v>
      </c>
      <c r="C336" s="35">
        <v>6.2888868844235691E-4</v>
      </c>
      <c r="D336" s="35">
        <v>6.5158226113593042E-4</v>
      </c>
      <c r="E336" s="35">
        <v>6.4156686765075581E-4</v>
      </c>
      <c r="F336" s="35">
        <v>6.314663775755237E-4</v>
      </c>
      <c r="G336" s="35">
        <v>6.1962723877460977E-4</v>
      </c>
      <c r="H336" s="35">
        <v>5.8784464949297873E-4</v>
      </c>
      <c r="I336" s="35">
        <v>5.6329883099024206E-4</v>
      </c>
      <c r="J336" s="35">
        <v>5.9437987954858232E-4</v>
      </c>
      <c r="K336" s="35">
        <v>6.2949223368913548E-4</v>
      </c>
      <c r="M336" s="4" t="str">
        <f t="shared" si="18"/>
        <v>Mtonne</v>
      </c>
    </row>
    <row r="337" spans="1:13" s="7" customFormat="1" x14ac:dyDescent="0.25">
      <c r="A337" s="4" t="str">
        <v>OT N2O</v>
      </c>
      <c r="B337" s="35">
        <v>6.1869357886106121E-4</v>
      </c>
      <c r="C337" s="35">
        <v>6.2075307484472843E-4</v>
      </c>
      <c r="D337" s="35">
        <v>6.4328003972206318E-4</v>
      </c>
      <c r="E337" s="35">
        <v>6.3351576072667249E-4</v>
      </c>
      <c r="F337" s="35">
        <v>6.2366209785609051E-4</v>
      </c>
      <c r="G337" s="35">
        <v>6.1208565452635809E-4</v>
      </c>
      <c r="H337" s="35">
        <v>5.8090661779346717E-4</v>
      </c>
      <c r="I337" s="35">
        <v>5.5685299440100386E-4</v>
      </c>
      <c r="J337" s="35">
        <v>5.8856715468581745E-4</v>
      </c>
      <c r="K337" s="35">
        <v>6.2425043615635021E-4</v>
      </c>
      <c r="M337" s="4" t="str">
        <f t="shared" si="18"/>
        <v>Mtonne</v>
      </c>
    </row>
    <row r="338" spans="1:13" s="7" customFormat="1" x14ac:dyDescent="0.25">
      <c r="A338" s="4" t="str">
        <v>EE N2O</v>
      </c>
      <c r="B338" s="35">
        <v>5.9116211661647614E-4</v>
      </c>
      <c r="C338" s="35">
        <v>5.9571033347942349E-4</v>
      </c>
      <c r="D338" s="35">
        <v>6.1469530294144608E-4</v>
      </c>
      <c r="E338" s="35">
        <v>6.1709095847048911E-4</v>
      </c>
      <c r="F338" s="35">
        <v>6.1951405500598202E-4</v>
      </c>
      <c r="G338" s="35">
        <v>6.0556585330607052E-4</v>
      </c>
      <c r="H338" s="35">
        <v>5.7069060198488327E-4</v>
      </c>
      <c r="I338" s="35">
        <v>5.565280517614709E-4</v>
      </c>
      <c r="J338" s="35">
        <v>5.9197887407766675E-4</v>
      </c>
      <c r="K338" s="35">
        <v>6.3133553104235333E-4</v>
      </c>
      <c r="M338" s="4" t="str">
        <f t="shared" si="18"/>
        <v>Mtonne</v>
      </c>
    </row>
    <row r="339" spans="1:13" s="7" customFormat="1" x14ac:dyDescent="0.25">
      <c r="A339" s="4" t="str">
        <v>CA N2O</v>
      </c>
      <c r="B339" s="35">
        <v>5.9172808771385465E-4</v>
      </c>
      <c r="C339" s="35">
        <v>5.9684881177170647E-4</v>
      </c>
      <c r="D339" s="35">
        <v>6.0658679671669912E-4</v>
      </c>
      <c r="E339" s="35">
        <v>6.3688632859932605E-4</v>
      </c>
      <c r="F339" s="35">
        <v>6.6754119011779175E-4</v>
      </c>
      <c r="G339" s="35">
        <v>6.7460773451405475E-4</v>
      </c>
      <c r="H339" s="35">
        <v>6.7863831986536452E-4</v>
      </c>
      <c r="I339" s="35">
        <v>6.8731609034709373E-4</v>
      </c>
      <c r="J339" s="35">
        <v>7.3109810729455303E-4</v>
      </c>
      <c r="K339" s="35">
        <v>7.7970385772974224E-4</v>
      </c>
      <c r="M339" s="4" t="str">
        <f t="shared" si="18"/>
        <v>Mtonne</v>
      </c>
    </row>
    <row r="340" spans="1:13" s="7" customFormat="1" x14ac:dyDescent="0.25">
      <c r="A340" s="4" t="str">
        <v>IA N2O</v>
      </c>
      <c r="B340" s="35">
        <v>5.9172808771385465E-4</v>
      </c>
      <c r="C340" s="35">
        <v>5.9684881177170647E-4</v>
      </c>
      <c r="D340" s="35">
        <v>6.0658679671669912E-4</v>
      </c>
      <c r="E340" s="35">
        <v>6.3688632859932605E-4</v>
      </c>
      <c r="F340" s="35">
        <v>6.6754119011779175E-4</v>
      </c>
      <c r="G340" s="35">
        <v>6.7460773451405475E-4</v>
      </c>
      <c r="H340" s="35">
        <v>6.7863831986536452E-4</v>
      </c>
      <c r="I340" s="35">
        <v>6.8731609034709373E-4</v>
      </c>
      <c r="J340" s="35">
        <v>7.3109810729455303E-4</v>
      </c>
      <c r="K340" s="35">
        <v>7.7970385772974224E-4</v>
      </c>
      <c r="M340" s="4" t="str">
        <f t="shared" si="18"/>
        <v>Mtonne</v>
      </c>
    </row>
    <row r="341" spans="1:13" s="7" customFormat="1" x14ac:dyDescent="0.25">
      <c r="A341" s="4" t="str">
        <v>AF N2O</v>
      </c>
      <c r="B341" s="35">
        <v>5.8923658538159154E-4</v>
      </c>
      <c r="C341" s="35">
        <v>5.9183703407918273E-4</v>
      </c>
      <c r="D341" s="35">
        <v>5.995961682209995E-4</v>
      </c>
      <c r="E341" s="35">
        <v>6.2261932860541147E-4</v>
      </c>
      <c r="F341" s="35">
        <v>6.4591232704274521E-4</v>
      </c>
      <c r="G341" s="35">
        <v>6.6155474997201316E-4</v>
      </c>
      <c r="H341" s="35">
        <v>6.8161350061337039E-4</v>
      </c>
      <c r="I341" s="35">
        <v>6.9537545226329629E-4</v>
      </c>
      <c r="J341" s="35">
        <v>7.396708503536627E-4</v>
      </c>
      <c r="K341" s="35">
        <v>7.8884654428278069E-4</v>
      </c>
      <c r="M341" s="4" t="str">
        <f t="shared" si="18"/>
        <v>Mtonne</v>
      </c>
    </row>
    <row r="342" spans="1:13" s="7" customFormat="1" ht="13" thickBot="1" x14ac:dyDescent="0.3">
      <c r="A342" s="4" t="str">
        <v>LA N2O</v>
      </c>
      <c r="B342" s="49">
        <v>5.8923658538159154E-4</v>
      </c>
      <c r="C342" s="49">
        <v>5.9183703407918273E-4</v>
      </c>
      <c r="D342" s="49">
        <v>5.995961682209995E-4</v>
      </c>
      <c r="E342" s="49">
        <v>6.2261932860541147E-4</v>
      </c>
      <c r="F342" s="49">
        <v>6.4591232704274521E-4</v>
      </c>
      <c r="G342" s="49">
        <v>6.6155474997201316E-4</v>
      </c>
      <c r="H342" s="49">
        <v>6.8161350061337039E-4</v>
      </c>
      <c r="I342" s="49">
        <v>6.9537545226329629E-4</v>
      </c>
      <c r="J342" s="49">
        <v>7.396708503536627E-4</v>
      </c>
      <c r="K342" s="49">
        <v>7.8884654428278069E-4</v>
      </c>
      <c r="M342" s="4" t="str">
        <f t="shared" si="18"/>
        <v>Mtonne</v>
      </c>
    </row>
    <row r="343" spans="1:13" s="2" customFormat="1" ht="15.5" thickTop="1" x14ac:dyDescent="0.4">
      <c r="A343" s="2" t="s">
        <v>376</v>
      </c>
      <c r="B343" s="2" t="s">
        <v>380</v>
      </c>
    </row>
    <row r="344" spans="1:13" s="7" customFormat="1" x14ac:dyDescent="0.25">
      <c r="A344" s="4" t="str">
        <f t="array" ref="A344:A351">R_CODE&amp;" "&amp;GLIN_NAME</f>
        <v>EU Lin</v>
      </c>
      <c r="B344" s="45">
        <f t="array" ref="B344:K351">(QMAX_MINUS_Q0_PROP_GLIN/100)*(ZC_GLIN/100)*E_GLIN_0+Q0_GLIN</f>
        <v>8.3140793545312852E-4</v>
      </c>
      <c r="C344" s="45">
        <v>8.6317541118837847E-4</v>
      </c>
      <c r="D344" s="45">
        <v>7.8826986591395282E-4</v>
      </c>
      <c r="E344" s="45">
        <v>8.253221615850384E-4</v>
      </c>
      <c r="F344" s="45">
        <v>8.6280366724544627E-4</v>
      </c>
      <c r="G344" s="45">
        <v>9.0035966923607237E-4</v>
      </c>
      <c r="H344" s="45">
        <v>9.839959251610735E-4</v>
      </c>
      <c r="I344" s="45">
        <v>1.0704627457559562E-3</v>
      </c>
      <c r="J344" s="45">
        <v>1.1376993686122269E-3</v>
      </c>
      <c r="K344" s="45">
        <v>1.2124641855658254E-3</v>
      </c>
      <c r="M344" s="4" t="str">
        <f t="shared" ref="M344:M351" si="19">EMIT_NAME</f>
        <v>Mtonne</v>
      </c>
    </row>
    <row r="345" spans="1:13" s="7" customFormat="1" x14ac:dyDescent="0.25">
      <c r="A345" s="4" t="str">
        <v>US Lin</v>
      </c>
      <c r="B345" s="46">
        <v>8.3993131949157179E-4</v>
      </c>
      <c r="C345" s="46">
        <v>8.7188405497953445E-4</v>
      </c>
      <c r="D345" s="46">
        <v>7.9609631254081369E-4</v>
      </c>
      <c r="E345" s="46">
        <v>8.3338589792403977E-4</v>
      </c>
      <c r="F345" s="46">
        <v>8.7109898420417004E-4</v>
      </c>
      <c r="G345" s="46">
        <v>9.0887752955690852E-4</v>
      </c>
      <c r="H345" s="46">
        <v>9.9300855268313459E-4</v>
      </c>
      <c r="I345" s="46">
        <v>1.0799538537160454E-3</v>
      </c>
      <c r="J345" s="46">
        <v>1.1462582575091167E-3</v>
      </c>
      <c r="K345" s="46">
        <v>1.2201824181954975E-3</v>
      </c>
      <c r="M345" s="4" t="str">
        <f t="shared" si="19"/>
        <v>Mtonne</v>
      </c>
    </row>
    <row r="346" spans="1:13" s="7" customFormat="1" x14ac:dyDescent="0.25">
      <c r="A346" s="4" t="str">
        <v>OT Lin</v>
      </c>
      <c r="B346" s="46">
        <v>8.3140793545312852E-4</v>
      </c>
      <c r="C346" s="46">
        <v>8.6317541118837847E-4</v>
      </c>
      <c r="D346" s="46">
        <v>7.8826986591395282E-4</v>
      </c>
      <c r="E346" s="46">
        <v>8.253221615850384E-4</v>
      </c>
      <c r="F346" s="46">
        <v>8.6280366724544627E-4</v>
      </c>
      <c r="G346" s="46">
        <v>9.0035966923607237E-4</v>
      </c>
      <c r="H346" s="46">
        <v>9.839959251610735E-4</v>
      </c>
      <c r="I346" s="46">
        <v>1.0704627457559562E-3</v>
      </c>
      <c r="J346" s="46">
        <v>1.1376993686122269E-3</v>
      </c>
      <c r="K346" s="46">
        <v>1.2124641855658254E-3</v>
      </c>
      <c r="M346" s="4" t="str">
        <f t="shared" si="19"/>
        <v>Mtonne</v>
      </c>
    </row>
    <row r="347" spans="1:13" s="7" customFormat="1" x14ac:dyDescent="0.25">
      <c r="A347" s="4" t="str">
        <v>EE Lin</v>
      </c>
      <c r="B347" s="46">
        <v>8.0330410527962998E-4</v>
      </c>
      <c r="C347" s="46">
        <v>8.3701742704177999E-4</v>
      </c>
      <c r="D347" s="46">
        <v>1.4450653592169823E-3</v>
      </c>
      <c r="E347" s="46">
        <v>2.1039559443691742E-3</v>
      </c>
      <c r="F347" s="46">
        <v>2.7712107879095333E-3</v>
      </c>
      <c r="G347" s="46">
        <v>2.8884502593824802E-3</v>
      </c>
      <c r="H347" s="46">
        <v>2.9822264070717077E-3</v>
      </c>
      <c r="I347" s="46">
        <v>2.7420129686167977E-3</v>
      </c>
      <c r="J347" s="46">
        <v>2.9287994547138253E-3</v>
      </c>
      <c r="K347" s="46">
        <v>3.1346331923407904E-3</v>
      </c>
      <c r="M347" s="4" t="str">
        <f t="shared" si="19"/>
        <v>Mtonne</v>
      </c>
    </row>
    <row r="348" spans="1:13" s="7" customFormat="1" x14ac:dyDescent="0.25">
      <c r="A348" s="4" t="str">
        <v>CA Lin</v>
      </c>
      <c r="B348" s="46">
        <v>8.2405473138549964E-4</v>
      </c>
      <c r="C348" s="46">
        <v>8.7877946332459147E-4</v>
      </c>
      <c r="D348" s="46">
        <v>1.8394112713423247E-3</v>
      </c>
      <c r="E348" s="46">
        <v>3.5681925979488467E-3</v>
      </c>
      <c r="F348" s="46">
        <v>5.3189478316260442E-3</v>
      </c>
      <c r="G348" s="46">
        <v>7.2770349507529242E-3</v>
      </c>
      <c r="H348" s="46">
        <v>8.9747986022225557E-3</v>
      </c>
      <c r="I348" s="46">
        <v>8.4452321214214358E-3</v>
      </c>
      <c r="J348" s="46">
        <v>9.0205230665367682E-3</v>
      </c>
      <c r="K348" s="46">
        <v>9.654478380598016E-3</v>
      </c>
      <c r="M348" s="4" t="str">
        <f t="shared" si="19"/>
        <v>Mtonne</v>
      </c>
    </row>
    <row r="349" spans="1:13" s="7" customFormat="1" x14ac:dyDescent="0.25">
      <c r="A349" s="4" t="str">
        <v>IA Lin</v>
      </c>
      <c r="B349" s="46">
        <v>8.2405473138549964E-4</v>
      </c>
      <c r="C349" s="46">
        <v>8.7877946332459147E-4</v>
      </c>
      <c r="D349" s="46">
        <v>1.8394112713423247E-3</v>
      </c>
      <c r="E349" s="46">
        <v>3.5681925979488467E-3</v>
      </c>
      <c r="F349" s="46">
        <v>5.3189478316260442E-3</v>
      </c>
      <c r="G349" s="46">
        <v>7.2770349507529242E-3</v>
      </c>
      <c r="H349" s="46">
        <v>8.9747986022225557E-3</v>
      </c>
      <c r="I349" s="46">
        <v>8.4452321214214358E-3</v>
      </c>
      <c r="J349" s="46">
        <v>9.0205230665367682E-3</v>
      </c>
      <c r="K349" s="46">
        <v>9.654478380598016E-3</v>
      </c>
      <c r="M349" s="4" t="str">
        <f t="shared" si="19"/>
        <v>Mtonne</v>
      </c>
    </row>
    <row r="350" spans="1:13" s="7" customFormat="1" x14ac:dyDescent="0.25">
      <c r="A350" s="4" t="str">
        <v>AF Lin</v>
      </c>
      <c r="B350" s="46">
        <v>8.3385647601371868E-4</v>
      </c>
      <c r="C350" s="46">
        <v>8.9850613627942642E-4</v>
      </c>
      <c r="D350" s="46">
        <v>1.8532089411788567E-3</v>
      </c>
      <c r="E350" s="46">
        <v>3.7809537126624682E-3</v>
      </c>
      <c r="F350" s="46">
        <v>5.733204177907964E-3</v>
      </c>
      <c r="G350" s="46">
        <v>7.0193915061250618E-3</v>
      </c>
      <c r="H350" s="46">
        <v>8.1560270193612536E-3</v>
      </c>
      <c r="I350" s="46">
        <v>7.8153847837755756E-3</v>
      </c>
      <c r="J350" s="46">
        <v>8.3477703990026304E-3</v>
      </c>
      <c r="K350" s="46">
        <v>8.9344451811605476E-3</v>
      </c>
      <c r="M350" s="4" t="str">
        <f t="shared" si="19"/>
        <v>Mtonne</v>
      </c>
    </row>
    <row r="351" spans="1:13" s="7" customFormat="1" ht="13" thickBot="1" x14ac:dyDescent="0.3">
      <c r="A351" s="4" t="str">
        <v>LA Lin</v>
      </c>
      <c r="B351" s="47">
        <v>8.3385647601371868E-4</v>
      </c>
      <c r="C351" s="47">
        <v>8.9850613627942642E-4</v>
      </c>
      <c r="D351" s="47">
        <v>1.8532089411788567E-3</v>
      </c>
      <c r="E351" s="47">
        <v>3.7809537126624682E-3</v>
      </c>
      <c r="F351" s="47">
        <v>5.733204177907964E-3</v>
      </c>
      <c r="G351" s="47">
        <v>7.0193915061250618E-3</v>
      </c>
      <c r="H351" s="47">
        <v>8.1560270193612536E-3</v>
      </c>
      <c r="I351" s="47">
        <v>7.8153847837755756E-3</v>
      </c>
      <c r="J351" s="47">
        <v>8.3477703990026304E-3</v>
      </c>
      <c r="K351" s="47">
        <v>8.9344451811605476E-3</v>
      </c>
      <c r="M351" s="4" t="str">
        <f t="shared" si="19"/>
        <v>Mtonne</v>
      </c>
    </row>
    <row r="352" spans="1:13" s="2" customFormat="1" ht="15.5" thickTop="1" x14ac:dyDescent="0.4">
      <c r="A352" s="2" t="s">
        <v>381</v>
      </c>
      <c r="B352" s="2" t="s">
        <v>382</v>
      </c>
    </row>
    <row r="353" spans="1:13" s="6" customFormat="1" x14ac:dyDescent="0.25">
      <c r="A353" s="4" t="str">
        <f t="array" ref="A353:A360">R_CODE&amp;" "&amp;'Base data'!$B$11</f>
        <v>EU CO2</v>
      </c>
      <c r="B353" s="20">
        <f t="array" ref="B353:K360">CMAX_INIT_CO2*learnfac_co2*AUTOFAC</f>
        <v>394.29726975322518</v>
      </c>
      <c r="C353" s="20">
        <v>386.78022599601076</v>
      </c>
      <c r="D353" s="20">
        <v>374.47200563215659</v>
      </c>
      <c r="E353" s="20">
        <v>355.14408334256063</v>
      </c>
      <c r="F353" s="20">
        <v>330.24062966372077</v>
      </c>
      <c r="G353" s="20">
        <v>300.37413056408548</v>
      </c>
      <c r="H353" s="20">
        <v>263.11021159802146</v>
      </c>
      <c r="I353" s="20">
        <v>229.18298763847537</v>
      </c>
      <c r="J353" s="20">
        <v>167.0126011794955</v>
      </c>
      <c r="K353" s="20">
        <v>123.18397284445113</v>
      </c>
      <c r="M353" s="43" t="str">
        <f t="shared" ref="M353:M360" si="20">CURRENCY_NAME&amp;" per "&amp;EMIT_NAME</f>
        <v>$million per Mtonne</v>
      </c>
    </row>
    <row r="354" spans="1:13" s="6" customFormat="1" x14ac:dyDescent="0.25">
      <c r="A354" s="4" t="str">
        <v>US CO2</v>
      </c>
      <c r="B354" s="22">
        <v>394.29726975322518</v>
      </c>
      <c r="C354" s="22">
        <v>379.55926651555075</v>
      </c>
      <c r="D354" s="22">
        <v>354.96805585807863</v>
      </c>
      <c r="E354" s="22">
        <v>327.19245302249954</v>
      </c>
      <c r="F354" s="22">
        <v>298.29992059772377</v>
      </c>
      <c r="G354" s="22">
        <v>269.15475256665121</v>
      </c>
      <c r="H354" s="22">
        <v>234.98761798768317</v>
      </c>
      <c r="I354" s="22">
        <v>205.11974493341231</v>
      </c>
      <c r="J354" s="22">
        <v>150.94018429749849</v>
      </c>
      <c r="K354" s="22">
        <v>110.78141354847784</v>
      </c>
      <c r="M354" s="43" t="str">
        <f t="shared" si="20"/>
        <v>$million per Mtonne</v>
      </c>
    </row>
    <row r="355" spans="1:13" s="6" customFormat="1" x14ac:dyDescent="0.25">
      <c r="A355" s="4" t="str">
        <v>OT CO2</v>
      </c>
      <c r="B355" s="22">
        <v>486.29996589754529</v>
      </c>
      <c r="C355" s="22">
        <v>477.02894526615319</v>
      </c>
      <c r="D355" s="22">
        <v>464.19097451271654</v>
      </c>
      <c r="E355" s="22">
        <v>447.9934546214966</v>
      </c>
      <c r="F355" s="22">
        <v>426.20765765079443</v>
      </c>
      <c r="G355" s="22">
        <v>395.93381640338129</v>
      </c>
      <c r="H355" s="22">
        <v>352.65034022767549</v>
      </c>
      <c r="I355" s="22">
        <v>308.77869431950336</v>
      </c>
      <c r="J355" s="22">
        <v>226.50774239621728</v>
      </c>
      <c r="K355" s="22">
        <v>169.2429827294207</v>
      </c>
      <c r="M355" s="43" t="str">
        <f t="shared" si="20"/>
        <v>$million per Mtonne</v>
      </c>
    </row>
    <row r="356" spans="1:13" s="6" customFormat="1" x14ac:dyDescent="0.25">
      <c r="A356" s="4" t="str">
        <v>EE CO2</v>
      </c>
      <c r="B356" s="22">
        <v>276.00808882725761</v>
      </c>
      <c r="C356" s="22">
        <v>270.74615819720748</v>
      </c>
      <c r="D356" s="22">
        <v>263.45974236220661</v>
      </c>
      <c r="E356" s="22">
        <v>254.26655539443499</v>
      </c>
      <c r="F356" s="22">
        <v>241.90164359691082</v>
      </c>
      <c r="G356" s="22">
        <v>224.71919315454591</v>
      </c>
      <c r="H356" s="22">
        <v>200.45055303921916</v>
      </c>
      <c r="I356" s="22">
        <v>175.53009229845418</v>
      </c>
      <c r="J356" s="22">
        <v>128.75074967040658</v>
      </c>
      <c r="K356" s="22">
        <v>96.147498020872078</v>
      </c>
      <c r="M356" s="43" t="str">
        <f t="shared" si="20"/>
        <v>$million per Mtonne</v>
      </c>
    </row>
    <row r="357" spans="1:13" s="6" customFormat="1" x14ac:dyDescent="0.25">
      <c r="A357" s="4" t="str">
        <v>CA CO2</v>
      </c>
      <c r="B357" s="22">
        <v>394.29726975322518</v>
      </c>
      <c r="C357" s="22">
        <v>386.78022599601076</v>
      </c>
      <c r="D357" s="22">
        <v>376.37106051743802</v>
      </c>
      <c r="E357" s="22">
        <v>363.23793627776428</v>
      </c>
      <c r="F357" s="22">
        <v>343.31624149444684</v>
      </c>
      <c r="G357" s="22">
        <v>312.27102467143987</v>
      </c>
      <c r="H357" s="22">
        <v>271.68645843235163</v>
      </c>
      <c r="I357" s="22">
        <v>233.07471066491388</v>
      </c>
      <c r="J357" s="22">
        <v>166.38825600079164</v>
      </c>
      <c r="K357" s="22">
        <v>122.3809035218494</v>
      </c>
      <c r="M357" s="43" t="str">
        <f t="shared" si="20"/>
        <v>$million per Mtonne</v>
      </c>
    </row>
    <row r="358" spans="1:13" s="6" customFormat="1" x14ac:dyDescent="0.25">
      <c r="A358" s="4" t="str">
        <v>IA CO2</v>
      </c>
      <c r="B358" s="22">
        <v>486.29996589754529</v>
      </c>
      <c r="C358" s="22">
        <v>477.02894526615319</v>
      </c>
      <c r="D358" s="22">
        <v>464.19097451271654</v>
      </c>
      <c r="E358" s="22">
        <v>447.9934546214966</v>
      </c>
      <c r="F358" s="22">
        <v>421.66901268178231</v>
      </c>
      <c r="G358" s="22">
        <v>378.78187401278188</v>
      </c>
      <c r="H358" s="22">
        <v>325.1438830563435</v>
      </c>
      <c r="I358" s="22">
        <v>275.68439534321556</v>
      </c>
      <c r="J358" s="22">
        <v>194.35601572405974</v>
      </c>
      <c r="K358" s="22">
        <v>142.29244156463534</v>
      </c>
      <c r="M358" s="43" t="str">
        <f t="shared" si="20"/>
        <v>$million per Mtonne</v>
      </c>
    </row>
    <row r="359" spans="1:13" s="6" customFormat="1" x14ac:dyDescent="0.25">
      <c r="A359" s="4" t="str">
        <v>AF CO2</v>
      </c>
      <c r="B359" s="22">
        <v>486.29996589754529</v>
      </c>
      <c r="C359" s="22">
        <v>477.02894526615319</v>
      </c>
      <c r="D359" s="22">
        <v>464.19097451271654</v>
      </c>
      <c r="E359" s="22">
        <v>447.9934546214966</v>
      </c>
      <c r="F359" s="22">
        <v>423.21912640319175</v>
      </c>
      <c r="G359" s="22">
        <v>385.22977385464361</v>
      </c>
      <c r="H359" s="22">
        <v>334.91875221697319</v>
      </c>
      <c r="I359" s="22">
        <v>287.32666442778498</v>
      </c>
      <c r="J359" s="22">
        <v>205.89151964042978</v>
      </c>
      <c r="K359" s="22">
        <v>151.67013772033357</v>
      </c>
      <c r="M359" s="43" t="str">
        <f t="shared" si="20"/>
        <v>$million per Mtonne</v>
      </c>
    </row>
    <row r="360" spans="1:13" s="6" customFormat="1" ht="13" thickBot="1" x14ac:dyDescent="0.3">
      <c r="A360" s="4" t="str">
        <v>LA CO2</v>
      </c>
      <c r="B360" s="24">
        <v>276.00808882725761</v>
      </c>
      <c r="C360" s="24">
        <v>270.74615819720748</v>
      </c>
      <c r="D360" s="24">
        <v>263.45974236220661</v>
      </c>
      <c r="E360" s="24">
        <v>254.26655539443499</v>
      </c>
      <c r="F360" s="24">
        <v>240.451777334773</v>
      </c>
      <c r="G360" s="24">
        <v>219.49525471113853</v>
      </c>
      <c r="H360" s="24">
        <v>191.49052036379916</v>
      </c>
      <c r="I360" s="24">
        <v>164.78451882230937</v>
      </c>
      <c r="J360" s="24">
        <v>118.43896824796465</v>
      </c>
      <c r="K360" s="24">
        <v>87.349627230681023</v>
      </c>
      <c r="M360" s="43" t="str">
        <f t="shared" si="20"/>
        <v>$million per Mtonne</v>
      </c>
    </row>
    <row r="361" spans="1:13" s="2" customFormat="1" ht="15.5" thickTop="1" x14ac:dyDescent="0.4">
      <c r="A361" s="2" t="s">
        <v>381</v>
      </c>
      <c r="B361" s="2" t="s">
        <v>383</v>
      </c>
    </row>
    <row r="362" spans="1:13" s="6" customFormat="1" x14ac:dyDescent="0.25">
      <c r="A362" s="4" t="str">
        <f t="array" ref="A362:A369">R_CODE&amp;" "&amp;'Base data'!$C$11</f>
        <v>EU CH4</v>
      </c>
      <c r="B362" s="20">
        <f t="array" ref="B362:K369">CMAX_INIT_CH4*learnfac_ch4*AUTOFAC</f>
        <v>6243.0401040974839</v>
      </c>
      <c r="C362" s="20">
        <v>6153.9980067069509</v>
      </c>
      <c r="D362" s="20">
        <v>6066.2374328753622</v>
      </c>
      <c r="E362" s="20">
        <v>5979.7269291513767</v>
      </c>
      <c r="F362" s="20">
        <v>5894.4502234209958</v>
      </c>
      <c r="G362" s="20">
        <v>5810.3897227931266</v>
      </c>
      <c r="H362" s="20">
        <v>5645.861630723668</v>
      </c>
      <c r="I362" s="20">
        <v>5485.9875419081436</v>
      </c>
      <c r="J362" s="20">
        <v>4752.0932617301414</v>
      </c>
      <c r="K362" s="20">
        <v>4116.3189263684317</v>
      </c>
      <c r="M362" s="43" t="str">
        <f t="shared" ref="M362:M369" si="21">CURRENCY_NAME&amp;" per "&amp;EMIT_NAME</f>
        <v>$million per Mtonne</v>
      </c>
    </row>
    <row r="363" spans="1:13" s="6" customFormat="1" x14ac:dyDescent="0.25">
      <c r="A363" s="4" t="str">
        <v>US CH4</v>
      </c>
      <c r="B363" s="22">
        <v>6243.0401040974839</v>
      </c>
      <c r="C363" s="22">
        <v>6153.9980067069509</v>
      </c>
      <c r="D363" s="22">
        <v>6066.2374328753622</v>
      </c>
      <c r="E363" s="22">
        <v>5979.7269291513767</v>
      </c>
      <c r="F363" s="22">
        <v>5894.4502234209958</v>
      </c>
      <c r="G363" s="22">
        <v>5810.3897227931266</v>
      </c>
      <c r="H363" s="22">
        <v>5645.861630723668</v>
      </c>
      <c r="I363" s="22">
        <v>5485.9875419081436</v>
      </c>
      <c r="J363" s="22">
        <v>4752.0932617301414</v>
      </c>
      <c r="K363" s="22">
        <v>4116.3189263684317</v>
      </c>
      <c r="M363" s="43" t="str">
        <f t="shared" si="21"/>
        <v>$million per Mtonne</v>
      </c>
    </row>
    <row r="364" spans="1:13" s="6" customFormat="1" x14ac:dyDescent="0.25">
      <c r="A364" s="4" t="str">
        <v>OT CH4</v>
      </c>
      <c r="B364" s="22">
        <v>7699.7494596392171</v>
      </c>
      <c r="C364" s="22">
        <v>7589.9308728872411</v>
      </c>
      <c r="D364" s="22">
        <v>7481.6928318575347</v>
      </c>
      <c r="E364" s="22">
        <v>7374.9965439601228</v>
      </c>
      <c r="F364" s="22">
        <v>7269.8219402544119</v>
      </c>
      <c r="G364" s="22">
        <v>7166.1473228413925</v>
      </c>
      <c r="H364" s="22">
        <v>6963.2293426772367</v>
      </c>
      <c r="I364" s="22">
        <v>6766.051299858048</v>
      </c>
      <c r="J364" s="22">
        <v>5860.9150212164759</v>
      </c>
      <c r="K364" s="22">
        <v>5076.7933411489594</v>
      </c>
      <c r="M364" s="43" t="str">
        <f t="shared" si="21"/>
        <v>$million per Mtonne</v>
      </c>
    </row>
    <row r="365" spans="1:13" s="6" customFormat="1" x14ac:dyDescent="0.25">
      <c r="A365" s="4" t="str">
        <v>EE CH4</v>
      </c>
      <c r="B365" s="22">
        <v>4370.1280728682386</v>
      </c>
      <c r="C365" s="22">
        <v>4307.7982818908167</v>
      </c>
      <c r="D365" s="22">
        <v>4246.3654570476474</v>
      </c>
      <c r="E365" s="22">
        <v>4185.8071696984762</v>
      </c>
      <c r="F365" s="22">
        <v>4126.1126984564035</v>
      </c>
      <c r="G365" s="22">
        <v>4067.2697243238658</v>
      </c>
      <c r="H365" s="22">
        <v>3952.099401411203</v>
      </c>
      <c r="I365" s="22">
        <v>3840.1869898417872</v>
      </c>
      <c r="J365" s="22">
        <v>3326.460450695713</v>
      </c>
      <c r="K365" s="22">
        <v>2881.4173263295393</v>
      </c>
      <c r="M365" s="43" t="str">
        <f t="shared" si="21"/>
        <v>$million per Mtonne</v>
      </c>
    </row>
    <row r="366" spans="1:13" s="6" customFormat="1" x14ac:dyDescent="0.25">
      <c r="A366" s="4" t="str">
        <v>CA CH4</v>
      </c>
      <c r="B366" s="22">
        <v>6243.0401040974839</v>
      </c>
      <c r="C366" s="22">
        <v>6153.9978018450292</v>
      </c>
      <c r="D366" s="22">
        <v>6066.2369594616512</v>
      </c>
      <c r="E366" s="22">
        <v>5979.7244967782472</v>
      </c>
      <c r="F366" s="22">
        <v>5894.4441854940924</v>
      </c>
      <c r="G366" s="22">
        <v>5810.3784776197008</v>
      </c>
      <c r="H366" s="22">
        <v>5645.8433359591609</v>
      </c>
      <c r="I366" s="22">
        <v>5485.9635723091505</v>
      </c>
      <c r="J366" s="22">
        <v>4752.0629170269358</v>
      </c>
      <c r="K366" s="22">
        <v>4116.2777468919048</v>
      </c>
      <c r="M366" s="43" t="str">
        <f t="shared" si="21"/>
        <v>$million per Mtonne</v>
      </c>
    </row>
    <row r="367" spans="1:13" s="6" customFormat="1" x14ac:dyDescent="0.25">
      <c r="A367" s="4" t="str">
        <v>IA CH4</v>
      </c>
      <c r="B367" s="22">
        <v>7699.7494596392171</v>
      </c>
      <c r="C367" s="22">
        <v>7589.9306202242042</v>
      </c>
      <c r="D367" s="22">
        <v>7481.6922479806244</v>
      </c>
      <c r="E367" s="22">
        <v>7374.9935440332638</v>
      </c>
      <c r="F367" s="22">
        <v>7269.8144934779002</v>
      </c>
      <c r="G367" s="22">
        <v>7166.1334537941721</v>
      </c>
      <c r="H367" s="22">
        <v>6963.2067791343516</v>
      </c>
      <c r="I367" s="22">
        <v>6766.0217373526311</v>
      </c>
      <c r="J367" s="22">
        <v>5860.8775960825342</v>
      </c>
      <c r="K367" s="22">
        <v>5076.7425531279241</v>
      </c>
      <c r="M367" s="43" t="str">
        <f t="shared" si="21"/>
        <v>$million per Mtonne</v>
      </c>
    </row>
    <row r="368" spans="1:13" s="6" customFormat="1" x14ac:dyDescent="0.25">
      <c r="A368" s="4" t="str">
        <v>AF CH4</v>
      </c>
      <c r="B368" s="22">
        <v>7699.7494596392171</v>
      </c>
      <c r="C368" s="22">
        <v>7589.9306081826335</v>
      </c>
      <c r="D368" s="22">
        <v>7481.6922201538655</v>
      </c>
      <c r="E368" s="22">
        <v>7374.993209522604</v>
      </c>
      <c r="F368" s="22">
        <v>7269.8142568489575</v>
      </c>
      <c r="G368" s="22">
        <v>7166.1337088046585</v>
      </c>
      <c r="H368" s="22">
        <v>6963.206520781283</v>
      </c>
      <c r="I368" s="22">
        <v>6766.0173066355983</v>
      </c>
      <c r="J368" s="22">
        <v>5860.8661119652161</v>
      </c>
      <c r="K368" s="22">
        <v>5076.7207199037994</v>
      </c>
      <c r="M368" s="43" t="str">
        <f t="shared" si="21"/>
        <v>$million per Mtonne</v>
      </c>
    </row>
    <row r="369" spans="1:13" s="6" customFormat="1" ht="13" thickBot="1" x14ac:dyDescent="0.3">
      <c r="A369" s="4" t="str">
        <v>LA CH4</v>
      </c>
      <c r="B369" s="24">
        <v>4370.1280728682386</v>
      </c>
      <c r="C369" s="24">
        <v>4307.7984544571154</v>
      </c>
      <c r="D369" s="24">
        <v>4246.3658558295892</v>
      </c>
      <c r="E369" s="24">
        <v>4185.806957887371</v>
      </c>
      <c r="F369" s="24">
        <v>4126.1107955429516</v>
      </c>
      <c r="G369" s="24">
        <v>4067.265079069472</v>
      </c>
      <c r="H369" s="24">
        <v>3952.0901885385902</v>
      </c>
      <c r="I369" s="24">
        <v>3840.1719858851156</v>
      </c>
      <c r="J369" s="24">
        <v>3326.4375239063215</v>
      </c>
      <c r="K369" s="24">
        <v>2881.3820309944213</v>
      </c>
      <c r="M369" s="43" t="str">
        <f t="shared" si="21"/>
        <v>$million per Mtonne</v>
      </c>
    </row>
    <row r="370" spans="1:13" s="2" customFormat="1" ht="15.5" thickTop="1" x14ac:dyDescent="0.4">
      <c r="A370" s="2" t="s">
        <v>381</v>
      </c>
      <c r="B370" s="2" t="s">
        <v>384</v>
      </c>
    </row>
    <row r="371" spans="1:13" s="7" customFormat="1" x14ac:dyDescent="0.25">
      <c r="A371" s="4" t="str">
        <f t="array" ref="A371:A378">R_CODE&amp;" "&amp;'Base data'!$D$11</f>
        <v>EU N2O</v>
      </c>
      <c r="B371" s="20">
        <f t="array" ref="B371:K378">CMAX_INIT_N2O*learnfac_n2o*AUTOFAC</f>
        <v>26943.646763184577</v>
      </c>
      <c r="C371" s="20">
        <v>26553.750262321682</v>
      </c>
      <c r="D371" s="20">
        <v>26171.39405179417</v>
      </c>
      <c r="E371" s="20">
        <v>25794.458642546804</v>
      </c>
      <c r="F371" s="20">
        <v>25422.951630091178</v>
      </c>
      <c r="G371" s="20">
        <v>25056.794845687353</v>
      </c>
      <c r="H371" s="20">
        <v>24342.09204779267</v>
      </c>
      <c r="I371" s="20">
        <v>23646.310026383831</v>
      </c>
      <c r="J371" s="20">
        <v>20466.624230862108</v>
      </c>
      <c r="K371" s="20">
        <v>17704.938200393135</v>
      </c>
      <c r="M371" s="43" t="str">
        <f t="shared" ref="M371:M378" si="22">CURRENCY_NAME&amp;" per "&amp;EMIT_NAME</f>
        <v>$million per Mtonne</v>
      </c>
    </row>
    <row r="372" spans="1:13" s="7" customFormat="1" x14ac:dyDescent="0.25">
      <c r="A372" s="4" t="str">
        <v>US N2O</v>
      </c>
      <c r="B372" s="22">
        <v>26943.646763184577</v>
      </c>
      <c r="C372" s="22">
        <v>26553.750262321682</v>
      </c>
      <c r="D372" s="22">
        <v>26171.39405179417</v>
      </c>
      <c r="E372" s="22">
        <v>25794.458642546804</v>
      </c>
      <c r="F372" s="22">
        <v>25422.951630091178</v>
      </c>
      <c r="G372" s="22">
        <v>25056.794845687353</v>
      </c>
      <c r="H372" s="22">
        <v>24342.09204779267</v>
      </c>
      <c r="I372" s="22">
        <v>23646.310026383831</v>
      </c>
      <c r="J372" s="22">
        <v>20466.624230862108</v>
      </c>
      <c r="K372" s="22">
        <v>17704.938200393135</v>
      </c>
      <c r="M372" s="43" t="str">
        <f t="shared" si="22"/>
        <v>$million per Mtonne</v>
      </c>
    </row>
    <row r="373" spans="1:13" s="7" customFormat="1" x14ac:dyDescent="0.25">
      <c r="A373" s="4" t="str">
        <v>OT N2O</v>
      </c>
      <c r="B373" s="22">
        <v>33230.497665613097</v>
      </c>
      <c r="C373" s="22">
        <v>32749.625314678826</v>
      </c>
      <c r="D373" s="22">
        <v>32278.052655155676</v>
      </c>
      <c r="E373" s="22">
        <v>31813.165650542902</v>
      </c>
      <c r="F373" s="22">
        <v>31354.973668638133</v>
      </c>
      <c r="G373" s="22">
        <v>30903.380301328802</v>
      </c>
      <c r="H373" s="22">
        <v>30021.913517496931</v>
      </c>
      <c r="I373" s="22">
        <v>29163.782357991291</v>
      </c>
      <c r="J373" s="22">
        <v>25242.169877907723</v>
      </c>
      <c r="K373" s="22">
        <v>21836.090441249886</v>
      </c>
      <c r="M373" s="43" t="str">
        <f t="shared" si="22"/>
        <v>$million per Mtonne</v>
      </c>
    </row>
    <row r="374" spans="1:13" s="7" customFormat="1" x14ac:dyDescent="0.25">
      <c r="A374" s="4" t="str">
        <v>EE N2O</v>
      </c>
      <c r="B374" s="22">
        <v>18860.552734229201</v>
      </c>
      <c r="C374" s="22">
        <v>18587.620370909033</v>
      </c>
      <c r="D374" s="22">
        <v>18319.964773261934</v>
      </c>
      <c r="E374" s="22">
        <v>18056.108250383539</v>
      </c>
      <c r="F374" s="22">
        <v>17796.035591738899</v>
      </c>
      <c r="G374" s="22">
        <v>17539.692794250019</v>
      </c>
      <c r="H374" s="22">
        <v>17039.360910766107</v>
      </c>
      <c r="I374" s="22">
        <v>16552.278313191408</v>
      </c>
      <c r="J374" s="22">
        <v>14326.365570058972</v>
      </c>
      <c r="K374" s="22">
        <v>12393.005256088478</v>
      </c>
      <c r="M374" s="43" t="str">
        <f t="shared" si="22"/>
        <v>$million per Mtonne</v>
      </c>
    </row>
    <row r="375" spans="1:13" s="7" customFormat="1" x14ac:dyDescent="0.25">
      <c r="A375" s="4" t="str">
        <v>CA N2O</v>
      </c>
      <c r="B375" s="22">
        <v>26943.646763184577</v>
      </c>
      <c r="C375" s="22">
        <v>26553.741543309214</v>
      </c>
      <c r="D375" s="22">
        <v>26171.374009397863</v>
      </c>
      <c r="E375" s="22">
        <v>25794.453076680282</v>
      </c>
      <c r="F375" s="22">
        <v>25422.880123272498</v>
      </c>
      <c r="G375" s="22">
        <v>25056.580557312067</v>
      </c>
      <c r="H375" s="22">
        <v>24341.624581300857</v>
      </c>
      <c r="I375" s="22">
        <v>23645.402352138237</v>
      </c>
      <c r="J375" s="22">
        <v>20464.386010644856</v>
      </c>
      <c r="K375" s="22">
        <v>17700.922583365631</v>
      </c>
      <c r="M375" s="43" t="str">
        <f t="shared" si="22"/>
        <v>$million per Mtonne</v>
      </c>
    </row>
    <row r="376" spans="1:13" s="7" customFormat="1" x14ac:dyDescent="0.25">
      <c r="A376" s="4" t="str">
        <v>IA N2O</v>
      </c>
      <c r="B376" s="22">
        <v>33230.497665613097</v>
      </c>
      <c r="C376" s="22">
        <v>32749.614561230112</v>
      </c>
      <c r="D376" s="22">
        <v>32278.02793620024</v>
      </c>
      <c r="E376" s="22">
        <v>31813.158785974192</v>
      </c>
      <c r="F376" s="22">
        <v>31354.885476895121</v>
      </c>
      <c r="G376" s="22">
        <v>30903.116012332688</v>
      </c>
      <c r="H376" s="22">
        <v>30021.336975490514</v>
      </c>
      <c r="I376" s="22">
        <v>29162.662893088691</v>
      </c>
      <c r="J376" s="22">
        <v>25239.40940630719</v>
      </c>
      <c r="K376" s="22">
        <v>21831.137846917307</v>
      </c>
      <c r="M376" s="43" t="str">
        <f t="shared" si="22"/>
        <v>$million per Mtonne</v>
      </c>
    </row>
    <row r="377" spans="1:13" s="7" customFormat="1" x14ac:dyDescent="0.25">
      <c r="A377" s="4" t="str">
        <v>AF N2O</v>
      </c>
      <c r="B377" s="22">
        <v>33230.497665613097</v>
      </c>
      <c r="C377" s="22">
        <v>32749.624571340155</v>
      </c>
      <c r="D377" s="22">
        <v>32278.050946441439</v>
      </c>
      <c r="E377" s="22">
        <v>31813.199418092674</v>
      </c>
      <c r="F377" s="22">
        <v>31354.961411905475</v>
      </c>
      <c r="G377" s="22">
        <v>30903.244129842991</v>
      </c>
      <c r="H377" s="22">
        <v>30021.507924001071</v>
      </c>
      <c r="I377" s="22">
        <v>29162.815222451303</v>
      </c>
      <c r="J377" s="22">
        <v>25239.44680305733</v>
      </c>
      <c r="K377" s="22">
        <v>21831.035047556521</v>
      </c>
      <c r="M377" s="43" t="str">
        <f t="shared" si="22"/>
        <v>$million per Mtonne</v>
      </c>
    </row>
    <row r="378" spans="1:13" s="7" customFormat="1" ht="13" thickBot="1" x14ac:dyDescent="0.3">
      <c r="A378" s="4" t="str">
        <v>LA N2O</v>
      </c>
      <c r="B378" s="24">
        <v>18860.552734229201</v>
      </c>
      <c r="C378" s="24">
        <v>18587.624761730258</v>
      </c>
      <c r="D378" s="24">
        <v>18319.974866445133</v>
      </c>
      <c r="E378" s="24">
        <v>18056.140215148847</v>
      </c>
      <c r="F378" s="24">
        <v>17796.059184539878</v>
      </c>
      <c r="G378" s="24">
        <v>17539.67910546215</v>
      </c>
      <c r="H378" s="24">
        <v>17039.234231740938</v>
      </c>
      <c r="I378" s="24">
        <v>16551.868103702596</v>
      </c>
      <c r="J378" s="24">
        <v>14325.091432633912</v>
      </c>
      <c r="K378" s="24">
        <v>12390.587462772779</v>
      </c>
      <c r="M378" s="43" t="str">
        <f t="shared" si="22"/>
        <v>$million per Mtonne</v>
      </c>
    </row>
    <row r="379" spans="1:13" s="2" customFormat="1" ht="15.5" thickTop="1" x14ac:dyDescent="0.4">
      <c r="A379" s="2" t="s">
        <v>381</v>
      </c>
      <c r="B379" s="2" t="s">
        <v>385</v>
      </c>
    </row>
    <row r="380" spans="1:13" s="7" customFormat="1" x14ac:dyDescent="0.25">
      <c r="A380" s="4" t="str">
        <f t="array" ref="A380:A387">R_CODE&amp;" "&amp;GLIN_NAME</f>
        <v>EU Lin</v>
      </c>
      <c r="B380" s="20">
        <f t="array" ref="B380:K387">CMAX_INIT_GLIN*learnfac_glin*AUTOFAC</f>
        <v>328.58105809482953</v>
      </c>
      <c r="C380" s="20">
        <v>323.89457231704904</v>
      </c>
      <c r="D380" s="20">
        <v>319.27551738367515</v>
      </c>
      <c r="E380" s="20">
        <v>314.72183473553713</v>
      </c>
      <c r="F380" s="20">
        <v>310.23207024959493</v>
      </c>
      <c r="G380" s="20">
        <v>305.80534173740836</v>
      </c>
      <c r="H380" s="20">
        <v>297.14113185666628</v>
      </c>
      <c r="I380" s="20">
        <v>288.71887537361789</v>
      </c>
      <c r="J380" s="20">
        <v>250.0745603972355</v>
      </c>
      <c r="K380" s="20">
        <v>216.58826121414393</v>
      </c>
      <c r="M380" s="43" t="str">
        <f t="shared" ref="M380:M387" si="23">CURRENCY_NAME&amp;" per "&amp;EMIT_NAME</f>
        <v>$million per Mtonne</v>
      </c>
    </row>
    <row r="381" spans="1:13" s="7" customFormat="1" x14ac:dyDescent="0.25">
      <c r="A381" s="4" t="str">
        <v>US Lin</v>
      </c>
      <c r="B381" s="22">
        <v>328.58105809482953</v>
      </c>
      <c r="C381" s="22">
        <v>323.89457231704904</v>
      </c>
      <c r="D381" s="22">
        <v>319.27551738367515</v>
      </c>
      <c r="E381" s="22">
        <v>314.72183473553713</v>
      </c>
      <c r="F381" s="22">
        <v>310.23207024959493</v>
      </c>
      <c r="G381" s="22">
        <v>305.80534173740836</v>
      </c>
      <c r="H381" s="22">
        <v>297.14113185666628</v>
      </c>
      <c r="I381" s="22">
        <v>288.71887537361789</v>
      </c>
      <c r="J381" s="22">
        <v>250.0745603972355</v>
      </c>
      <c r="K381" s="22">
        <v>216.58826121414393</v>
      </c>
      <c r="M381" s="43" t="str">
        <f t="shared" si="23"/>
        <v>$million per Mtonne</v>
      </c>
    </row>
    <row r="382" spans="1:13" s="7" customFormat="1" x14ac:dyDescent="0.25">
      <c r="A382" s="4" t="str">
        <v>OT Lin</v>
      </c>
      <c r="B382" s="22">
        <v>405.24997154076277</v>
      </c>
      <c r="C382" s="22">
        <v>399.46997241639559</v>
      </c>
      <c r="D382" s="22">
        <v>393.77313800010756</v>
      </c>
      <c r="E382" s="22">
        <v>388.15692940225523</v>
      </c>
      <c r="F382" s="22">
        <v>382.61955320442308</v>
      </c>
      <c r="G382" s="22">
        <v>377.15992137420193</v>
      </c>
      <c r="H382" s="22">
        <v>366.47406252417466</v>
      </c>
      <c r="I382" s="22">
        <v>356.08661286455578</v>
      </c>
      <c r="J382" s="22">
        <v>308.42529107323224</v>
      </c>
      <c r="K382" s="22">
        <v>267.12552209191477</v>
      </c>
      <c r="M382" s="43" t="str">
        <f t="shared" si="23"/>
        <v>$million per Mtonne</v>
      </c>
    </row>
    <row r="383" spans="1:13" s="7" customFormat="1" x14ac:dyDescent="0.25">
      <c r="A383" s="4" t="str">
        <v>EE Lin</v>
      </c>
      <c r="B383" s="22">
        <v>230.00674066638064</v>
      </c>
      <c r="C383" s="22">
        <v>226.72619916351215</v>
      </c>
      <c r="D383" s="22">
        <v>223.49285881416154</v>
      </c>
      <c r="E383" s="22">
        <v>220.30503335678492</v>
      </c>
      <c r="F383" s="22">
        <v>217.16173871289257</v>
      </c>
      <c r="G383" s="22">
        <v>214.06236661320943</v>
      </c>
      <c r="H383" s="22">
        <v>207.99644467113367</v>
      </c>
      <c r="I383" s="22">
        <v>202.09962746789193</v>
      </c>
      <c r="J383" s="22">
        <v>175.04627819653862</v>
      </c>
      <c r="K383" s="22">
        <v>151.60261011675789</v>
      </c>
      <c r="M383" s="43" t="str">
        <f t="shared" si="23"/>
        <v>$million per Mtonne</v>
      </c>
    </row>
    <row r="384" spans="1:13" s="7" customFormat="1" x14ac:dyDescent="0.25">
      <c r="A384" s="4" t="str">
        <v>CA Lin</v>
      </c>
      <c r="B384" s="22">
        <v>328.58105809482953</v>
      </c>
      <c r="C384" s="22">
        <v>323.89455347886337</v>
      </c>
      <c r="D384" s="22">
        <v>319.27547405533556</v>
      </c>
      <c r="E384" s="22">
        <v>314.72123455896963</v>
      </c>
      <c r="F384" s="22">
        <v>310.23007633446429</v>
      </c>
      <c r="G384" s="22">
        <v>305.80115352500013</v>
      </c>
      <c r="H384" s="22">
        <v>297.13246516077459</v>
      </c>
      <c r="I384" s="22">
        <v>288.7030933143285</v>
      </c>
      <c r="J384" s="22">
        <v>250.04346539514324</v>
      </c>
      <c r="K384" s="22">
        <v>216.53620709268674</v>
      </c>
      <c r="M384" s="43" t="str">
        <f t="shared" si="23"/>
        <v>$million per Mtonne</v>
      </c>
    </row>
    <row r="385" spans="1:13" s="7" customFormat="1" x14ac:dyDescent="0.25">
      <c r="A385" s="4" t="str">
        <v>IA Lin</v>
      </c>
      <c r="B385" s="22">
        <v>405.24997154076277</v>
      </c>
      <c r="C385" s="22">
        <v>399.46994918263334</v>
      </c>
      <c r="D385" s="22">
        <v>393.77308456182203</v>
      </c>
      <c r="E385" s="22">
        <v>388.15618918448877</v>
      </c>
      <c r="F385" s="22">
        <v>382.6170940424293</v>
      </c>
      <c r="G385" s="22">
        <v>377.15475591223316</v>
      </c>
      <c r="H385" s="22">
        <v>366.46337359924451</v>
      </c>
      <c r="I385" s="22">
        <v>356.06714832477076</v>
      </c>
      <c r="J385" s="22">
        <v>308.38694057066215</v>
      </c>
      <c r="K385" s="22">
        <v>267.0613220088016</v>
      </c>
      <c r="M385" s="43" t="str">
        <f t="shared" si="23"/>
        <v>$million per Mtonne</v>
      </c>
    </row>
    <row r="386" spans="1:13" s="7" customFormat="1" x14ac:dyDescent="0.25">
      <c r="A386" s="4" t="str">
        <v>AF Lin</v>
      </c>
      <c r="B386" s="22">
        <v>405.24997154076277</v>
      </c>
      <c r="C386" s="22">
        <v>399.46993942173253</v>
      </c>
      <c r="D386" s="22">
        <v>393.77306211148971</v>
      </c>
      <c r="E386" s="22">
        <v>388.15615826560531</v>
      </c>
      <c r="F386" s="22">
        <v>382.6169308153012</v>
      </c>
      <c r="G386" s="22">
        <v>377.15434186993377</v>
      </c>
      <c r="H386" s="22">
        <v>366.46319933492049</v>
      </c>
      <c r="I386" s="22">
        <v>356.06790557399773</v>
      </c>
      <c r="J386" s="22">
        <v>308.38942330448924</v>
      </c>
      <c r="K386" s="22">
        <v>267.06610521277952</v>
      </c>
      <c r="M386" s="43" t="str">
        <f t="shared" si="23"/>
        <v>$million per Mtonne</v>
      </c>
    </row>
    <row r="387" spans="1:13" s="7" customFormat="1" ht="13" thickBot="1" x14ac:dyDescent="0.3">
      <c r="A387" s="4" t="str">
        <v>LA Lin</v>
      </c>
      <c r="B387" s="24">
        <v>230.00674066638064</v>
      </c>
      <c r="C387" s="24">
        <v>226.72618189523359</v>
      </c>
      <c r="D387" s="24">
        <v>223.49281909665436</v>
      </c>
      <c r="E387" s="24">
        <v>220.30484664272319</v>
      </c>
      <c r="F387" s="24">
        <v>217.16096079170092</v>
      </c>
      <c r="G387" s="24">
        <v>214.06057247051928</v>
      </c>
      <c r="H387" s="24">
        <v>207.99262670576366</v>
      </c>
      <c r="I387" s="24">
        <v>202.09259511013181</v>
      </c>
      <c r="J387" s="24">
        <v>175.03183489579976</v>
      </c>
      <c r="K387" s="24">
        <v>151.57805975632837</v>
      </c>
      <c r="M387" s="43" t="str">
        <f t="shared" si="23"/>
        <v>$million per Mtonne</v>
      </c>
    </row>
    <row r="388" spans="1:13" s="2" customFormat="1" ht="15.5" thickTop="1" x14ac:dyDescent="0.4">
      <c r="A388" s="2" t="s">
        <v>387</v>
      </c>
      <c r="B388" s="2" t="s">
        <v>388</v>
      </c>
    </row>
    <row r="389" spans="1:13" s="6" customFormat="1" x14ac:dyDescent="0.25">
      <c r="A389" s="4" t="str">
        <f t="array" ref="A389:A396">R_CODE&amp;" "&amp;'Base data'!$B$11</f>
        <v>EU CO2</v>
      </c>
      <c r="B389" s="45">
        <f t="array" ref="B389:K396">IF(Q0_CO2=0,0,-2*LN((1+CURVE_BELOW)/(1-CURVE_BELOW))/Q0_CO2)</f>
        <v>-2.4124650279668037E-3</v>
      </c>
      <c r="C389" s="45">
        <v>-2.4128122027773048E-3</v>
      </c>
      <c r="D389" s="45">
        <v>-2.370078709951809E-3</v>
      </c>
      <c r="E389" s="45">
        <v>-2.4316838676164579E-3</v>
      </c>
      <c r="F389" s="45">
        <v>-2.4957392628376287E-3</v>
      </c>
      <c r="G389" s="45">
        <v>-2.6515846308435664E-3</v>
      </c>
      <c r="H389" s="45">
        <v>-3.1493033482705595E-3</v>
      </c>
      <c r="I389" s="45">
        <v>-3.8296648764041476E-3</v>
      </c>
      <c r="J389" s="45">
        <v>-4.1350277057940147E-3</v>
      </c>
      <c r="K389" s="45">
        <v>-4.4678330664558365E-3</v>
      </c>
      <c r="M389" s="4" t="str">
        <f t="shared" ref="M389:M396" si="24">"per "&amp;EMIT_NAME</f>
        <v>per Mtonne</v>
      </c>
    </row>
    <row r="390" spans="1:13" s="6" customFormat="1" x14ac:dyDescent="0.25">
      <c r="A390" s="4" t="str">
        <v>US CO2</v>
      </c>
      <c r="B390" s="46">
        <v>-1.0260843811317473E-3</v>
      </c>
      <c r="C390" s="46">
        <v>-1.0262320436455858E-3</v>
      </c>
      <c r="D390" s="46">
        <v>-1.008056373104819E-3</v>
      </c>
      <c r="E390" s="46">
        <v>-1.034258655560341E-3</v>
      </c>
      <c r="F390" s="46">
        <v>-1.0615030880398691E-3</v>
      </c>
      <c r="G390" s="46">
        <v>-1.1277881931621566E-3</v>
      </c>
      <c r="H390" s="46">
        <v>-1.3394809622710941E-3</v>
      </c>
      <c r="I390" s="46">
        <v>-1.6288564887338174E-3</v>
      </c>
      <c r="J390" s="46">
        <v>-1.7587352750303431E-3</v>
      </c>
      <c r="K390" s="46">
        <v>-1.9002860865750862E-3</v>
      </c>
      <c r="M390" s="4" t="str">
        <f t="shared" si="24"/>
        <v>per Mtonne</v>
      </c>
    </row>
    <row r="391" spans="1:13" s="6" customFormat="1" x14ac:dyDescent="0.25">
      <c r="A391" s="4" t="str">
        <v>OT CO2</v>
      </c>
      <c r="B391" s="46">
        <v>-6.5742047605081505E-3</v>
      </c>
      <c r="C391" s="46">
        <v>-6.5751508460536266E-3</v>
      </c>
      <c r="D391" s="46">
        <v>-6.4586978700686077E-3</v>
      </c>
      <c r="E391" s="46">
        <v>-6.6265779910634065E-3</v>
      </c>
      <c r="F391" s="46">
        <v>-6.8011352506785489E-3</v>
      </c>
      <c r="G391" s="46">
        <v>-7.2258292248379447E-3</v>
      </c>
      <c r="H391" s="46">
        <v>-8.5821617409864749E-3</v>
      </c>
      <c r="I391" s="46">
        <v>-1.0436213901440831E-2</v>
      </c>
      <c r="J391" s="46">
        <v>-1.1268357681095544E-2</v>
      </c>
      <c r="K391" s="46">
        <v>-1.2175285060776376E-2</v>
      </c>
      <c r="M391" s="4" t="str">
        <f t="shared" si="24"/>
        <v>per Mtonne</v>
      </c>
    </row>
    <row r="392" spans="1:13" s="6" customFormat="1" x14ac:dyDescent="0.25">
      <c r="A392" s="4" t="str">
        <v>EE CO2</v>
      </c>
      <c r="B392" s="46">
        <v>-6.953801128927144E-3</v>
      </c>
      <c r="C392" s="46">
        <v>-6.8185769472234288E-3</v>
      </c>
      <c r="D392" s="46">
        <v>-7.4850418287695153E-3</v>
      </c>
      <c r="E392" s="46">
        <v>-7.6882267735248217E-3</v>
      </c>
      <c r="F392" s="46">
        <v>-7.8999544372979659E-3</v>
      </c>
      <c r="G392" s="46">
        <v>-8.452427200995016E-3</v>
      </c>
      <c r="H392" s="46">
        <v>-1.0206916808042272E-2</v>
      </c>
      <c r="I392" s="46">
        <v>-1.2081353243694996E-2</v>
      </c>
      <c r="J392" s="46">
        <v>-1.3044674142106643E-2</v>
      </c>
      <c r="K392" s="46">
        <v>-1.4094567345118712E-2</v>
      </c>
      <c r="M392" s="4" t="str">
        <f t="shared" si="24"/>
        <v>per Mtonne</v>
      </c>
    </row>
    <row r="393" spans="1:13" s="6" customFormat="1" x14ac:dyDescent="0.25">
      <c r="A393" s="4" t="str">
        <v>CA CO2</v>
      </c>
      <c r="B393" s="46">
        <v>-6.1119754489332495E-3</v>
      </c>
      <c r="C393" s="46">
        <v>-5.9280988482161567E-3</v>
      </c>
      <c r="D393" s="46">
        <v>-4.6720658782005309E-3</v>
      </c>
      <c r="E393" s="46">
        <v>-3.9952109182072263E-3</v>
      </c>
      <c r="F393" s="46">
        <v>-3.4965193585243834E-3</v>
      </c>
      <c r="G393" s="46">
        <v>-3.406351196650571E-3</v>
      </c>
      <c r="H393" s="46">
        <v>-3.3603832631438632E-3</v>
      </c>
      <c r="I393" s="46">
        <v>-3.7496604985732319E-3</v>
      </c>
      <c r="J393" s="46">
        <v>-4.0486440848787912E-3</v>
      </c>
      <c r="K393" s="46">
        <v>-4.3744969087840431E-3</v>
      </c>
      <c r="M393" s="4" t="str">
        <f t="shared" si="24"/>
        <v>per Mtonne</v>
      </c>
    </row>
    <row r="394" spans="1:13" s="6" customFormat="1" x14ac:dyDescent="0.25">
      <c r="A394" s="4" t="str">
        <v>IA CO2</v>
      </c>
      <c r="B394" s="46">
        <v>-3.7175521043217282E-3</v>
      </c>
      <c r="C394" s="46">
        <v>-3.605710875631803E-3</v>
      </c>
      <c r="D394" s="46">
        <v>-2.8417405276170665E-3</v>
      </c>
      <c r="E394" s="46">
        <v>-2.4300498063654159E-3</v>
      </c>
      <c r="F394" s="46">
        <v>-2.1267253129023389E-3</v>
      </c>
      <c r="G394" s="46">
        <v>-2.0718813687933481E-3</v>
      </c>
      <c r="H394" s="46">
        <v>-2.0439218016506163E-3</v>
      </c>
      <c r="I394" s="46">
        <v>-2.2806960521079829E-3</v>
      </c>
      <c r="J394" s="46">
        <v>-2.462550032006067E-3</v>
      </c>
      <c r="K394" s="46">
        <v>-2.6607469752577897E-3</v>
      </c>
      <c r="M394" s="4" t="str">
        <f t="shared" si="24"/>
        <v>per Mtonne</v>
      </c>
    </row>
    <row r="395" spans="1:13" s="6" customFormat="1" x14ac:dyDescent="0.25">
      <c r="A395" s="4" t="str">
        <v>AF CO2</v>
      </c>
      <c r="B395" s="46">
        <v>-6.6312861775308634E-3</v>
      </c>
      <c r="C395" s="46">
        <v>-6.4306088528642714E-3</v>
      </c>
      <c r="D395" s="46">
        <v>-4.9966525996545125E-3</v>
      </c>
      <c r="E395" s="46">
        <v>-4.2517748629780864E-3</v>
      </c>
      <c r="F395" s="46">
        <v>-3.7076270850640186E-3</v>
      </c>
      <c r="G395" s="46">
        <v>-3.4854493651842872E-3</v>
      </c>
      <c r="H395" s="46">
        <v>-3.4295908306023683E-3</v>
      </c>
      <c r="I395" s="46">
        <v>-4.0295536867962231E-3</v>
      </c>
      <c r="J395" s="46">
        <v>-4.3508548853840824E-3</v>
      </c>
      <c r="K395" s="46">
        <v>-4.701030974237989E-3</v>
      </c>
      <c r="M395" s="4" t="str">
        <f t="shared" si="24"/>
        <v>per Mtonne</v>
      </c>
    </row>
    <row r="396" spans="1:13" s="6" customFormat="1" ht="13" thickBot="1" x14ac:dyDescent="0.3">
      <c r="A396" s="4" t="str">
        <v>LA CO2</v>
      </c>
      <c r="B396" s="47">
        <v>-7.7742985692803718E-3</v>
      </c>
      <c r="C396" s="47">
        <v>-7.5390311722362286E-3</v>
      </c>
      <c r="D396" s="47">
        <v>-5.8579087249027622E-3</v>
      </c>
      <c r="E396" s="47">
        <v>-4.9846389296473613E-3</v>
      </c>
      <c r="F396" s="47">
        <v>-4.3466982378931119E-3</v>
      </c>
      <c r="G396" s="47">
        <v>-4.086224495161335E-3</v>
      </c>
      <c r="H396" s="47">
        <v>-4.0207378137157744E-3</v>
      </c>
      <c r="I396" s="47">
        <v>-4.7241142401974901E-3</v>
      </c>
      <c r="J396" s="47">
        <v>-5.100797040730725E-3</v>
      </c>
      <c r="K396" s="47">
        <v>-5.5113317987988495E-3</v>
      </c>
      <c r="M396" s="4" t="str">
        <f t="shared" si="24"/>
        <v>per Mtonne</v>
      </c>
    </row>
    <row r="397" spans="1:13" s="2" customFormat="1" ht="15.5" thickTop="1" x14ac:dyDescent="0.4">
      <c r="A397" s="2" t="s">
        <v>387</v>
      </c>
      <c r="B397" s="2" t="s">
        <v>389</v>
      </c>
    </row>
    <row r="398" spans="1:13" s="7" customFormat="1" x14ac:dyDescent="0.25">
      <c r="A398" s="4" t="str">
        <f t="array" ref="A398:A405">R_CODE&amp;" "&amp;'Base data'!$C$11</f>
        <v>EU CH4</v>
      </c>
      <c r="B398" s="39">
        <f t="array" ref="B398:K405">IF(Q0_CH4=0,0,-2*LN((1+CURVE_BELOW)/(1-CURVE_BELOW))/Q0_CH4)</f>
        <v>-22090.390144956444</v>
      </c>
      <c r="C398" s="39">
        <v>-22210.932856153573</v>
      </c>
      <c r="D398" s="39">
        <v>-22975.800487420907</v>
      </c>
      <c r="E398" s="39">
        <v>-24957.276359575124</v>
      </c>
      <c r="F398" s="39">
        <v>-27303.182405372467</v>
      </c>
      <c r="G398" s="39">
        <v>-29609.918372372646</v>
      </c>
      <c r="H398" s="39">
        <v>-34407.265346578039</v>
      </c>
      <c r="I398" s="39">
        <v>-38011.424321578226</v>
      </c>
      <c r="J398" s="39">
        <v>-39140.735705037339</v>
      </c>
      <c r="K398" s="39">
        <v>-40510.283812528796</v>
      </c>
      <c r="M398" s="4" t="str">
        <f t="shared" ref="M398:M405" si="25">"per "&amp;EMIT_NAME</f>
        <v>per Mtonne</v>
      </c>
    </row>
    <row r="399" spans="1:13" s="7" customFormat="1" x14ac:dyDescent="0.25">
      <c r="A399" s="4" t="str">
        <v>US CH4</v>
      </c>
      <c r="B399" s="35">
        <v>-20391.129370849376</v>
      </c>
      <c r="C399" s="35">
        <v>-20502.399565834807</v>
      </c>
      <c r="D399" s="35">
        <v>-21208.431225683431</v>
      </c>
      <c r="E399" s="35">
        <v>-23037.485877465497</v>
      </c>
      <c r="F399" s="35">
        <v>-25202.937612713955</v>
      </c>
      <c r="G399" s="35">
        <v>-27332.232352138515</v>
      </c>
      <c r="H399" s="35">
        <v>-31760.552637382971</v>
      </c>
      <c r="I399" s="35">
        <v>-35087.468615329897</v>
      </c>
      <c r="J399" s="35">
        <v>-36129.909892689837</v>
      </c>
      <c r="K399" s="35">
        <v>-37394.108146147846</v>
      </c>
      <c r="M399" s="4" t="str">
        <f t="shared" si="25"/>
        <v>per Mtonne</v>
      </c>
    </row>
    <row r="400" spans="1:13" s="7" customFormat="1" x14ac:dyDescent="0.25">
      <c r="A400" s="4" t="str">
        <v>OT CH4</v>
      </c>
      <c r="B400" s="35">
        <v>-22090.390144956444</v>
      </c>
      <c r="C400" s="35">
        <v>-22210.932856153573</v>
      </c>
      <c r="D400" s="35">
        <v>-22975.800487420907</v>
      </c>
      <c r="E400" s="35">
        <v>-24957.276359575124</v>
      </c>
      <c r="F400" s="35">
        <v>-27303.182405372467</v>
      </c>
      <c r="G400" s="35">
        <v>-29609.918372372646</v>
      </c>
      <c r="H400" s="35">
        <v>-34407.265346578039</v>
      </c>
      <c r="I400" s="35">
        <v>-38011.424321578226</v>
      </c>
      <c r="J400" s="35">
        <v>-39140.735705037339</v>
      </c>
      <c r="K400" s="35">
        <v>-40510.283812528796</v>
      </c>
      <c r="M400" s="4" t="str">
        <f t="shared" si="25"/>
        <v>per Mtonne</v>
      </c>
    </row>
    <row r="401" spans="1:13" s="7" customFormat="1" x14ac:dyDescent="0.25">
      <c r="A401" s="4" t="str">
        <v>EE CH4</v>
      </c>
      <c r="B401" s="35">
        <v>-30384.759042939684</v>
      </c>
      <c r="C401" s="35">
        <v>-29448.698361341849</v>
      </c>
      <c r="D401" s="35">
        <v>-27867.435074827838</v>
      </c>
      <c r="E401" s="35">
        <v>-30620.626340081195</v>
      </c>
      <c r="F401" s="35">
        <v>-33963.210364005179</v>
      </c>
      <c r="G401" s="35">
        <v>-37641.818005145193</v>
      </c>
      <c r="H401" s="35">
        <v>-44866.543540417646</v>
      </c>
      <c r="I401" s="35">
        <v>-50853.335487372562</v>
      </c>
      <c r="J401" s="35">
        <v>-52364.177337625304</v>
      </c>
      <c r="K401" s="35">
        <v>-54196.418318314412</v>
      </c>
      <c r="M401" s="4" t="str">
        <f t="shared" si="25"/>
        <v>per Mtonne</v>
      </c>
    </row>
    <row r="402" spans="1:13" s="7" customFormat="1" x14ac:dyDescent="0.25">
      <c r="A402" s="4" t="str">
        <v>CA CH4</v>
      </c>
      <c r="B402" s="35">
        <v>-31025.639188409918</v>
      </c>
      <c r="C402" s="35">
        <v>-30674.318278134215</v>
      </c>
      <c r="D402" s="35">
        <v>-26074.465814704134</v>
      </c>
      <c r="E402" s="35">
        <v>-23414.344582632344</v>
      </c>
      <c r="F402" s="35">
        <v>-21257.027931907738</v>
      </c>
      <c r="G402" s="35">
        <v>-22792.964243443603</v>
      </c>
      <c r="H402" s="35">
        <v>-30118.152152298833</v>
      </c>
      <c r="I402" s="35">
        <v>-38587.408190629845</v>
      </c>
      <c r="J402" s="35">
        <v>-39733.831933113084</v>
      </c>
      <c r="K402" s="35">
        <v>-41124.132686207377</v>
      </c>
      <c r="M402" s="4" t="str">
        <f t="shared" si="25"/>
        <v>per Mtonne</v>
      </c>
    </row>
    <row r="403" spans="1:13" s="7" customFormat="1" x14ac:dyDescent="0.25">
      <c r="A403" s="4" t="str">
        <v>IA CH4</v>
      </c>
      <c r="B403" s="35">
        <v>-31025.639188409918</v>
      </c>
      <c r="C403" s="35">
        <v>-30674.318278134215</v>
      </c>
      <c r="D403" s="35">
        <v>-26074.465814704134</v>
      </c>
      <c r="E403" s="35">
        <v>-23414.344582632344</v>
      </c>
      <c r="F403" s="35">
        <v>-21257.027931907738</v>
      </c>
      <c r="G403" s="35">
        <v>-22792.964243443603</v>
      </c>
      <c r="H403" s="35">
        <v>-30118.152152298833</v>
      </c>
      <c r="I403" s="35">
        <v>-38587.408190629845</v>
      </c>
      <c r="J403" s="35">
        <v>-39733.831933113084</v>
      </c>
      <c r="K403" s="35">
        <v>-41124.132686207377</v>
      </c>
      <c r="M403" s="4" t="str">
        <f t="shared" si="25"/>
        <v>per Mtonne</v>
      </c>
    </row>
    <row r="404" spans="1:13" s="7" customFormat="1" x14ac:dyDescent="0.25">
      <c r="A404" s="4" t="str">
        <v>AF CH4</v>
      </c>
      <c r="B404" s="35">
        <v>-31000.729436527152</v>
      </c>
      <c r="C404" s="35">
        <v>-30625.761141883326</v>
      </c>
      <c r="D404" s="35">
        <v>-25412.688384366644</v>
      </c>
      <c r="E404" s="35">
        <v>-23582.22215317862</v>
      </c>
      <c r="F404" s="35">
        <v>-22005.880414058891</v>
      </c>
      <c r="G404" s="35">
        <v>-22222.192161796327</v>
      </c>
      <c r="H404" s="35">
        <v>-24851.842429106378</v>
      </c>
      <c r="I404" s="35">
        <v>-32502.0632271945</v>
      </c>
      <c r="J404" s="35">
        <v>-33467.692656858948</v>
      </c>
      <c r="K404" s="35">
        <v>-34638.738992975916</v>
      </c>
      <c r="M404" s="4" t="str">
        <f t="shared" si="25"/>
        <v>per Mtonne</v>
      </c>
    </row>
    <row r="405" spans="1:13" s="7" customFormat="1" ht="13" thickBot="1" x14ac:dyDescent="0.3">
      <c r="A405" s="4" t="str">
        <v>LA CH4</v>
      </c>
      <c r="B405" s="49">
        <v>-31000.729436527152</v>
      </c>
      <c r="C405" s="49">
        <v>-30625.761141883326</v>
      </c>
      <c r="D405" s="49">
        <v>-25412.688384366644</v>
      </c>
      <c r="E405" s="49">
        <v>-23582.22215317862</v>
      </c>
      <c r="F405" s="49">
        <v>-22005.880414058891</v>
      </c>
      <c r="G405" s="49">
        <v>-22222.192161796327</v>
      </c>
      <c r="H405" s="49">
        <v>-24851.842429106378</v>
      </c>
      <c r="I405" s="49">
        <v>-32502.0632271945</v>
      </c>
      <c r="J405" s="49">
        <v>-33467.692656858948</v>
      </c>
      <c r="K405" s="49">
        <v>-34638.738992975916</v>
      </c>
      <c r="M405" s="4" t="str">
        <f t="shared" si="25"/>
        <v>per Mtonne</v>
      </c>
    </row>
    <row r="406" spans="1:13" s="2" customFormat="1" ht="15.5" thickTop="1" x14ac:dyDescent="0.4">
      <c r="A406" s="2" t="s">
        <v>387</v>
      </c>
      <c r="B406" s="2" t="s">
        <v>390</v>
      </c>
    </row>
    <row r="407" spans="1:13" s="7" customFormat="1" x14ac:dyDescent="0.25">
      <c r="A407" s="4" t="str">
        <f t="array" ref="A407:A414">R_CODE&amp;" "&amp;'Base data'!$D$11</f>
        <v>EU N2O</v>
      </c>
      <c r="B407" s="39">
        <f t="array" ref="B407:K414">IF(Q0_N2O=0,0,-2*LN((1+CURVE_BELOW)/(1-CURVE_BELOW))/Q0_N2O)</f>
        <v>-22237.607659561345</v>
      </c>
      <c r="C407" s="39">
        <v>-22506.236952098909</v>
      </c>
      <c r="D407" s="39">
        <v>-22054.584941941837</v>
      </c>
      <c r="E407" s="39">
        <v>-22742.468719577952</v>
      </c>
      <c r="F407" s="39">
        <v>-23461.748420293832</v>
      </c>
      <c r="G407" s="39">
        <v>-24278.989845056756</v>
      </c>
      <c r="H407" s="39">
        <v>-26391.065263053661</v>
      </c>
      <c r="I407" s="39">
        <v>-28406.2502739591</v>
      </c>
      <c r="J407" s="39">
        <v>-31500.208886860582</v>
      </c>
      <c r="K407" s="39">
        <v>-34931.156007785001</v>
      </c>
      <c r="M407" s="4" t="str">
        <f t="shared" ref="M407:M414" si="26">"per "&amp;EMIT_NAME</f>
        <v>per Mtonne</v>
      </c>
    </row>
    <row r="408" spans="1:13" s="7" customFormat="1" x14ac:dyDescent="0.25">
      <c r="A408" s="4" t="str">
        <v>US N2O</v>
      </c>
      <c r="B408" s="35">
        <v>-20527.022461295717</v>
      </c>
      <c r="C408" s="35">
        <v>-20774.98796217591</v>
      </c>
      <c r="D408" s="35">
        <v>-20358.078414210337</v>
      </c>
      <c r="E408" s="35">
        <v>-20993.048055300587</v>
      </c>
      <c r="F408" s="35">
        <v>-21656.998548473388</v>
      </c>
      <c r="G408" s="35">
        <v>-22411.375248486664</v>
      </c>
      <c r="H408" s="35">
        <v>-24360.983327237529</v>
      </c>
      <c r="I408" s="35">
        <v>-26221.154107107224</v>
      </c>
      <c r="J408" s="35">
        <v>-29077.115904510429</v>
      </c>
      <c r="K408" s="35">
        <v>-32244.144017107432</v>
      </c>
      <c r="M408" s="4" t="str">
        <f t="shared" si="26"/>
        <v>per Mtonne</v>
      </c>
    </row>
    <row r="409" spans="1:13" s="7" customFormat="1" x14ac:dyDescent="0.25">
      <c r="A409" s="4" t="str">
        <v>OT N2O</v>
      </c>
      <c r="B409" s="35">
        <v>-22237.607659561345</v>
      </c>
      <c r="C409" s="35">
        <v>-22506.236952098909</v>
      </c>
      <c r="D409" s="35">
        <v>-22054.584941941837</v>
      </c>
      <c r="E409" s="35">
        <v>-22742.468719577952</v>
      </c>
      <c r="F409" s="35">
        <v>-23461.748420293832</v>
      </c>
      <c r="G409" s="35">
        <v>-24278.989845056756</v>
      </c>
      <c r="H409" s="35">
        <v>-26391.065263053661</v>
      </c>
      <c r="I409" s="35">
        <v>-28406.2502739591</v>
      </c>
      <c r="J409" s="35">
        <v>-31500.208886860582</v>
      </c>
      <c r="K409" s="35">
        <v>-34931.156007785001</v>
      </c>
      <c r="M409" s="4" t="str">
        <f t="shared" si="26"/>
        <v>per Mtonne</v>
      </c>
    </row>
    <row r="410" spans="1:13" s="7" customFormat="1" x14ac:dyDescent="0.25">
      <c r="A410" s="4" t="str">
        <v>EE N2O</v>
      </c>
      <c r="B410" s="35">
        <v>-31654.593860392768</v>
      </c>
      <c r="C410" s="35">
        <v>-31922.630057579296</v>
      </c>
      <c r="D410" s="35">
        <v>-31439.750578330113</v>
      </c>
      <c r="E410" s="35">
        <v>-31828.012223588135</v>
      </c>
      <c r="F410" s="35">
        <v>-32221.189571458279</v>
      </c>
      <c r="G410" s="35">
        <v>-33502.676970440014</v>
      </c>
      <c r="H410" s="35">
        <v>-36726.372868486011</v>
      </c>
      <c r="I410" s="35">
        <v>-38912.011465107986</v>
      </c>
      <c r="J410" s="35">
        <v>-43150.239033220336</v>
      </c>
      <c r="K410" s="35">
        <v>-47850.086863117758</v>
      </c>
      <c r="M410" s="4" t="str">
        <f t="shared" si="26"/>
        <v>per Mtonne</v>
      </c>
    </row>
    <row r="411" spans="1:13" s="7" customFormat="1" x14ac:dyDescent="0.25">
      <c r="A411" s="4" t="str">
        <v>CA N2O</v>
      </c>
      <c r="B411" s="35">
        <v>-31624.317141074858</v>
      </c>
      <c r="C411" s="35">
        <v>-31861.738219250499</v>
      </c>
      <c r="D411" s="35">
        <v>-31860.019226854525</v>
      </c>
      <c r="E411" s="35">
        <v>-30838.750476022116</v>
      </c>
      <c r="F411" s="35">
        <v>-29902.993409302959</v>
      </c>
      <c r="G411" s="35">
        <v>-30073.887578914895</v>
      </c>
      <c r="H411" s="35">
        <v>-30884.486224113771</v>
      </c>
      <c r="I411" s="35">
        <v>-31507.520680711124</v>
      </c>
      <c r="J411" s="35">
        <v>-34939.264189308728</v>
      </c>
      <c r="K411" s="35">
        <v>-38744.787140222492</v>
      </c>
      <c r="M411" s="4" t="str">
        <f t="shared" si="26"/>
        <v>per Mtonne</v>
      </c>
    </row>
    <row r="412" spans="1:13" s="7" customFormat="1" x14ac:dyDescent="0.25">
      <c r="A412" s="4" t="str">
        <v>IA N2O</v>
      </c>
      <c r="B412" s="35">
        <v>-31624.317141074858</v>
      </c>
      <c r="C412" s="35">
        <v>-31861.738219250499</v>
      </c>
      <c r="D412" s="35">
        <v>-31860.019226854525</v>
      </c>
      <c r="E412" s="35">
        <v>-30838.750476022116</v>
      </c>
      <c r="F412" s="35">
        <v>-29902.993409302959</v>
      </c>
      <c r="G412" s="35">
        <v>-30073.887578914895</v>
      </c>
      <c r="H412" s="35">
        <v>-30884.486224113771</v>
      </c>
      <c r="I412" s="35">
        <v>-31507.520680711124</v>
      </c>
      <c r="J412" s="35">
        <v>-34939.264189308728</v>
      </c>
      <c r="K412" s="35">
        <v>-38744.787140222492</v>
      </c>
      <c r="M412" s="4" t="str">
        <f t="shared" si="26"/>
        <v>per Mtonne</v>
      </c>
    </row>
    <row r="413" spans="1:13" s="7" customFormat="1" x14ac:dyDescent="0.25">
      <c r="A413" s="4" t="str">
        <v>AF N2O</v>
      </c>
      <c r="B413" s="35">
        <v>-31758.036027287922</v>
      </c>
      <c r="C413" s="35">
        <v>-32131.548892894327</v>
      </c>
      <c r="D413" s="35">
        <v>-32231.471831265924</v>
      </c>
      <c r="E413" s="35">
        <v>-31545.40449821451</v>
      </c>
      <c r="F413" s="35">
        <v>-30904.31777316051</v>
      </c>
      <c r="G413" s="35">
        <v>-30667.268534464336</v>
      </c>
      <c r="H413" s="35">
        <v>-30749.678259272485</v>
      </c>
      <c r="I413" s="35">
        <v>-31142.35030919225</v>
      </c>
      <c r="J413" s="35">
        <v>-34534.320105834187</v>
      </c>
      <c r="K413" s="35">
        <v>-38295.737262328541</v>
      </c>
      <c r="M413" s="4" t="str">
        <f t="shared" si="26"/>
        <v>per Mtonne</v>
      </c>
    </row>
    <row r="414" spans="1:13" s="7" customFormat="1" ht="13" thickBot="1" x14ac:dyDescent="0.3">
      <c r="A414" s="4" t="str">
        <v>LA N2O</v>
      </c>
      <c r="B414" s="49">
        <v>-31758.036027287922</v>
      </c>
      <c r="C414" s="49">
        <v>-32131.548892894327</v>
      </c>
      <c r="D414" s="49">
        <v>-32231.471831265924</v>
      </c>
      <c r="E414" s="49">
        <v>-31545.40449821451</v>
      </c>
      <c r="F414" s="49">
        <v>-30904.31777316051</v>
      </c>
      <c r="G414" s="49">
        <v>-30667.268534464336</v>
      </c>
      <c r="H414" s="49">
        <v>-30749.678259272485</v>
      </c>
      <c r="I414" s="49">
        <v>-31142.35030919225</v>
      </c>
      <c r="J414" s="49">
        <v>-34534.320105834187</v>
      </c>
      <c r="K414" s="49">
        <v>-38295.737262328541</v>
      </c>
      <c r="M414" s="4" t="str">
        <f t="shared" si="26"/>
        <v>per Mtonne</v>
      </c>
    </row>
    <row r="415" spans="1:13" s="2" customFormat="1" ht="15.5" thickTop="1" x14ac:dyDescent="0.4">
      <c r="A415" s="2" t="s">
        <v>387</v>
      </c>
      <c r="B415" s="2" t="s">
        <v>391</v>
      </c>
    </row>
    <row r="416" spans="1:13" s="7" customFormat="1" x14ac:dyDescent="0.25">
      <c r="A416" s="4" t="str">
        <f t="array" ref="A416:A423">R_CODE&amp;" "&amp;GLIN_NAME</f>
        <v>EU Lin</v>
      </c>
      <c r="B416" s="93">
        <f t="array" ref="B416:K423">IF(Q0_GLIN=0,0,-2*LN((1+CURVE_BELOW)/(1-CURVE_BELOW))/Q0_GLIN)</f>
        <v>-21482.318120724496</v>
      </c>
      <c r="C416" s="93">
        <v>-21025.322859673353</v>
      </c>
      <c r="D416" s="93">
        <v>-23395.297522444402</v>
      </c>
      <c r="E416" s="93">
        <v>-22706.849490272245</v>
      </c>
      <c r="F416" s="93">
        <v>-22072.9416717926</v>
      </c>
      <c r="G416" s="93">
        <v>-21496.249114468916</v>
      </c>
      <c r="H416" s="93">
        <v>-20316.167169978635</v>
      </c>
      <c r="I416" s="93">
        <v>-19291.95707697147</v>
      </c>
      <c r="J416" s="93">
        <v>-21393.202971180181</v>
      </c>
      <c r="K416" s="93">
        <v>-23723.312857274894</v>
      </c>
      <c r="M416" s="4" t="str">
        <f t="shared" ref="M416:M423" si="27">"per "&amp;EMIT_NAME</f>
        <v>per Mtonne</v>
      </c>
    </row>
    <row r="417" spans="1:13" s="7" customFormat="1" x14ac:dyDescent="0.25">
      <c r="A417" s="4" t="str">
        <v>US Lin</v>
      </c>
      <c r="B417" s="94">
        <v>-19829.832117539489</v>
      </c>
      <c r="C417" s="94">
        <v>-19407.990337977859</v>
      </c>
      <c r="D417" s="94">
        <v>-21595.65925813196</v>
      </c>
      <c r="E417" s="94">
        <v>-20960.168766700594</v>
      </c>
      <c r="F417" s="94">
        <v>-20375.02308792395</v>
      </c>
      <c r="G417" s="94">
        <v>-19842.691496384447</v>
      </c>
      <c r="H417" s="94">
        <v>-18753.385085750549</v>
      </c>
      <c r="I417" s="94">
        <v>-17807.960384222275</v>
      </c>
      <c r="J417" s="94">
        <v>-19747.571979473272</v>
      </c>
      <c r="K417" s="94">
        <v>-21898.442644222498</v>
      </c>
      <c r="M417" s="4" t="str">
        <f t="shared" si="27"/>
        <v>per Mtonne</v>
      </c>
    </row>
    <row r="418" spans="1:13" s="7" customFormat="1" x14ac:dyDescent="0.25">
      <c r="A418" s="4" t="str">
        <v>OT Lin</v>
      </c>
      <c r="B418" s="94">
        <v>-21482.318120724496</v>
      </c>
      <c r="C418" s="94">
        <v>-21025.322859673353</v>
      </c>
      <c r="D418" s="94">
        <v>-23395.297522444402</v>
      </c>
      <c r="E418" s="94">
        <v>-22706.849490272245</v>
      </c>
      <c r="F418" s="94">
        <v>-22072.9416717926</v>
      </c>
      <c r="G418" s="94">
        <v>-21496.249114468916</v>
      </c>
      <c r="H418" s="94">
        <v>-20316.167169978635</v>
      </c>
      <c r="I418" s="94">
        <v>-19291.95707697147</v>
      </c>
      <c r="J418" s="94">
        <v>-21393.202971180181</v>
      </c>
      <c r="K418" s="94">
        <v>-23723.312857274894</v>
      </c>
      <c r="M418" s="4" t="str">
        <f t="shared" si="27"/>
        <v>per Mtonne</v>
      </c>
    </row>
    <row r="419" spans="1:13" s="7" customFormat="1" x14ac:dyDescent="0.25">
      <c r="A419" s="4" t="str">
        <v>EE Lin</v>
      </c>
      <c r="B419" s="94">
        <v>-30590.447398516149</v>
      </c>
      <c r="C419" s="94">
        <v>-29849.82112256395</v>
      </c>
      <c r="D419" s="94">
        <v>-17579.670165496431</v>
      </c>
      <c r="E419" s="94">
        <v>-12277.075871077055</v>
      </c>
      <c r="F419" s="94">
        <v>-9477.7796500309378</v>
      </c>
      <c r="G419" s="94">
        <v>-9246.2772621465047</v>
      </c>
      <c r="H419" s="94">
        <v>-9260.5110114605977</v>
      </c>
      <c r="I419" s="94">
        <v>-10415.785878704317</v>
      </c>
      <c r="J419" s="94">
        <v>-11550.254881784867</v>
      </c>
      <c r="K419" s="94">
        <v>-12808.288245148773</v>
      </c>
      <c r="M419" s="4" t="str">
        <f t="shared" si="27"/>
        <v>per Mtonne</v>
      </c>
    </row>
    <row r="420" spans="1:13" s="7" customFormat="1" x14ac:dyDescent="0.25">
      <c r="A420" s="4" t="str">
        <v>CA Lin</v>
      </c>
      <c r="B420" s="94">
        <v>-29820.145485061174</v>
      </c>
      <c r="C420" s="94">
        <v>-28431.274872017919</v>
      </c>
      <c r="D420" s="94">
        <v>-13810.816959972506</v>
      </c>
      <c r="E420" s="94">
        <v>-7239.0786229623336</v>
      </c>
      <c r="F420" s="94">
        <v>-4937.9926336983426</v>
      </c>
      <c r="G420" s="94">
        <v>-3670.0953254877659</v>
      </c>
      <c r="H420" s="94">
        <v>-3077.1654836373659</v>
      </c>
      <c r="I420" s="94">
        <v>-3381.8158633318794</v>
      </c>
      <c r="J420" s="94">
        <v>-3750.1572747005771</v>
      </c>
      <c r="K420" s="94">
        <v>-4158.6177820851672</v>
      </c>
      <c r="M420" s="4" t="str">
        <f t="shared" si="27"/>
        <v>per Mtonne</v>
      </c>
    </row>
    <row r="421" spans="1:13" s="7" customFormat="1" x14ac:dyDescent="0.25">
      <c r="A421" s="4" t="str">
        <v>IA Lin</v>
      </c>
      <c r="B421" s="94">
        <v>-29820.145485061174</v>
      </c>
      <c r="C421" s="94">
        <v>-28431.274872017919</v>
      </c>
      <c r="D421" s="94">
        <v>-13810.816959972506</v>
      </c>
      <c r="E421" s="94">
        <v>-7239.0786229623336</v>
      </c>
      <c r="F421" s="94">
        <v>-4937.9926336983426</v>
      </c>
      <c r="G421" s="94">
        <v>-3670.0953254877659</v>
      </c>
      <c r="H421" s="94">
        <v>-3077.1654836373659</v>
      </c>
      <c r="I421" s="94">
        <v>-3381.8158633318794</v>
      </c>
      <c r="J421" s="94">
        <v>-3750.1572747005771</v>
      </c>
      <c r="K421" s="94">
        <v>-4158.6177820851672</v>
      </c>
      <c r="M421" s="4" t="str">
        <f t="shared" si="27"/>
        <v>per Mtonne</v>
      </c>
    </row>
    <row r="422" spans="1:13" s="7" customFormat="1" x14ac:dyDescent="0.25">
      <c r="A422" s="4" t="str">
        <v>AF Lin</v>
      </c>
      <c r="B422" s="94">
        <v>-29469.618195019353</v>
      </c>
      <c r="C422" s="94">
        <v>-27807.067158299094</v>
      </c>
      <c r="D422" s="94">
        <v>-13707.991483388489</v>
      </c>
      <c r="E422" s="94">
        <v>-6831.7225550573294</v>
      </c>
      <c r="F422" s="94">
        <v>-4581.1948077487104</v>
      </c>
      <c r="G422" s="94">
        <v>-3804.8044382286894</v>
      </c>
      <c r="H422" s="94">
        <v>-3386.0776105568821</v>
      </c>
      <c r="I422" s="94">
        <v>-3654.358774123677</v>
      </c>
      <c r="J422" s="94">
        <v>-4052.3850780106445</v>
      </c>
      <c r="K422" s="94">
        <v>-4493.7637039815045</v>
      </c>
      <c r="M422" s="4" t="str">
        <f t="shared" si="27"/>
        <v>per Mtonne</v>
      </c>
    </row>
    <row r="423" spans="1:13" s="7" customFormat="1" ht="13" thickBot="1" x14ac:dyDescent="0.3">
      <c r="A423" s="4" t="str">
        <v>LA Lin</v>
      </c>
      <c r="B423" s="95">
        <v>-29469.618195019353</v>
      </c>
      <c r="C423" s="95">
        <v>-27807.067158299094</v>
      </c>
      <c r="D423" s="95">
        <v>-13707.991483388489</v>
      </c>
      <c r="E423" s="95">
        <v>-6831.7225550573294</v>
      </c>
      <c r="F423" s="95">
        <v>-4581.1948077487104</v>
      </c>
      <c r="G423" s="95">
        <v>-3804.8044382286894</v>
      </c>
      <c r="H423" s="95">
        <v>-3386.0776105568821</v>
      </c>
      <c r="I423" s="95">
        <v>-3654.358774123677</v>
      </c>
      <c r="J423" s="95">
        <v>-4052.3850780106445</v>
      </c>
      <c r="K423" s="95">
        <v>-4493.7637039815045</v>
      </c>
      <c r="M423" s="4" t="str">
        <f t="shared" si="27"/>
        <v>per Mtonne</v>
      </c>
    </row>
    <row r="424" spans="1:13" s="2" customFormat="1" ht="15.5" thickTop="1" x14ac:dyDescent="0.4">
      <c r="A424" s="2" t="s">
        <v>386</v>
      </c>
      <c r="B424" s="2" t="s">
        <v>392</v>
      </c>
    </row>
    <row r="425" spans="1:13" s="6" customFormat="1" x14ac:dyDescent="0.25">
      <c r="A425" s="4" t="str">
        <f t="array" ref="A425:A432">R_CODE&amp;" "&amp;'Base data'!$B$11</f>
        <v>EU CO2</v>
      </c>
      <c r="B425" s="45">
        <f t="array" ref="B425:K432">IF(Q0_CO2=0,0,C0_CO2/(EXP(-BLO_CO2*Q0_CO2)-1))</f>
        <v>-28.989947133630231</v>
      </c>
      <c r="C425" s="45">
        <v>-28.814298340482356</v>
      </c>
      <c r="D425" s="45">
        <v>-28.639713795516521</v>
      </c>
      <c r="E425" s="45">
        <v>-28.466187050500583</v>
      </c>
      <c r="F425" s="45">
        <v>-28.293711696271956</v>
      </c>
      <c r="G425" s="45">
        <v>-28.122281362500878</v>
      </c>
      <c r="H425" s="45">
        <v>-27.782530467766215</v>
      </c>
      <c r="I425" s="45">
        <v>-27.446884171409785</v>
      </c>
      <c r="J425" s="45">
        <v>-25.82850688547671</v>
      </c>
      <c r="K425" s="45">
        <v>-24.305555551111294</v>
      </c>
      <c r="M425" s="43" t="str">
        <f t="shared" ref="M425:M432" si="28">CURRENCY_NAME&amp;" per "&amp;EMIT_NAME</f>
        <v>$million per Mtonne</v>
      </c>
    </row>
    <row r="426" spans="1:13" s="6" customFormat="1" x14ac:dyDescent="0.25">
      <c r="A426" s="4" t="str">
        <v>US CO2</v>
      </c>
      <c r="B426" s="46">
        <v>-28.989947133630231</v>
      </c>
      <c r="C426" s="46">
        <v>-28.814298340482356</v>
      </c>
      <c r="D426" s="46">
        <v>-28.639713795516521</v>
      </c>
      <c r="E426" s="46">
        <v>-28.466187050500583</v>
      </c>
      <c r="F426" s="46">
        <v>-28.293711696271956</v>
      </c>
      <c r="G426" s="46">
        <v>-28.122281362500878</v>
      </c>
      <c r="H426" s="46">
        <v>-27.782530467766215</v>
      </c>
      <c r="I426" s="46">
        <v>-27.446884171409785</v>
      </c>
      <c r="J426" s="46">
        <v>-25.82850688547671</v>
      </c>
      <c r="K426" s="46">
        <v>-24.305555551111294</v>
      </c>
      <c r="M426" s="43" t="str">
        <f t="shared" si="28"/>
        <v>$million per Mtonne</v>
      </c>
    </row>
    <row r="427" spans="1:13" s="6" customFormat="1" x14ac:dyDescent="0.25">
      <c r="A427" s="4" t="str">
        <v>OT CO2</v>
      </c>
      <c r="B427" s="46">
        <v>-28.989947133630231</v>
      </c>
      <c r="C427" s="46">
        <v>-28.814298340482356</v>
      </c>
      <c r="D427" s="46">
        <v>-28.639713795516521</v>
      </c>
      <c r="E427" s="46">
        <v>-28.466187050500583</v>
      </c>
      <c r="F427" s="46">
        <v>-28.293711696271956</v>
      </c>
      <c r="G427" s="46">
        <v>-28.122281362500878</v>
      </c>
      <c r="H427" s="46">
        <v>-27.782530467766215</v>
      </c>
      <c r="I427" s="46">
        <v>-27.446884171409785</v>
      </c>
      <c r="J427" s="46">
        <v>-25.82850688547671</v>
      </c>
      <c r="K427" s="46">
        <v>-24.305555551111294</v>
      </c>
      <c r="M427" s="43" t="str">
        <f t="shared" si="28"/>
        <v>$million per Mtonne</v>
      </c>
    </row>
    <row r="428" spans="1:13" s="6" customFormat="1" x14ac:dyDescent="0.25">
      <c r="A428" s="4" t="str">
        <v>EE CO2</v>
      </c>
      <c r="B428" s="46">
        <v>-28.989947133630231</v>
      </c>
      <c r="C428" s="46">
        <v>-28.814298340482356</v>
      </c>
      <c r="D428" s="46">
        <v>-28.639713795516521</v>
      </c>
      <c r="E428" s="46">
        <v>-28.466187050500583</v>
      </c>
      <c r="F428" s="46">
        <v>-28.293711696271956</v>
      </c>
      <c r="G428" s="46">
        <v>-28.122281362500878</v>
      </c>
      <c r="H428" s="46">
        <v>-27.782530467766215</v>
      </c>
      <c r="I428" s="46">
        <v>-27.446884171409785</v>
      </c>
      <c r="J428" s="46">
        <v>-25.82850688547671</v>
      </c>
      <c r="K428" s="46">
        <v>-24.305555551111294</v>
      </c>
      <c r="M428" s="43" t="str">
        <f t="shared" si="28"/>
        <v>$million per Mtonne</v>
      </c>
    </row>
    <row r="429" spans="1:13" s="6" customFormat="1" x14ac:dyDescent="0.25">
      <c r="A429" s="4" t="str">
        <v>CA CO2</v>
      </c>
      <c r="B429" s="46">
        <v>-28.989947133630231</v>
      </c>
      <c r="C429" s="46">
        <v>-28.814298340482356</v>
      </c>
      <c r="D429" s="46">
        <v>-28.639713795516521</v>
      </c>
      <c r="E429" s="46">
        <v>-28.466187050500583</v>
      </c>
      <c r="F429" s="46">
        <v>-28.293711696271956</v>
      </c>
      <c r="G429" s="46">
        <v>-28.122281362500878</v>
      </c>
      <c r="H429" s="46">
        <v>-27.782530467766215</v>
      </c>
      <c r="I429" s="46">
        <v>-27.446884171409785</v>
      </c>
      <c r="J429" s="46">
        <v>-25.82850688547671</v>
      </c>
      <c r="K429" s="46">
        <v>-24.305555551111294</v>
      </c>
      <c r="M429" s="43" t="str">
        <f t="shared" si="28"/>
        <v>$million per Mtonne</v>
      </c>
    </row>
    <row r="430" spans="1:13" s="6" customFormat="1" x14ac:dyDescent="0.25">
      <c r="A430" s="4" t="str">
        <v>IA CO2</v>
      </c>
      <c r="B430" s="46">
        <v>-28.989947133630231</v>
      </c>
      <c r="C430" s="46">
        <v>-28.814298340482356</v>
      </c>
      <c r="D430" s="46">
        <v>-28.639713795516521</v>
      </c>
      <c r="E430" s="46">
        <v>-28.466187050500583</v>
      </c>
      <c r="F430" s="46">
        <v>-28.293711696271956</v>
      </c>
      <c r="G430" s="46">
        <v>-28.122281362500878</v>
      </c>
      <c r="H430" s="46">
        <v>-27.782530467766215</v>
      </c>
      <c r="I430" s="46">
        <v>-27.446884171409785</v>
      </c>
      <c r="J430" s="46">
        <v>-25.82850688547671</v>
      </c>
      <c r="K430" s="46">
        <v>-24.305555551111294</v>
      </c>
      <c r="M430" s="43" t="str">
        <f t="shared" si="28"/>
        <v>$million per Mtonne</v>
      </c>
    </row>
    <row r="431" spans="1:13" s="6" customFormat="1" x14ac:dyDescent="0.25">
      <c r="A431" s="4" t="str">
        <v>AF CO2</v>
      </c>
      <c r="B431" s="46">
        <v>-28.989947133630231</v>
      </c>
      <c r="C431" s="46">
        <v>-28.814298340482356</v>
      </c>
      <c r="D431" s="46">
        <v>-28.639713795516521</v>
      </c>
      <c r="E431" s="46">
        <v>-28.466187050500583</v>
      </c>
      <c r="F431" s="46">
        <v>-28.293711696271956</v>
      </c>
      <c r="G431" s="46">
        <v>-28.122281362500878</v>
      </c>
      <c r="H431" s="46">
        <v>-27.782530467766215</v>
      </c>
      <c r="I431" s="46">
        <v>-27.446884171409785</v>
      </c>
      <c r="J431" s="46">
        <v>-25.82850688547671</v>
      </c>
      <c r="K431" s="46">
        <v>-24.305555551111294</v>
      </c>
      <c r="M431" s="43" t="str">
        <f t="shared" si="28"/>
        <v>$million per Mtonne</v>
      </c>
    </row>
    <row r="432" spans="1:13" s="6" customFormat="1" ht="13" thickBot="1" x14ac:dyDescent="0.3">
      <c r="A432" s="4" t="str">
        <v>LA CO2</v>
      </c>
      <c r="B432" s="47">
        <v>-28.989947133630231</v>
      </c>
      <c r="C432" s="47">
        <v>-28.814298340482356</v>
      </c>
      <c r="D432" s="47">
        <v>-28.639713795516521</v>
      </c>
      <c r="E432" s="47">
        <v>-28.466187050500583</v>
      </c>
      <c r="F432" s="47">
        <v>-28.293711696271956</v>
      </c>
      <c r="G432" s="47">
        <v>-28.122281362500878</v>
      </c>
      <c r="H432" s="47">
        <v>-27.782530467766215</v>
      </c>
      <c r="I432" s="47">
        <v>-27.446884171409785</v>
      </c>
      <c r="J432" s="47">
        <v>-25.82850688547671</v>
      </c>
      <c r="K432" s="47">
        <v>-24.305555551111294</v>
      </c>
      <c r="M432" s="43" t="str">
        <f t="shared" si="28"/>
        <v>$million per Mtonne</v>
      </c>
    </row>
    <row r="433" spans="1:13" s="2" customFormat="1" ht="15.5" thickTop="1" x14ac:dyDescent="0.4">
      <c r="A433" s="2" t="s">
        <v>386</v>
      </c>
      <c r="B433" s="2" t="s">
        <v>393</v>
      </c>
    </row>
    <row r="434" spans="1:13" s="7" customFormat="1" x14ac:dyDescent="0.25">
      <c r="A434" s="4" t="str">
        <f t="array" ref="A434:A441">R_CODE&amp;" "&amp;'Base data'!$C$11</f>
        <v>EU CH4</v>
      </c>
      <c r="B434" s="39">
        <f t="array" ref="B434:K441">IF(Q0_CH4=0,0,C0_CH4/(EXP(-BLO_CH4*Q0_CH4)-1))</f>
        <v>-538.38473251720222</v>
      </c>
      <c r="C434" s="39">
        <v>-535.12268350138368</v>
      </c>
      <c r="D434" s="39">
        <v>-531.88039909466158</v>
      </c>
      <c r="E434" s="39">
        <v>-528.65775954415312</v>
      </c>
      <c r="F434" s="39">
        <v>-525.45464582255306</v>
      </c>
      <c r="G434" s="39">
        <v>-522.27093962373749</v>
      </c>
      <c r="H434" s="39">
        <v>-515.96128014967769</v>
      </c>
      <c r="I434" s="39">
        <v>-509.72784893121872</v>
      </c>
      <c r="J434" s="39">
        <v>-479.67227076190852</v>
      </c>
      <c r="K434" s="39">
        <v>-451.38888883611452</v>
      </c>
      <c r="M434" s="43" t="str">
        <f t="shared" ref="M434:M441" si="29">CURRENCY_NAME&amp;" per "&amp;EMIT_NAME</f>
        <v>$million per Mtonne</v>
      </c>
    </row>
    <row r="435" spans="1:13" s="7" customFormat="1" x14ac:dyDescent="0.25">
      <c r="A435" s="4" t="str">
        <v>US CH4</v>
      </c>
      <c r="B435" s="35">
        <v>-538.38473251720222</v>
      </c>
      <c r="C435" s="35">
        <v>-535.12268350138368</v>
      </c>
      <c r="D435" s="35">
        <v>-531.88039909466158</v>
      </c>
      <c r="E435" s="35">
        <v>-528.65775954415312</v>
      </c>
      <c r="F435" s="35">
        <v>-525.45464582255306</v>
      </c>
      <c r="G435" s="35">
        <v>-522.27093962373749</v>
      </c>
      <c r="H435" s="35">
        <v>-515.96128014967769</v>
      </c>
      <c r="I435" s="35">
        <v>-509.72784893121872</v>
      </c>
      <c r="J435" s="35">
        <v>-479.67227076190852</v>
      </c>
      <c r="K435" s="35">
        <v>-451.38888883611452</v>
      </c>
      <c r="M435" s="43" t="str">
        <f t="shared" si="29"/>
        <v>$million per Mtonne</v>
      </c>
    </row>
    <row r="436" spans="1:13" s="7" customFormat="1" x14ac:dyDescent="0.25">
      <c r="A436" s="4" t="str">
        <v>OT CH4</v>
      </c>
      <c r="B436" s="35">
        <v>-538.38473251720222</v>
      </c>
      <c r="C436" s="35">
        <v>-535.12268350138368</v>
      </c>
      <c r="D436" s="35">
        <v>-531.88039909466158</v>
      </c>
      <c r="E436" s="35">
        <v>-528.65775954415312</v>
      </c>
      <c r="F436" s="35">
        <v>-525.45464582255306</v>
      </c>
      <c r="G436" s="35">
        <v>-522.27093962373749</v>
      </c>
      <c r="H436" s="35">
        <v>-515.96128014967769</v>
      </c>
      <c r="I436" s="35">
        <v>-509.72784893121872</v>
      </c>
      <c r="J436" s="35">
        <v>-479.67227076190852</v>
      </c>
      <c r="K436" s="35">
        <v>-451.38888883611452</v>
      </c>
      <c r="M436" s="43" t="str">
        <f t="shared" si="29"/>
        <v>$million per Mtonne</v>
      </c>
    </row>
    <row r="437" spans="1:13" s="7" customFormat="1" x14ac:dyDescent="0.25">
      <c r="A437" s="4" t="str">
        <v>EE CH4</v>
      </c>
      <c r="B437" s="35">
        <v>-538.38473251720222</v>
      </c>
      <c r="C437" s="35">
        <v>-535.12268350138368</v>
      </c>
      <c r="D437" s="35">
        <v>-531.88039909466158</v>
      </c>
      <c r="E437" s="35">
        <v>-528.65775954415312</v>
      </c>
      <c r="F437" s="35">
        <v>-525.45464582255306</v>
      </c>
      <c r="G437" s="35">
        <v>-522.27093962373749</v>
      </c>
      <c r="H437" s="35">
        <v>-515.96128014967769</v>
      </c>
      <c r="I437" s="35">
        <v>-509.72784893121872</v>
      </c>
      <c r="J437" s="35">
        <v>-479.67227076190852</v>
      </c>
      <c r="K437" s="35">
        <v>-451.38888883611452</v>
      </c>
      <c r="M437" s="43" t="str">
        <f t="shared" si="29"/>
        <v>$million per Mtonne</v>
      </c>
    </row>
    <row r="438" spans="1:13" s="7" customFormat="1" x14ac:dyDescent="0.25">
      <c r="A438" s="4" t="str">
        <v>CA CH4</v>
      </c>
      <c r="B438" s="35">
        <v>-538.38473251720222</v>
      </c>
      <c r="C438" s="35">
        <v>-535.12268350138368</v>
      </c>
      <c r="D438" s="35">
        <v>-531.88039909466158</v>
      </c>
      <c r="E438" s="35">
        <v>-528.65775954415312</v>
      </c>
      <c r="F438" s="35">
        <v>-525.45464582255306</v>
      </c>
      <c r="G438" s="35">
        <v>-522.27093962373749</v>
      </c>
      <c r="H438" s="35">
        <v>-515.96128014967769</v>
      </c>
      <c r="I438" s="35">
        <v>-509.72784893121872</v>
      </c>
      <c r="J438" s="35">
        <v>-479.67227076190852</v>
      </c>
      <c r="K438" s="35">
        <v>-451.38888883611452</v>
      </c>
      <c r="M438" s="43" t="str">
        <f t="shared" si="29"/>
        <v>$million per Mtonne</v>
      </c>
    </row>
    <row r="439" spans="1:13" s="7" customFormat="1" x14ac:dyDescent="0.25">
      <c r="A439" s="4" t="str">
        <v>IA CH4</v>
      </c>
      <c r="B439" s="35">
        <v>-538.38473251720222</v>
      </c>
      <c r="C439" s="35">
        <v>-535.12268350138368</v>
      </c>
      <c r="D439" s="35">
        <v>-531.88039909466158</v>
      </c>
      <c r="E439" s="35">
        <v>-528.65775954415312</v>
      </c>
      <c r="F439" s="35">
        <v>-525.45464582255306</v>
      </c>
      <c r="G439" s="35">
        <v>-522.27093962373749</v>
      </c>
      <c r="H439" s="35">
        <v>-515.96128014967769</v>
      </c>
      <c r="I439" s="35">
        <v>-509.72784893121872</v>
      </c>
      <c r="J439" s="35">
        <v>-479.67227076190852</v>
      </c>
      <c r="K439" s="35">
        <v>-451.38888883611452</v>
      </c>
      <c r="M439" s="43" t="str">
        <f t="shared" si="29"/>
        <v>$million per Mtonne</v>
      </c>
    </row>
    <row r="440" spans="1:13" s="7" customFormat="1" x14ac:dyDescent="0.25">
      <c r="A440" s="4" t="str">
        <v>AF CH4</v>
      </c>
      <c r="B440" s="35">
        <v>-538.38473251720222</v>
      </c>
      <c r="C440" s="35">
        <v>-535.12268350138368</v>
      </c>
      <c r="D440" s="35">
        <v>-531.88039909466158</v>
      </c>
      <c r="E440" s="35">
        <v>-528.65775954415312</v>
      </c>
      <c r="F440" s="35">
        <v>-525.45464582255306</v>
      </c>
      <c r="G440" s="35">
        <v>-522.27093962373749</v>
      </c>
      <c r="H440" s="35">
        <v>-515.96128014967769</v>
      </c>
      <c r="I440" s="35">
        <v>-509.72784893121872</v>
      </c>
      <c r="J440" s="35">
        <v>-479.67227076190852</v>
      </c>
      <c r="K440" s="35">
        <v>-451.38888883611452</v>
      </c>
      <c r="M440" s="43" t="str">
        <f t="shared" si="29"/>
        <v>$million per Mtonne</v>
      </c>
    </row>
    <row r="441" spans="1:13" s="7" customFormat="1" ht="13" thickBot="1" x14ac:dyDescent="0.3">
      <c r="A441" s="4" t="str">
        <v>LA CH4</v>
      </c>
      <c r="B441" s="49">
        <v>-538.38473251720222</v>
      </c>
      <c r="C441" s="49">
        <v>-535.12268350138368</v>
      </c>
      <c r="D441" s="49">
        <v>-531.88039909466158</v>
      </c>
      <c r="E441" s="49">
        <v>-528.65775954415312</v>
      </c>
      <c r="F441" s="49">
        <v>-525.45464582255306</v>
      </c>
      <c r="G441" s="49">
        <v>-522.27093962373749</v>
      </c>
      <c r="H441" s="49">
        <v>-515.96128014967769</v>
      </c>
      <c r="I441" s="49">
        <v>-509.72784893121872</v>
      </c>
      <c r="J441" s="49">
        <v>-479.67227076190852</v>
      </c>
      <c r="K441" s="49">
        <v>-451.38888883611452</v>
      </c>
      <c r="M441" s="43" t="str">
        <f t="shared" si="29"/>
        <v>$million per Mtonne</v>
      </c>
    </row>
    <row r="442" spans="1:13" s="2" customFormat="1" ht="15.5" thickTop="1" x14ac:dyDescent="0.4">
      <c r="A442" s="2" t="s">
        <v>386</v>
      </c>
      <c r="B442" s="2" t="s">
        <v>394</v>
      </c>
    </row>
    <row r="443" spans="1:13" s="7" customFormat="1" x14ac:dyDescent="0.25">
      <c r="A443" s="4" t="str">
        <f t="array" ref="A443:A450">R_CODE&amp;" "&amp;'Base data'!$D$11</f>
        <v>EU N2O</v>
      </c>
      <c r="B443" s="39">
        <f t="array" ref="B443:K450">IF(Q0_N2O=0,0,C0_N2O/(EXP(-BLO_N2O*Q0_N2O)-1))</f>
        <v>-911.11262428855196</v>
      </c>
      <c r="C443" s="39">
        <v>-905.59223364622392</v>
      </c>
      <c r="D443" s="39">
        <v>-900.10529080390609</v>
      </c>
      <c r="E443" s="39">
        <v>-894.65159310287402</v>
      </c>
      <c r="F443" s="39">
        <v>-889.23093911230342</v>
      </c>
      <c r="G443" s="39">
        <v>-883.84312862183049</v>
      </c>
      <c r="H443" s="39">
        <v>-873.165243357701</v>
      </c>
      <c r="I443" s="39">
        <v>-862.61635975690001</v>
      </c>
      <c r="J443" s="39">
        <v>-811.7530736226206</v>
      </c>
      <c r="K443" s="39">
        <v>-763.88888882361698</v>
      </c>
      <c r="M443" s="43" t="str">
        <f t="shared" ref="M443:M450" si="30">CURRENCY_NAME&amp;" per "&amp;EMIT_NAME</f>
        <v>$million per Mtonne</v>
      </c>
    </row>
    <row r="444" spans="1:13" s="7" customFormat="1" x14ac:dyDescent="0.25">
      <c r="A444" s="4" t="str">
        <v>US N2O</v>
      </c>
      <c r="B444" s="35">
        <v>-911.11262428855196</v>
      </c>
      <c r="C444" s="35">
        <v>-905.59223364622392</v>
      </c>
      <c r="D444" s="35">
        <v>-900.10529080390609</v>
      </c>
      <c r="E444" s="35">
        <v>-894.65159310287402</v>
      </c>
      <c r="F444" s="35">
        <v>-889.23093911230342</v>
      </c>
      <c r="G444" s="35">
        <v>-883.84312862183049</v>
      </c>
      <c r="H444" s="35">
        <v>-873.165243357701</v>
      </c>
      <c r="I444" s="35">
        <v>-862.61635975690001</v>
      </c>
      <c r="J444" s="35">
        <v>-811.7530736226206</v>
      </c>
      <c r="K444" s="35">
        <v>-763.88888882361698</v>
      </c>
      <c r="M444" s="43" t="str">
        <f t="shared" si="30"/>
        <v>$million per Mtonne</v>
      </c>
    </row>
    <row r="445" spans="1:13" s="7" customFormat="1" x14ac:dyDescent="0.25">
      <c r="A445" s="4" t="str">
        <v>OT N2O</v>
      </c>
      <c r="B445" s="35">
        <v>-911.11262428855196</v>
      </c>
      <c r="C445" s="35">
        <v>-905.59223364622392</v>
      </c>
      <c r="D445" s="35">
        <v>-900.10529080390609</v>
      </c>
      <c r="E445" s="35">
        <v>-894.65159310287402</v>
      </c>
      <c r="F445" s="35">
        <v>-889.23093911230342</v>
      </c>
      <c r="G445" s="35">
        <v>-883.84312862183049</v>
      </c>
      <c r="H445" s="35">
        <v>-873.165243357701</v>
      </c>
      <c r="I445" s="35">
        <v>-862.61635975690001</v>
      </c>
      <c r="J445" s="35">
        <v>-811.7530736226206</v>
      </c>
      <c r="K445" s="35">
        <v>-763.88888882361698</v>
      </c>
      <c r="M445" s="43" t="str">
        <f t="shared" si="30"/>
        <v>$million per Mtonne</v>
      </c>
    </row>
    <row r="446" spans="1:13" s="7" customFormat="1" x14ac:dyDescent="0.25">
      <c r="A446" s="4" t="str">
        <v>EE N2O</v>
      </c>
      <c r="B446" s="35">
        <v>-911.11262428855196</v>
      </c>
      <c r="C446" s="35">
        <v>-905.59223364622392</v>
      </c>
      <c r="D446" s="35">
        <v>-900.10529080390609</v>
      </c>
      <c r="E446" s="35">
        <v>-894.65159310287402</v>
      </c>
      <c r="F446" s="35">
        <v>-889.23093911230342</v>
      </c>
      <c r="G446" s="35">
        <v>-883.84312862183049</v>
      </c>
      <c r="H446" s="35">
        <v>-873.165243357701</v>
      </c>
      <c r="I446" s="35">
        <v>-862.61635975690001</v>
      </c>
      <c r="J446" s="35">
        <v>-811.7530736226206</v>
      </c>
      <c r="K446" s="35">
        <v>-763.88888882361698</v>
      </c>
      <c r="M446" s="43" t="str">
        <f t="shared" si="30"/>
        <v>$million per Mtonne</v>
      </c>
    </row>
    <row r="447" spans="1:13" s="7" customFormat="1" x14ac:dyDescent="0.25">
      <c r="A447" s="4" t="str">
        <v>CA N2O</v>
      </c>
      <c r="B447" s="35">
        <v>-911.11262428855196</v>
      </c>
      <c r="C447" s="35">
        <v>-905.59223364622392</v>
      </c>
      <c r="D447" s="35">
        <v>-900.10529080390609</v>
      </c>
      <c r="E447" s="35">
        <v>-894.65159310287402</v>
      </c>
      <c r="F447" s="35">
        <v>-889.23093911230342</v>
      </c>
      <c r="G447" s="35">
        <v>-883.84312862183049</v>
      </c>
      <c r="H447" s="35">
        <v>-873.165243357701</v>
      </c>
      <c r="I447" s="35">
        <v>-862.61635975690001</v>
      </c>
      <c r="J447" s="35">
        <v>-811.7530736226206</v>
      </c>
      <c r="K447" s="35">
        <v>-763.88888882361698</v>
      </c>
      <c r="M447" s="43" t="str">
        <f t="shared" si="30"/>
        <v>$million per Mtonne</v>
      </c>
    </row>
    <row r="448" spans="1:13" s="7" customFormat="1" x14ac:dyDescent="0.25">
      <c r="A448" s="4" t="str">
        <v>IA N2O</v>
      </c>
      <c r="B448" s="35">
        <v>-911.11262428855196</v>
      </c>
      <c r="C448" s="35">
        <v>-905.59223364622392</v>
      </c>
      <c r="D448" s="35">
        <v>-900.10529080390609</v>
      </c>
      <c r="E448" s="35">
        <v>-894.65159310287402</v>
      </c>
      <c r="F448" s="35">
        <v>-889.23093911230342</v>
      </c>
      <c r="G448" s="35">
        <v>-883.84312862183049</v>
      </c>
      <c r="H448" s="35">
        <v>-873.165243357701</v>
      </c>
      <c r="I448" s="35">
        <v>-862.61635975690001</v>
      </c>
      <c r="J448" s="35">
        <v>-811.7530736226206</v>
      </c>
      <c r="K448" s="35">
        <v>-763.88888882361698</v>
      </c>
      <c r="M448" s="43" t="str">
        <f t="shared" si="30"/>
        <v>$million per Mtonne</v>
      </c>
    </row>
    <row r="449" spans="1:13" s="7" customFormat="1" x14ac:dyDescent="0.25">
      <c r="A449" s="4" t="str">
        <v>AF N2O</v>
      </c>
      <c r="B449" s="35">
        <v>-911.11262428855196</v>
      </c>
      <c r="C449" s="35">
        <v>-905.59223364622392</v>
      </c>
      <c r="D449" s="35">
        <v>-900.10529080390609</v>
      </c>
      <c r="E449" s="35">
        <v>-894.65159310287402</v>
      </c>
      <c r="F449" s="35">
        <v>-889.23093911230342</v>
      </c>
      <c r="G449" s="35">
        <v>-883.84312862183049</v>
      </c>
      <c r="H449" s="35">
        <v>-873.165243357701</v>
      </c>
      <c r="I449" s="35">
        <v>-862.61635975690001</v>
      </c>
      <c r="J449" s="35">
        <v>-811.7530736226206</v>
      </c>
      <c r="K449" s="35">
        <v>-763.88888882361698</v>
      </c>
      <c r="M449" s="43" t="str">
        <f t="shared" si="30"/>
        <v>$million per Mtonne</v>
      </c>
    </row>
    <row r="450" spans="1:13" s="7" customFormat="1" ht="13" thickBot="1" x14ac:dyDescent="0.3">
      <c r="A450" s="4" t="str">
        <v>LA N2O</v>
      </c>
      <c r="B450" s="49">
        <v>-911.11262428855196</v>
      </c>
      <c r="C450" s="49">
        <v>-905.59223364622392</v>
      </c>
      <c r="D450" s="49">
        <v>-900.10529080390609</v>
      </c>
      <c r="E450" s="49">
        <v>-894.65159310287402</v>
      </c>
      <c r="F450" s="49">
        <v>-889.23093911230342</v>
      </c>
      <c r="G450" s="49">
        <v>-883.84312862183049</v>
      </c>
      <c r="H450" s="49">
        <v>-873.165243357701</v>
      </c>
      <c r="I450" s="49">
        <v>-862.61635975690001</v>
      </c>
      <c r="J450" s="49">
        <v>-811.7530736226206</v>
      </c>
      <c r="K450" s="49">
        <v>-763.88888882361698</v>
      </c>
      <c r="M450" s="43" t="str">
        <f t="shared" si="30"/>
        <v>$million per Mtonne</v>
      </c>
    </row>
    <row r="451" spans="1:13" s="2" customFormat="1" ht="15.5" thickTop="1" x14ac:dyDescent="0.4">
      <c r="A451" s="2" t="s">
        <v>386</v>
      </c>
      <c r="B451" s="2" t="s">
        <v>395</v>
      </c>
    </row>
    <row r="452" spans="1:13" s="7" customFormat="1" x14ac:dyDescent="0.25">
      <c r="A452" s="4" t="str">
        <f t="array" ref="A452:A459">R_CODE&amp;" "&amp;GLIN_NAME</f>
        <v>EU Lin</v>
      </c>
      <c r="B452" s="93">
        <f t="array" ref="B452:K459">IF(Q0_GLIN=0,0,C0_GLIN/(EXP(-BLO_GLIN*Q0_GLIN)-1))</f>
        <v>-28.989947133630231</v>
      </c>
      <c r="C452" s="93">
        <v>-28.814298340482356</v>
      </c>
      <c r="D452" s="93">
        <v>-28.639713795516521</v>
      </c>
      <c r="E452" s="93">
        <v>-28.466187050500583</v>
      </c>
      <c r="F452" s="93">
        <v>-28.293711696271956</v>
      </c>
      <c r="G452" s="93">
        <v>-28.122281362500878</v>
      </c>
      <c r="H452" s="93">
        <v>-27.782530467766215</v>
      </c>
      <c r="I452" s="93">
        <v>-27.446884171409785</v>
      </c>
      <c r="J452" s="93">
        <v>-25.82850688547671</v>
      </c>
      <c r="K452" s="93">
        <v>-24.305555551111294</v>
      </c>
      <c r="M452" s="43" t="str">
        <f t="shared" ref="M452:M459" si="31">CURRENCY_NAME&amp;" per "&amp;EMIT_NAME</f>
        <v>$million per Mtonne</v>
      </c>
    </row>
    <row r="453" spans="1:13" s="7" customFormat="1" x14ac:dyDescent="0.25">
      <c r="A453" s="4" t="str">
        <v>US Lin</v>
      </c>
      <c r="B453" s="94">
        <v>-28.989947133630231</v>
      </c>
      <c r="C453" s="94">
        <v>-28.814298340482356</v>
      </c>
      <c r="D453" s="94">
        <v>-28.639713795516521</v>
      </c>
      <c r="E453" s="94">
        <v>-28.466187050500583</v>
      </c>
      <c r="F453" s="94">
        <v>-28.293711696271956</v>
      </c>
      <c r="G453" s="94">
        <v>-28.122281362500878</v>
      </c>
      <c r="H453" s="94">
        <v>-27.782530467766215</v>
      </c>
      <c r="I453" s="94">
        <v>-27.446884171409785</v>
      </c>
      <c r="J453" s="94">
        <v>-25.82850688547671</v>
      </c>
      <c r="K453" s="94">
        <v>-24.305555551111294</v>
      </c>
      <c r="M453" s="43" t="str">
        <f t="shared" si="31"/>
        <v>$million per Mtonne</v>
      </c>
    </row>
    <row r="454" spans="1:13" s="7" customFormat="1" x14ac:dyDescent="0.25">
      <c r="A454" s="4" t="str">
        <v>OT Lin</v>
      </c>
      <c r="B454" s="94">
        <v>-28.989947133630231</v>
      </c>
      <c r="C454" s="94">
        <v>-28.814298340482356</v>
      </c>
      <c r="D454" s="94">
        <v>-28.639713795516521</v>
      </c>
      <c r="E454" s="94">
        <v>-28.466187050500583</v>
      </c>
      <c r="F454" s="94">
        <v>-28.293711696271956</v>
      </c>
      <c r="G454" s="94">
        <v>-28.122281362500878</v>
      </c>
      <c r="H454" s="94">
        <v>-27.782530467766215</v>
      </c>
      <c r="I454" s="94">
        <v>-27.446884171409785</v>
      </c>
      <c r="J454" s="94">
        <v>-25.82850688547671</v>
      </c>
      <c r="K454" s="94">
        <v>-24.305555551111294</v>
      </c>
      <c r="M454" s="43" t="str">
        <f t="shared" si="31"/>
        <v>$million per Mtonne</v>
      </c>
    </row>
    <row r="455" spans="1:13" s="7" customFormat="1" x14ac:dyDescent="0.25">
      <c r="A455" s="4" t="str">
        <v>EE Lin</v>
      </c>
      <c r="B455" s="94">
        <v>-28.989947133630231</v>
      </c>
      <c r="C455" s="94">
        <v>-28.814298340482356</v>
      </c>
      <c r="D455" s="94">
        <v>-28.639713795516521</v>
      </c>
      <c r="E455" s="94">
        <v>-28.466187050500583</v>
      </c>
      <c r="F455" s="94">
        <v>-28.293711696271956</v>
      </c>
      <c r="G455" s="94">
        <v>-28.122281362500878</v>
      </c>
      <c r="H455" s="94">
        <v>-27.782530467766215</v>
      </c>
      <c r="I455" s="94">
        <v>-27.446884171409785</v>
      </c>
      <c r="J455" s="94">
        <v>-25.82850688547671</v>
      </c>
      <c r="K455" s="94">
        <v>-24.305555551111294</v>
      </c>
      <c r="M455" s="43" t="str">
        <f t="shared" si="31"/>
        <v>$million per Mtonne</v>
      </c>
    </row>
    <row r="456" spans="1:13" s="7" customFormat="1" x14ac:dyDescent="0.25">
      <c r="A456" s="4" t="str">
        <v>CA Lin</v>
      </c>
      <c r="B456" s="94">
        <v>-28.989947133630231</v>
      </c>
      <c r="C456" s="94">
        <v>-28.814298340482356</v>
      </c>
      <c r="D456" s="94">
        <v>-28.639713795516521</v>
      </c>
      <c r="E456" s="94">
        <v>-28.466187050500583</v>
      </c>
      <c r="F456" s="94">
        <v>-28.293711696271956</v>
      </c>
      <c r="G456" s="94">
        <v>-28.122281362500878</v>
      </c>
      <c r="H456" s="94">
        <v>-27.782530467766215</v>
      </c>
      <c r="I456" s="94">
        <v>-27.446884171409785</v>
      </c>
      <c r="J456" s="94">
        <v>-25.82850688547671</v>
      </c>
      <c r="K456" s="94">
        <v>-24.305555551111294</v>
      </c>
      <c r="M456" s="43" t="str">
        <f t="shared" si="31"/>
        <v>$million per Mtonne</v>
      </c>
    </row>
    <row r="457" spans="1:13" s="7" customFormat="1" x14ac:dyDescent="0.25">
      <c r="A457" s="4" t="str">
        <v>IA Lin</v>
      </c>
      <c r="B457" s="94">
        <v>-28.989947133630231</v>
      </c>
      <c r="C457" s="94">
        <v>-28.814298340482356</v>
      </c>
      <c r="D457" s="94">
        <v>-28.639713795516521</v>
      </c>
      <c r="E457" s="94">
        <v>-28.466187050500583</v>
      </c>
      <c r="F457" s="94">
        <v>-28.293711696271956</v>
      </c>
      <c r="G457" s="94">
        <v>-28.122281362500878</v>
      </c>
      <c r="H457" s="94">
        <v>-27.782530467766215</v>
      </c>
      <c r="I457" s="94">
        <v>-27.446884171409785</v>
      </c>
      <c r="J457" s="94">
        <v>-25.82850688547671</v>
      </c>
      <c r="K457" s="94">
        <v>-24.305555551111294</v>
      </c>
      <c r="M457" s="43" t="str">
        <f t="shared" si="31"/>
        <v>$million per Mtonne</v>
      </c>
    </row>
    <row r="458" spans="1:13" s="7" customFormat="1" x14ac:dyDescent="0.25">
      <c r="A458" s="4" t="str">
        <v>AF Lin</v>
      </c>
      <c r="B458" s="94">
        <v>-28.989947133630231</v>
      </c>
      <c r="C458" s="94">
        <v>-28.814298340482356</v>
      </c>
      <c r="D458" s="94">
        <v>-28.639713795516521</v>
      </c>
      <c r="E458" s="94">
        <v>-28.466187050500583</v>
      </c>
      <c r="F458" s="94">
        <v>-28.293711696271956</v>
      </c>
      <c r="G458" s="94">
        <v>-28.122281362500878</v>
      </c>
      <c r="H458" s="94">
        <v>-27.782530467766215</v>
      </c>
      <c r="I458" s="94">
        <v>-27.446884171409785</v>
      </c>
      <c r="J458" s="94">
        <v>-25.82850688547671</v>
      </c>
      <c r="K458" s="94">
        <v>-24.305555551111294</v>
      </c>
      <c r="M458" s="43" t="str">
        <f t="shared" si="31"/>
        <v>$million per Mtonne</v>
      </c>
    </row>
    <row r="459" spans="1:13" s="7" customFormat="1" ht="13" thickBot="1" x14ac:dyDescent="0.3">
      <c r="A459" s="4" t="str">
        <v>LA Lin</v>
      </c>
      <c r="B459" s="95">
        <v>-28.989947133630231</v>
      </c>
      <c r="C459" s="95">
        <v>-28.814298340482356</v>
      </c>
      <c r="D459" s="95">
        <v>-28.639713795516521</v>
      </c>
      <c r="E459" s="95">
        <v>-28.466187050500583</v>
      </c>
      <c r="F459" s="95">
        <v>-28.293711696271956</v>
      </c>
      <c r="G459" s="95">
        <v>-28.122281362500878</v>
      </c>
      <c r="H459" s="95">
        <v>-27.782530467766215</v>
      </c>
      <c r="I459" s="95">
        <v>-27.446884171409785</v>
      </c>
      <c r="J459" s="95">
        <v>-25.82850688547671</v>
      </c>
      <c r="K459" s="95">
        <v>-24.305555551111294</v>
      </c>
      <c r="M459" s="43" t="str">
        <f t="shared" si="31"/>
        <v>$million per Mtonne</v>
      </c>
    </row>
    <row r="460" spans="1:13" s="2" customFormat="1" ht="15.5" thickTop="1" x14ac:dyDescent="0.4">
      <c r="A460" s="2" t="s">
        <v>396</v>
      </c>
      <c r="B460" s="2" t="s">
        <v>397</v>
      </c>
    </row>
    <row r="461" spans="1:13" s="6" customFormat="1" x14ac:dyDescent="0.25">
      <c r="A461" s="4" t="str">
        <f t="array" ref="A461:A468">R_CODE&amp;" "&amp;'Base data'!$B$11</f>
        <v>EU CO2</v>
      </c>
      <c r="B461" s="51">
        <f t="array" ref="B461:K468">2*LN((1+CURVE_ABOVE)/(1-CURVE_ABOVE))/(QMAX_CO2-Q0_CO2)</f>
        <v>5.2200253086269542E-4</v>
      </c>
      <c r="C461" s="51">
        <v>5.1265249147701723E-4</v>
      </c>
      <c r="D461" s="51">
        <v>4.94481775880334E-4</v>
      </c>
      <c r="E461" s="51">
        <v>4.9817577403715827E-4</v>
      </c>
      <c r="F461" s="51">
        <v>5.0206814984622456E-4</v>
      </c>
      <c r="G461" s="51">
        <v>5.2378966220378701E-4</v>
      </c>
      <c r="H461" s="51">
        <v>5.9984889541764069E-4</v>
      </c>
      <c r="I461" s="51">
        <v>7.0333799521536471E-4</v>
      </c>
      <c r="J461" s="51">
        <v>6.3293837246204015E-4</v>
      </c>
      <c r="K461" s="51">
        <v>5.6998002347533711E-4</v>
      </c>
      <c r="M461" s="4" t="str">
        <f t="shared" ref="M461:M468" si="32">"per "&amp;EMIT_NAME</f>
        <v>per Mtonne</v>
      </c>
    </row>
    <row r="462" spans="1:13" s="6" customFormat="1" x14ac:dyDescent="0.25">
      <c r="A462" s="4" t="str">
        <v>US CO2</v>
      </c>
      <c r="B462" s="52">
        <v>2.4052308485720658E-4</v>
      </c>
      <c r="C462" s="52">
        <v>2.3621486759078255E-4</v>
      </c>
      <c r="D462" s="52">
        <v>2.2784234770634017E-4</v>
      </c>
      <c r="E462" s="52">
        <v>2.2954443108641085E-4</v>
      </c>
      <c r="F462" s="52">
        <v>2.3133792092921472E-4</v>
      </c>
      <c r="G462" s="52">
        <v>2.4134654129235824E-4</v>
      </c>
      <c r="H462" s="52">
        <v>2.7639235107844489E-4</v>
      </c>
      <c r="I462" s="52">
        <v>3.2407701937173174E-4</v>
      </c>
      <c r="J462" s="52">
        <v>2.9163898806673199E-4</v>
      </c>
      <c r="K462" s="52">
        <v>2.6262967217170708E-4</v>
      </c>
      <c r="M462" s="4" t="str">
        <f t="shared" si="32"/>
        <v>per Mtonne</v>
      </c>
    </row>
    <row r="463" spans="1:13" s="6" customFormat="1" x14ac:dyDescent="0.25">
      <c r="A463" s="4" t="str">
        <v>OT CO2</v>
      </c>
      <c r="B463" s="52">
        <v>1.4225082990268556E-3</v>
      </c>
      <c r="C463" s="52">
        <v>1.3970285209875162E-3</v>
      </c>
      <c r="D463" s="52">
        <v>1.3475115316870612E-3</v>
      </c>
      <c r="E463" s="52">
        <v>1.3575780404183274E-3</v>
      </c>
      <c r="F463" s="52">
        <v>1.3681851477865185E-3</v>
      </c>
      <c r="G463" s="52">
        <v>1.4273784079130187E-3</v>
      </c>
      <c r="H463" s="52">
        <v>1.6346473080953918E-3</v>
      </c>
      <c r="I463" s="52">
        <v>1.9166652957817451E-3</v>
      </c>
      <c r="J463" s="52">
        <v>1.7248193914152291E-3</v>
      </c>
      <c r="K463" s="52">
        <v>1.5532516908169124E-3</v>
      </c>
      <c r="M463" s="4" t="str">
        <f t="shared" si="32"/>
        <v>per Mtonne</v>
      </c>
    </row>
    <row r="464" spans="1:13" s="6" customFormat="1" x14ac:dyDescent="0.25">
      <c r="A464" s="4" t="str">
        <v>EE CO2</v>
      </c>
      <c r="B464" s="52">
        <v>1.0532510201951204E-3</v>
      </c>
      <c r="C464" s="52">
        <v>1.0141246465053342E-3</v>
      </c>
      <c r="D464" s="52">
        <v>1.0931500849913349E-3</v>
      </c>
      <c r="E464" s="52">
        <v>1.1025536100380251E-3</v>
      </c>
      <c r="F464" s="52">
        <v>1.1124643095071565E-3</v>
      </c>
      <c r="G464" s="52">
        <v>1.1687749867904298E-3</v>
      </c>
      <c r="H464" s="52">
        <v>1.3608804764394318E-3</v>
      </c>
      <c r="I464" s="52">
        <v>1.5531626215088828E-3</v>
      </c>
      <c r="J464" s="52">
        <v>1.3977010036628158E-3</v>
      </c>
      <c r="K464" s="52">
        <v>1.2586717531129191E-3</v>
      </c>
      <c r="M464" s="4" t="str">
        <f t="shared" si="32"/>
        <v>per Mtonne</v>
      </c>
    </row>
    <row r="465" spans="1:13" s="6" customFormat="1" x14ac:dyDescent="0.25">
      <c r="A465" s="4" t="str">
        <v>CA CO2</v>
      </c>
      <c r="B465" s="52">
        <v>9.2574467656506921E-4</v>
      </c>
      <c r="C465" s="52">
        <v>8.8168413958339918E-4</v>
      </c>
      <c r="D465" s="52">
        <v>6.8233008294084872E-4</v>
      </c>
      <c r="E465" s="52">
        <v>5.7294540737293817E-4</v>
      </c>
      <c r="F465" s="52">
        <v>4.9237663643914042E-4</v>
      </c>
      <c r="G465" s="52">
        <v>4.7101950483526955E-4</v>
      </c>
      <c r="H465" s="52">
        <v>4.480373517459333E-4</v>
      </c>
      <c r="I465" s="52">
        <v>4.8205134079426422E-4</v>
      </c>
      <c r="J465" s="52">
        <v>4.3380109301793151E-4</v>
      </c>
      <c r="K465" s="52">
        <v>3.9065091948871605E-4</v>
      </c>
      <c r="M465" s="4" t="str">
        <f t="shared" si="32"/>
        <v>per Mtonne</v>
      </c>
    </row>
    <row r="466" spans="1:13" s="6" customFormat="1" x14ac:dyDescent="0.25">
      <c r="A466" s="4" t="str">
        <v>IA CO2</v>
      </c>
      <c r="B466" s="52">
        <v>5.6307557174984605E-4</v>
      </c>
      <c r="C466" s="52">
        <v>5.3627616076688117E-4</v>
      </c>
      <c r="D466" s="52">
        <v>4.1502091375735081E-4</v>
      </c>
      <c r="E466" s="52">
        <v>3.484887042883144E-4</v>
      </c>
      <c r="F466" s="52">
        <v>2.9948350025402269E-4</v>
      </c>
      <c r="G466" s="52">
        <v>2.864932240005235E-4</v>
      </c>
      <c r="H466" s="52">
        <v>2.7251454357339302E-4</v>
      </c>
      <c r="I466" s="52">
        <v>2.9320323540789128E-4</v>
      </c>
      <c r="J466" s="52">
        <v>2.6385547188141026E-4</v>
      </c>
      <c r="K466" s="52">
        <v>2.376097809839804E-4</v>
      </c>
      <c r="M466" s="4" t="str">
        <f t="shared" si="32"/>
        <v>per Mtonne</v>
      </c>
    </row>
    <row r="467" spans="1:13" s="6" customFormat="1" x14ac:dyDescent="0.25">
      <c r="A467" s="4" t="str">
        <v>AF CO2</v>
      </c>
      <c r="B467" s="52">
        <v>1.0044015930561652E-3</v>
      </c>
      <c r="C467" s="52">
        <v>9.5642228286074043E-4</v>
      </c>
      <c r="D467" s="52">
        <v>7.2973422713422994E-4</v>
      </c>
      <c r="E467" s="52">
        <v>6.0973874240915463E-4</v>
      </c>
      <c r="F467" s="52">
        <v>5.2210463210045045E-4</v>
      </c>
      <c r="G467" s="52">
        <v>4.819569502204554E-4</v>
      </c>
      <c r="H467" s="52">
        <v>4.5726474422374158E-4</v>
      </c>
      <c r="I467" s="52">
        <v>5.1803403488441286E-4</v>
      </c>
      <c r="J467" s="52">
        <v>4.6618215018980291E-4</v>
      </c>
      <c r="K467" s="52">
        <v>4.1981103448567248E-4</v>
      </c>
      <c r="M467" s="4" t="str">
        <f t="shared" si="32"/>
        <v>per Mtonne</v>
      </c>
    </row>
    <row r="468" spans="1:13" s="6" customFormat="1" ht="13" thickBot="1" x14ac:dyDescent="0.3">
      <c r="A468" s="4" t="str">
        <v>LA CO2</v>
      </c>
      <c r="B468" s="53">
        <v>1.1775269018456005E-3</v>
      </c>
      <c r="C468" s="53">
        <v>1.1212775600706634E-3</v>
      </c>
      <c r="D468" s="53">
        <v>8.5551605014231918E-4</v>
      </c>
      <c r="E468" s="53">
        <v>7.1483734917188201E-4</v>
      </c>
      <c r="F468" s="53">
        <v>6.1209804337905083E-4</v>
      </c>
      <c r="G468" s="53">
        <v>5.6503024122972706E-4</v>
      </c>
      <c r="H468" s="53">
        <v>5.3608192311866852E-4</v>
      </c>
      <c r="I468" s="53">
        <v>6.0732581107516008E-4</v>
      </c>
      <c r="J468" s="53">
        <v>5.4653639221978283E-4</v>
      </c>
      <c r="K468" s="53">
        <v>4.921724439866231E-4</v>
      </c>
      <c r="M468" s="4" t="str">
        <f t="shared" si="32"/>
        <v>per Mtonne</v>
      </c>
    </row>
    <row r="469" spans="1:13" s="2" customFormat="1" ht="15.5" thickTop="1" x14ac:dyDescent="0.4">
      <c r="A469" s="2" t="s">
        <v>396</v>
      </c>
      <c r="B469" s="2" t="s">
        <v>398</v>
      </c>
    </row>
    <row r="470" spans="1:13" s="7" customFormat="1" x14ac:dyDescent="0.25">
      <c r="A470" s="4" t="str">
        <f t="array" ref="A470:A477">R_CODE&amp;" "&amp;'Base data'!$C$11</f>
        <v>EU CH4</v>
      </c>
      <c r="B470" s="39">
        <f t="array" ref="B470:K477">2*LN((1+CURVE_ABOVE)/(1-CURVE_ABOVE))/(QMAX_CH4-Q0_CH4)</f>
        <v>3237.9681257457873</v>
      </c>
      <c r="C470" s="39">
        <v>3196.8624601240363</v>
      </c>
      <c r="D470" s="39">
        <v>3247.2503585034196</v>
      </c>
      <c r="E470" s="39">
        <v>3463.6203265106719</v>
      </c>
      <c r="F470" s="39">
        <v>3720.7829081096093</v>
      </c>
      <c r="G470" s="39">
        <v>3962.2898380611664</v>
      </c>
      <c r="H470" s="39">
        <v>4439.5108951918801</v>
      </c>
      <c r="I470" s="39">
        <v>4729.0624772751617</v>
      </c>
      <c r="J470" s="39">
        <v>4058.5377291219152</v>
      </c>
      <c r="K470" s="39">
        <v>3500.9473824509632</v>
      </c>
      <c r="M470" s="4" t="str">
        <f t="shared" ref="M470:M477" si="33">"per "&amp;EMIT_NAME</f>
        <v>per Mtonne</v>
      </c>
    </row>
    <row r="471" spans="1:13" s="7" customFormat="1" x14ac:dyDescent="0.25">
      <c r="A471" s="4" t="str">
        <v>US CH4</v>
      </c>
      <c r="B471" s="35">
        <v>3237.9681257457873</v>
      </c>
      <c r="C471" s="35">
        <v>3196.8624601240363</v>
      </c>
      <c r="D471" s="35">
        <v>3247.2503585034196</v>
      </c>
      <c r="E471" s="35">
        <v>3463.6203265106719</v>
      </c>
      <c r="F471" s="35">
        <v>3720.7829081096088</v>
      </c>
      <c r="G471" s="35">
        <v>3962.2898380611664</v>
      </c>
      <c r="H471" s="35">
        <v>4439.5108951918801</v>
      </c>
      <c r="I471" s="35">
        <v>4729.0624772751617</v>
      </c>
      <c r="J471" s="35">
        <v>4058.5377291219152</v>
      </c>
      <c r="K471" s="35">
        <v>3500.9473824509623</v>
      </c>
      <c r="M471" s="4" t="str">
        <f t="shared" si="33"/>
        <v>per Mtonne</v>
      </c>
    </row>
    <row r="472" spans="1:13" s="7" customFormat="1" x14ac:dyDescent="0.25">
      <c r="A472" s="4" t="str">
        <v>OT CH4</v>
      </c>
      <c r="B472" s="35">
        <v>3237.9681257457873</v>
      </c>
      <c r="C472" s="35">
        <v>3196.8624601240363</v>
      </c>
      <c r="D472" s="35">
        <v>3247.2503585034196</v>
      </c>
      <c r="E472" s="35">
        <v>3463.6203265106719</v>
      </c>
      <c r="F472" s="35">
        <v>3720.7829081096093</v>
      </c>
      <c r="G472" s="35">
        <v>3962.2898380611664</v>
      </c>
      <c r="H472" s="35">
        <v>4439.5108951918801</v>
      </c>
      <c r="I472" s="35">
        <v>4729.0624772751617</v>
      </c>
      <c r="J472" s="35">
        <v>4058.5377291219152</v>
      </c>
      <c r="K472" s="35">
        <v>3500.9473824509632</v>
      </c>
      <c r="M472" s="4" t="str">
        <f t="shared" si="33"/>
        <v>per Mtonne</v>
      </c>
    </row>
    <row r="473" spans="1:13" s="7" customFormat="1" x14ac:dyDescent="0.25">
      <c r="A473" s="4" t="str">
        <v>EE CH4</v>
      </c>
      <c r="B473" s="35">
        <v>3117.6188582788441</v>
      </c>
      <c r="C473" s="35">
        <v>2967.0256188886356</v>
      </c>
      <c r="D473" s="35">
        <v>2757.0215458127195</v>
      </c>
      <c r="E473" s="35">
        <v>2974.7138907211752</v>
      </c>
      <c r="F473" s="35">
        <v>3239.8718774057284</v>
      </c>
      <c r="G473" s="35">
        <v>3525.9622726608827</v>
      </c>
      <c r="H473" s="35">
        <v>4052.33763304489</v>
      </c>
      <c r="I473" s="35">
        <v>4428.7217196638785</v>
      </c>
      <c r="J473" s="35">
        <v>3800.7817146442212</v>
      </c>
      <c r="K473" s="35">
        <v>3278.6036950382272</v>
      </c>
      <c r="M473" s="4" t="str">
        <f t="shared" si="33"/>
        <v>per Mtonne</v>
      </c>
    </row>
    <row r="474" spans="1:13" s="7" customFormat="1" x14ac:dyDescent="0.25">
      <c r="A474" s="4" t="str">
        <v>CA CH4</v>
      </c>
      <c r="B474" s="35">
        <v>3183.3761685339914</v>
      </c>
      <c r="C474" s="35">
        <v>3090.5097079822553</v>
      </c>
      <c r="D474" s="35">
        <v>2579.6369078699872</v>
      </c>
      <c r="E474" s="35">
        <v>2274.6424354134829</v>
      </c>
      <c r="F474" s="35">
        <v>2027.7837770838537</v>
      </c>
      <c r="G474" s="35">
        <v>2135.0491624369838</v>
      </c>
      <c r="H474" s="35">
        <v>2720.2657431051225</v>
      </c>
      <c r="I474" s="35">
        <v>3360.5050902081502</v>
      </c>
      <c r="J474" s="35">
        <v>2884.0254834980578</v>
      </c>
      <c r="K474" s="35">
        <v>2487.7978575694783</v>
      </c>
      <c r="M474" s="4" t="str">
        <f t="shared" si="33"/>
        <v>per Mtonne</v>
      </c>
    </row>
    <row r="475" spans="1:13" s="7" customFormat="1" x14ac:dyDescent="0.25">
      <c r="A475" s="4" t="str">
        <v>IA CH4</v>
      </c>
      <c r="B475" s="35">
        <v>3183.3761685339914</v>
      </c>
      <c r="C475" s="35">
        <v>3090.5097079822553</v>
      </c>
      <c r="D475" s="35">
        <v>2579.6369078699872</v>
      </c>
      <c r="E475" s="35">
        <v>2274.6424354134829</v>
      </c>
      <c r="F475" s="35">
        <v>2027.7837770838537</v>
      </c>
      <c r="G475" s="35">
        <v>2135.0491624369838</v>
      </c>
      <c r="H475" s="35">
        <v>2720.2657431051225</v>
      </c>
      <c r="I475" s="35">
        <v>3360.5050902081502</v>
      </c>
      <c r="J475" s="35">
        <v>2884.0254834980578</v>
      </c>
      <c r="K475" s="35">
        <v>2487.7978575694783</v>
      </c>
      <c r="M475" s="4" t="str">
        <f t="shared" si="33"/>
        <v>per Mtonne</v>
      </c>
    </row>
    <row r="476" spans="1:13" s="7" customFormat="1" x14ac:dyDescent="0.25">
      <c r="A476" s="4" t="str">
        <v>AF CH4</v>
      </c>
      <c r="B476" s="35">
        <v>3180.8203111018161</v>
      </c>
      <c r="C476" s="35">
        <v>3085.6174623057759</v>
      </c>
      <c r="D476" s="35">
        <v>2514.1649823384873</v>
      </c>
      <c r="E476" s="35">
        <v>2290.9513030211597</v>
      </c>
      <c r="F476" s="35">
        <v>2099.2194885859185</v>
      </c>
      <c r="G476" s="35">
        <v>2081.5841351659492</v>
      </c>
      <c r="H476" s="35">
        <v>2244.6136559471656</v>
      </c>
      <c r="I476" s="35">
        <v>2830.543797543181</v>
      </c>
      <c r="J476" s="35">
        <v>2429.2063916398542</v>
      </c>
      <c r="K476" s="35">
        <v>2095.4649989381005</v>
      </c>
      <c r="M476" s="4" t="str">
        <f t="shared" si="33"/>
        <v>per Mtonne</v>
      </c>
    </row>
    <row r="477" spans="1:13" s="7" customFormat="1" ht="13" thickBot="1" x14ac:dyDescent="0.3">
      <c r="A477" s="4" t="str">
        <v>LA CH4</v>
      </c>
      <c r="B477" s="49">
        <v>3180.8203111018161</v>
      </c>
      <c r="C477" s="49">
        <v>3085.6174623057759</v>
      </c>
      <c r="D477" s="49">
        <v>2514.1649823384873</v>
      </c>
      <c r="E477" s="49">
        <v>2290.9513030211597</v>
      </c>
      <c r="F477" s="49">
        <v>2099.2194885859185</v>
      </c>
      <c r="G477" s="49">
        <v>2081.5841351659492</v>
      </c>
      <c r="H477" s="49">
        <v>2244.6136559471656</v>
      </c>
      <c r="I477" s="49">
        <v>2830.543797543181</v>
      </c>
      <c r="J477" s="49">
        <v>2429.2063916398542</v>
      </c>
      <c r="K477" s="49">
        <v>2095.4649989381005</v>
      </c>
      <c r="M477" s="4" t="str">
        <f t="shared" si="33"/>
        <v>per Mtonne</v>
      </c>
    </row>
    <row r="478" spans="1:13" s="2" customFormat="1" ht="15.5" thickTop="1" x14ac:dyDescent="0.4">
      <c r="A478" s="2" t="s">
        <v>396</v>
      </c>
      <c r="B478" s="2" t="s">
        <v>399</v>
      </c>
    </row>
    <row r="479" spans="1:13" s="7" customFormat="1" x14ac:dyDescent="0.25">
      <c r="A479" s="4" t="str">
        <f t="array" ref="A479:A486">R_CODE&amp;" "&amp;'Base data'!$D$11</f>
        <v>EU N2O</v>
      </c>
      <c r="B479" s="39">
        <f t="array" ref="B479:K486">2*LN((1+CURVE_ABOVE)/(1-CURVE_ABOVE))/(QMAX_N2O-Q0_N2O)</f>
        <v>3259.546994055228</v>
      </c>
      <c r="C479" s="39">
        <v>3239.3661489498277</v>
      </c>
      <c r="D479" s="39">
        <v>3117.0517387881405</v>
      </c>
      <c r="E479" s="39">
        <v>3156.2449282227822</v>
      </c>
      <c r="F479" s="39">
        <v>3197.2856211596641</v>
      </c>
      <c r="G479" s="39">
        <v>3248.9246856964605</v>
      </c>
      <c r="H479" s="39">
        <v>3405.1942399630184</v>
      </c>
      <c r="I479" s="39">
        <v>3534.0673149784707</v>
      </c>
      <c r="J479" s="39">
        <v>3266.284701595217</v>
      </c>
      <c r="K479" s="39">
        <v>3018.7924566852644</v>
      </c>
      <c r="M479" s="4" t="str">
        <f t="shared" ref="M479:M486" si="34">"per "&amp;EMIT_NAME</f>
        <v>per Mtonne</v>
      </c>
    </row>
    <row r="480" spans="1:13" s="7" customFormat="1" x14ac:dyDescent="0.25">
      <c r="A480" s="4" t="str">
        <v>US N2O</v>
      </c>
      <c r="B480" s="35">
        <v>3259.546994055228</v>
      </c>
      <c r="C480" s="35">
        <v>3239.3661489498277</v>
      </c>
      <c r="D480" s="35">
        <v>3117.0517387881405</v>
      </c>
      <c r="E480" s="35">
        <v>3156.2449282227822</v>
      </c>
      <c r="F480" s="35">
        <v>3197.2856211596641</v>
      </c>
      <c r="G480" s="35">
        <v>3248.9246856964605</v>
      </c>
      <c r="H480" s="35">
        <v>3405.1942399630184</v>
      </c>
      <c r="I480" s="35">
        <v>3534.0673149784702</v>
      </c>
      <c r="J480" s="35">
        <v>3266.284701595217</v>
      </c>
      <c r="K480" s="35">
        <v>3018.7924566852644</v>
      </c>
      <c r="M480" s="4" t="str">
        <f t="shared" si="34"/>
        <v>per Mtonne</v>
      </c>
    </row>
    <row r="481" spans="1:13" s="7" customFormat="1" x14ac:dyDescent="0.25">
      <c r="A481" s="4" t="str">
        <v>OT N2O</v>
      </c>
      <c r="B481" s="35">
        <v>3259.546994055228</v>
      </c>
      <c r="C481" s="35">
        <v>3239.3661489498277</v>
      </c>
      <c r="D481" s="35">
        <v>3117.0517387881405</v>
      </c>
      <c r="E481" s="35">
        <v>3156.2449282227822</v>
      </c>
      <c r="F481" s="35">
        <v>3197.2856211596641</v>
      </c>
      <c r="G481" s="35">
        <v>3248.9246856964605</v>
      </c>
      <c r="H481" s="35">
        <v>3405.1942399630184</v>
      </c>
      <c r="I481" s="35">
        <v>3534.0673149784707</v>
      </c>
      <c r="J481" s="35">
        <v>3266.284701595217</v>
      </c>
      <c r="K481" s="35">
        <v>3018.7924566852644</v>
      </c>
      <c r="M481" s="4" t="str">
        <f t="shared" si="34"/>
        <v>per Mtonne</v>
      </c>
    </row>
    <row r="482" spans="1:13" s="7" customFormat="1" x14ac:dyDescent="0.25">
      <c r="A482" s="4" t="str">
        <v>EE N2O</v>
      </c>
      <c r="B482" s="35">
        <v>3247.9098692490529</v>
      </c>
      <c r="C482" s="35">
        <v>3216.2800556060433</v>
      </c>
      <c r="D482" s="35">
        <v>3110.443049627148</v>
      </c>
      <c r="E482" s="35">
        <v>3092.0082765132597</v>
      </c>
      <c r="F482" s="35">
        <v>3073.6942953945086</v>
      </c>
      <c r="G482" s="35">
        <v>3138.2430841881546</v>
      </c>
      <c r="H482" s="35">
        <v>3317.1189745458005</v>
      </c>
      <c r="I482" s="35">
        <v>3388.7741812751919</v>
      </c>
      <c r="J482" s="35">
        <v>3132.000688992945</v>
      </c>
      <c r="K482" s="35">
        <v>2894.6833843502086</v>
      </c>
      <c r="M482" s="4" t="str">
        <f t="shared" si="34"/>
        <v>per Mtonne</v>
      </c>
    </row>
    <row r="483" spans="1:13" s="7" customFormat="1" x14ac:dyDescent="0.25">
      <c r="A483" s="4" t="str">
        <v>CA N2O</v>
      </c>
      <c r="B483" s="35">
        <v>3244.803335773538</v>
      </c>
      <c r="C483" s="35">
        <v>3210.145059685819</v>
      </c>
      <c r="D483" s="35">
        <v>3152.0216777247883</v>
      </c>
      <c r="E483" s="35">
        <v>2995.9040809504222</v>
      </c>
      <c r="F483" s="35">
        <v>2852.5532880639166</v>
      </c>
      <c r="G483" s="35">
        <v>2817.0635377123463</v>
      </c>
      <c r="H483" s="35">
        <v>2789.4808899305663</v>
      </c>
      <c r="I483" s="35">
        <v>2743.9309503321169</v>
      </c>
      <c r="J483" s="35">
        <v>2536.0183851953648</v>
      </c>
      <c r="K483" s="35">
        <v>2343.8597276912051</v>
      </c>
      <c r="M483" s="4" t="str">
        <f t="shared" si="34"/>
        <v>per Mtonne</v>
      </c>
    </row>
    <row r="484" spans="1:13" s="7" customFormat="1" x14ac:dyDescent="0.25">
      <c r="A484" s="4" t="str">
        <v>IA N2O</v>
      </c>
      <c r="B484" s="35">
        <v>3244.803335773538</v>
      </c>
      <c r="C484" s="35">
        <v>3210.145059685819</v>
      </c>
      <c r="D484" s="35">
        <v>3152.0216777247883</v>
      </c>
      <c r="E484" s="35">
        <v>2995.9040809504222</v>
      </c>
      <c r="F484" s="35">
        <v>2852.5532880639166</v>
      </c>
      <c r="G484" s="35">
        <v>2817.0635377123463</v>
      </c>
      <c r="H484" s="35">
        <v>2789.4808899305663</v>
      </c>
      <c r="I484" s="35">
        <v>2743.9309503321169</v>
      </c>
      <c r="J484" s="35">
        <v>2536.0183851953648</v>
      </c>
      <c r="K484" s="35">
        <v>2343.8597276912051</v>
      </c>
      <c r="M484" s="4" t="str">
        <f t="shared" si="34"/>
        <v>per Mtonne</v>
      </c>
    </row>
    <row r="485" spans="1:13" s="7" customFormat="1" x14ac:dyDescent="0.25">
      <c r="A485" s="4" t="str">
        <v>AF N2O</v>
      </c>
      <c r="B485" s="35">
        <v>3258.5235209748348</v>
      </c>
      <c r="C485" s="35">
        <v>3237.3291196102377</v>
      </c>
      <c r="D485" s="35">
        <v>3188.7707660732722</v>
      </c>
      <c r="E485" s="35">
        <v>3064.5536739536237</v>
      </c>
      <c r="F485" s="35">
        <v>2948.0731936280122</v>
      </c>
      <c r="G485" s="35">
        <v>2872.64637014347</v>
      </c>
      <c r="H485" s="35">
        <v>2777.3050603245165</v>
      </c>
      <c r="I485" s="35">
        <v>2712.1289467816341</v>
      </c>
      <c r="J485" s="35">
        <v>2506.6260764420012</v>
      </c>
      <c r="K485" s="35">
        <v>2316.6945268420918</v>
      </c>
      <c r="M485" s="4" t="str">
        <f t="shared" si="34"/>
        <v>per Mtonne</v>
      </c>
    </row>
    <row r="486" spans="1:13" s="7" customFormat="1" ht="13" thickBot="1" x14ac:dyDescent="0.3">
      <c r="A486" s="4" t="str">
        <v>LA N2O</v>
      </c>
      <c r="B486" s="49">
        <v>3258.5235209748348</v>
      </c>
      <c r="C486" s="49">
        <v>3237.3291196102377</v>
      </c>
      <c r="D486" s="49">
        <v>3188.7707660732722</v>
      </c>
      <c r="E486" s="49">
        <v>3064.5536739536237</v>
      </c>
      <c r="F486" s="49">
        <v>2948.0731936280122</v>
      </c>
      <c r="G486" s="49">
        <v>2872.64637014347</v>
      </c>
      <c r="H486" s="49">
        <v>2777.3050603245165</v>
      </c>
      <c r="I486" s="49">
        <v>2712.1289467816341</v>
      </c>
      <c r="J486" s="49">
        <v>2506.6260764420012</v>
      </c>
      <c r="K486" s="49">
        <v>2316.6945268420918</v>
      </c>
      <c r="M486" s="4" t="str">
        <f t="shared" si="34"/>
        <v>per Mtonne</v>
      </c>
    </row>
    <row r="487" spans="1:13" s="2" customFormat="1" ht="15.5" thickTop="1" x14ac:dyDescent="0.4">
      <c r="A487" s="2" t="s">
        <v>396</v>
      </c>
      <c r="B487" s="2" t="s">
        <v>400</v>
      </c>
    </row>
    <row r="488" spans="1:13" s="7" customFormat="1" x14ac:dyDescent="0.25">
      <c r="A488" s="4" t="str">
        <f t="array" ref="A488:A495">R_CODE&amp;" "&amp;GLIN_NAME</f>
        <v>EU Lin</v>
      </c>
      <c r="B488" s="93">
        <f t="array" ref="B488:K495">2*LN((1+CURVE_ABOVE)/(1-CURVE_ABOVE))/(QMAX_GLIN-Q0_GLIN)</f>
        <v>2324.1423808880254</v>
      </c>
      <c r="C488" s="93">
        <v>2233.635119988463</v>
      </c>
      <c r="D488" s="93">
        <v>2440.5409443938497</v>
      </c>
      <c r="E488" s="93">
        <v>2325.9607203484229</v>
      </c>
      <c r="F488" s="93">
        <v>2220.208086605227</v>
      </c>
      <c r="G488" s="93">
        <v>2123.1668284964499</v>
      </c>
      <c r="H488" s="93">
        <v>1934.8136854971615</v>
      </c>
      <c r="I488" s="93">
        <v>1771.5344360677241</v>
      </c>
      <c r="J488" s="93">
        <v>1637.302097317965</v>
      </c>
      <c r="K488" s="93">
        <v>1513.2407834150181</v>
      </c>
      <c r="M488" s="4" t="str">
        <f t="shared" ref="M488:M495" si="35">"per "&amp;EMIT_NAME</f>
        <v>per Mtonne</v>
      </c>
    </row>
    <row r="489" spans="1:13" s="7" customFormat="1" x14ac:dyDescent="0.25">
      <c r="A489" s="4" t="str">
        <v>US Lin</v>
      </c>
      <c r="B489" s="94">
        <v>2324.1423808880254</v>
      </c>
      <c r="C489" s="94">
        <v>2233.635119988463</v>
      </c>
      <c r="D489" s="94">
        <v>2440.5409443938497</v>
      </c>
      <c r="E489" s="94">
        <v>2325.9607203484225</v>
      </c>
      <c r="F489" s="94">
        <v>2220.208086605227</v>
      </c>
      <c r="G489" s="94">
        <v>2123.1668284964499</v>
      </c>
      <c r="H489" s="94">
        <v>1934.8136854971615</v>
      </c>
      <c r="I489" s="94">
        <v>1771.5344360677241</v>
      </c>
      <c r="J489" s="94">
        <v>1637.3020973179648</v>
      </c>
      <c r="K489" s="94">
        <v>1513.2407834150181</v>
      </c>
      <c r="M489" s="4" t="str">
        <f t="shared" si="35"/>
        <v>per Mtonne</v>
      </c>
    </row>
    <row r="490" spans="1:13" s="7" customFormat="1" x14ac:dyDescent="0.25">
      <c r="A490" s="4" t="str">
        <v>OT Lin</v>
      </c>
      <c r="B490" s="94">
        <v>2324.1423808880254</v>
      </c>
      <c r="C490" s="94">
        <v>2233.635119988463</v>
      </c>
      <c r="D490" s="94">
        <v>2440.5409443938497</v>
      </c>
      <c r="E490" s="94">
        <v>2325.9607203484229</v>
      </c>
      <c r="F490" s="94">
        <v>2220.208086605227</v>
      </c>
      <c r="G490" s="94">
        <v>2123.1668284964499</v>
      </c>
      <c r="H490" s="94">
        <v>1934.8136854971615</v>
      </c>
      <c r="I490" s="94">
        <v>1771.5344360677241</v>
      </c>
      <c r="J490" s="94">
        <v>1637.302097317965</v>
      </c>
      <c r="K490" s="94">
        <v>1513.2407834150181</v>
      </c>
      <c r="M490" s="4" t="str">
        <f t="shared" si="35"/>
        <v>per Mtonne</v>
      </c>
    </row>
    <row r="491" spans="1:13" s="7" customFormat="1" x14ac:dyDescent="0.25">
      <c r="A491" s="4" t="str">
        <v>EE Lin</v>
      </c>
      <c r="B491" s="94">
        <v>2316.6768313723137</v>
      </c>
      <c r="C491" s="94">
        <v>2219.7769071517446</v>
      </c>
      <c r="D491" s="94">
        <v>1283.7081191496311</v>
      </c>
      <c r="E491" s="94">
        <v>880.31575557707095</v>
      </c>
      <c r="F491" s="94">
        <v>667.32610154387953</v>
      </c>
      <c r="G491" s="94">
        <v>639.27303530362019</v>
      </c>
      <c r="H491" s="94">
        <v>617.3484546978641</v>
      </c>
      <c r="I491" s="94">
        <v>669.51975387716823</v>
      </c>
      <c r="J491" s="94">
        <v>618.78904236947506</v>
      </c>
      <c r="K491" s="94">
        <v>571.90228778041353</v>
      </c>
      <c r="M491" s="4" t="str">
        <f t="shared" si="35"/>
        <v>per Mtonne</v>
      </c>
    </row>
    <row r="492" spans="1:13" s="7" customFormat="1" x14ac:dyDescent="0.25">
      <c r="A492" s="4" t="str">
        <v>CA Lin</v>
      </c>
      <c r="B492" s="94">
        <v>2258.3402999442219</v>
      </c>
      <c r="C492" s="94">
        <v>2114.2869547744926</v>
      </c>
      <c r="D492" s="94">
        <v>1008.4977531832709</v>
      </c>
      <c r="E492" s="94">
        <v>519.07107478809121</v>
      </c>
      <c r="F492" s="94">
        <v>347.68178786342145</v>
      </c>
      <c r="G492" s="94">
        <v>253.74460575428685</v>
      </c>
      <c r="H492" s="94">
        <v>205.13807000738174</v>
      </c>
      <c r="I492" s="94">
        <v>217.38086312864175</v>
      </c>
      <c r="J492" s="94">
        <v>200.90952559033863</v>
      </c>
      <c r="K492" s="94">
        <v>185.68625081338425</v>
      </c>
      <c r="M492" s="4" t="str">
        <f t="shared" si="35"/>
        <v>per Mtonne</v>
      </c>
    </row>
    <row r="493" spans="1:13" s="7" customFormat="1" x14ac:dyDescent="0.25">
      <c r="A493" s="4" t="str">
        <v>IA Lin</v>
      </c>
      <c r="B493" s="94">
        <v>2258.3402999442219</v>
      </c>
      <c r="C493" s="94">
        <v>2114.2869547744926</v>
      </c>
      <c r="D493" s="94">
        <v>1008.4977531832709</v>
      </c>
      <c r="E493" s="94">
        <v>519.07107478809121</v>
      </c>
      <c r="F493" s="94">
        <v>347.68178786342145</v>
      </c>
      <c r="G493" s="94">
        <v>253.74460575428685</v>
      </c>
      <c r="H493" s="94">
        <v>205.13807000738174</v>
      </c>
      <c r="I493" s="94">
        <v>217.38086312864175</v>
      </c>
      <c r="J493" s="94">
        <v>200.90952559033863</v>
      </c>
      <c r="K493" s="94">
        <v>185.68625081338425</v>
      </c>
      <c r="M493" s="4" t="str">
        <f t="shared" si="35"/>
        <v>per Mtonne</v>
      </c>
    </row>
    <row r="494" spans="1:13" s="7" customFormat="1" x14ac:dyDescent="0.25">
      <c r="A494" s="4" t="str">
        <v>AF Lin</v>
      </c>
      <c r="B494" s="94">
        <v>2231.7941549655452</v>
      </c>
      <c r="C494" s="94">
        <v>2067.8678535514159</v>
      </c>
      <c r="D494" s="94">
        <v>1000.9891993876823</v>
      </c>
      <c r="E494" s="94">
        <v>489.86200509817337</v>
      </c>
      <c r="F494" s="94">
        <v>322.55981720972278</v>
      </c>
      <c r="G494" s="94">
        <v>263.05818147167309</v>
      </c>
      <c r="H494" s="94">
        <v>225.73157979913944</v>
      </c>
      <c r="I494" s="94">
        <v>234.89973925371339</v>
      </c>
      <c r="J494" s="94">
        <v>217.10096507818884</v>
      </c>
      <c r="K494" s="94">
        <v>200.65083591673618</v>
      </c>
      <c r="M494" s="4" t="str">
        <f t="shared" si="35"/>
        <v>per Mtonne</v>
      </c>
    </row>
    <row r="495" spans="1:13" s="7" customFormat="1" ht="13" thickBot="1" x14ac:dyDescent="0.3">
      <c r="A495" s="4" t="str">
        <v>LA Lin</v>
      </c>
      <c r="B495" s="95">
        <v>2231.7941549655452</v>
      </c>
      <c r="C495" s="95">
        <v>2067.8678535514159</v>
      </c>
      <c r="D495" s="95">
        <v>1000.9891993876823</v>
      </c>
      <c r="E495" s="95">
        <v>489.86200509817337</v>
      </c>
      <c r="F495" s="95">
        <v>322.55981720972278</v>
      </c>
      <c r="G495" s="95">
        <v>263.05818147167309</v>
      </c>
      <c r="H495" s="95">
        <v>225.73157979913944</v>
      </c>
      <c r="I495" s="95">
        <v>234.89973925371339</v>
      </c>
      <c r="J495" s="95">
        <v>217.10096507818884</v>
      </c>
      <c r="K495" s="95">
        <v>200.65083591673618</v>
      </c>
      <c r="M495" s="4" t="str">
        <f t="shared" si="35"/>
        <v>per Mtonne</v>
      </c>
    </row>
    <row r="496" spans="1:13" s="2" customFormat="1" ht="15.5" thickTop="1" x14ac:dyDescent="0.4">
      <c r="A496" s="2" t="s">
        <v>401</v>
      </c>
      <c r="B496" s="2" t="s">
        <v>402</v>
      </c>
    </row>
    <row r="497" spans="1:13" s="6" customFormat="1" x14ac:dyDescent="0.25">
      <c r="A497" s="4" t="str">
        <f t="array" ref="A497:A504">R_CODE&amp;" "&amp;'Base data'!$B$11</f>
        <v>EU CO2</v>
      </c>
      <c r="B497" s="37">
        <f t="array" ref="B497:K504">cmax_co2/(EXP(BHI_CO2*(QMAX_CO2-Q0_CO2))-1)</f>
        <v>88.716885694475664</v>
      </c>
      <c r="C497" s="37">
        <v>87.025550849102416</v>
      </c>
      <c r="D497" s="37">
        <v>84.256201267235227</v>
      </c>
      <c r="E497" s="37">
        <v>79.907418752076154</v>
      </c>
      <c r="F497" s="37">
        <v>74.304141674337174</v>
      </c>
      <c r="G497" s="37">
        <v>67.584179376919224</v>
      </c>
      <c r="H497" s="37">
        <v>59.199797609554828</v>
      </c>
      <c r="I497" s="37">
        <v>51.566172218656952</v>
      </c>
      <c r="J497" s="37">
        <v>37.57783526538649</v>
      </c>
      <c r="K497" s="37">
        <v>27.716393890001491</v>
      </c>
      <c r="M497" s="43" t="str">
        <f t="shared" ref="M497:M504" si="36">CURRENCY_NAME&amp;" per "&amp;EMIT_NAME</f>
        <v>$million per Mtonne</v>
      </c>
    </row>
    <row r="498" spans="1:13" s="6" customFormat="1" x14ac:dyDescent="0.25">
      <c r="A498" s="4" t="str">
        <v>US CO2</v>
      </c>
      <c r="B498" s="38">
        <v>88.716885694475664</v>
      </c>
      <c r="C498" s="38">
        <v>85.400834965998911</v>
      </c>
      <c r="D498" s="38">
        <v>79.867812568067691</v>
      </c>
      <c r="E498" s="38">
        <v>73.618301930062387</v>
      </c>
      <c r="F498" s="38">
        <v>67.117482134487844</v>
      </c>
      <c r="G498" s="38">
        <v>60.55981932749652</v>
      </c>
      <c r="H498" s="38">
        <v>52.872214047228709</v>
      </c>
      <c r="I498" s="38">
        <v>46.15194261001777</v>
      </c>
      <c r="J498" s="38">
        <v>33.961541466937156</v>
      </c>
      <c r="K498" s="38">
        <v>24.925818048407514</v>
      </c>
      <c r="M498" s="43" t="str">
        <f t="shared" si="36"/>
        <v>$million per Mtonne</v>
      </c>
    </row>
    <row r="499" spans="1:13" s="6" customFormat="1" x14ac:dyDescent="0.25">
      <c r="A499" s="4" t="str">
        <v>OT CO2</v>
      </c>
      <c r="B499" s="38">
        <v>109.41749232694768</v>
      </c>
      <c r="C499" s="38">
        <v>107.33151268488446</v>
      </c>
      <c r="D499" s="38">
        <v>104.44296926536121</v>
      </c>
      <c r="E499" s="38">
        <v>100.79852728983673</v>
      </c>
      <c r="F499" s="38">
        <v>95.896722971428744</v>
      </c>
      <c r="G499" s="38">
        <v>89.085108690760791</v>
      </c>
      <c r="H499" s="38">
        <v>79.34632655122698</v>
      </c>
      <c r="I499" s="38">
        <v>69.475206221888257</v>
      </c>
      <c r="J499" s="38">
        <v>50.964242039148886</v>
      </c>
      <c r="K499" s="38">
        <v>38.079671114119655</v>
      </c>
      <c r="M499" s="43" t="str">
        <f t="shared" si="36"/>
        <v>$million per Mtonne</v>
      </c>
    </row>
    <row r="500" spans="1:13" s="6" customFormat="1" x14ac:dyDescent="0.25">
      <c r="A500" s="4" t="str">
        <v>EE CO2</v>
      </c>
      <c r="B500" s="38">
        <v>62.101819986132959</v>
      </c>
      <c r="C500" s="38">
        <v>60.917885594371683</v>
      </c>
      <c r="D500" s="38">
        <v>59.278442031496482</v>
      </c>
      <c r="E500" s="38">
        <v>57.209974963747868</v>
      </c>
      <c r="F500" s="38">
        <v>54.42786980930493</v>
      </c>
      <c r="G500" s="38">
        <v>50.561818459772823</v>
      </c>
      <c r="H500" s="38">
        <v>45.101374433824311</v>
      </c>
      <c r="I500" s="38">
        <v>39.494270767152187</v>
      </c>
      <c r="J500" s="38">
        <v>28.968918675841483</v>
      </c>
      <c r="K500" s="38">
        <v>21.633187054696215</v>
      </c>
      <c r="M500" s="43" t="str">
        <f t="shared" si="36"/>
        <v>$million per Mtonne</v>
      </c>
    </row>
    <row r="501" spans="1:13" s="6" customFormat="1" x14ac:dyDescent="0.25">
      <c r="A501" s="4" t="str">
        <v>CA CO2</v>
      </c>
      <c r="B501" s="38">
        <v>88.716885694475664</v>
      </c>
      <c r="C501" s="38">
        <v>87.025550849102416</v>
      </c>
      <c r="D501" s="38">
        <v>84.683488616423574</v>
      </c>
      <c r="E501" s="38">
        <v>81.728535662496981</v>
      </c>
      <c r="F501" s="38">
        <v>77.246154336250541</v>
      </c>
      <c r="G501" s="38">
        <v>70.26098055107397</v>
      </c>
      <c r="H501" s="38">
        <v>61.129453147279115</v>
      </c>
      <c r="I501" s="38">
        <v>52.441809899605623</v>
      </c>
      <c r="J501" s="38">
        <v>37.437357600178117</v>
      </c>
      <c r="K501" s="38">
        <v>27.535703292416116</v>
      </c>
      <c r="M501" s="43" t="str">
        <f t="shared" si="36"/>
        <v>$million per Mtonne</v>
      </c>
    </row>
    <row r="502" spans="1:13" s="6" customFormat="1" x14ac:dyDescent="0.25">
      <c r="A502" s="4" t="str">
        <v>IA CO2</v>
      </c>
      <c r="B502" s="38">
        <v>109.41749232694771</v>
      </c>
      <c r="C502" s="38">
        <v>107.33151268488446</v>
      </c>
      <c r="D502" s="38">
        <v>104.44296926536121</v>
      </c>
      <c r="E502" s="38">
        <v>100.79852728983673</v>
      </c>
      <c r="F502" s="38">
        <v>94.87552785340101</v>
      </c>
      <c r="G502" s="38">
        <v>85.225921652875925</v>
      </c>
      <c r="H502" s="38">
        <v>73.157373687677278</v>
      </c>
      <c r="I502" s="38">
        <v>62.0289889522235</v>
      </c>
      <c r="J502" s="38">
        <v>43.73010353791345</v>
      </c>
      <c r="K502" s="38">
        <v>32.015799352042947</v>
      </c>
      <c r="M502" s="43" t="str">
        <f t="shared" si="36"/>
        <v>$million per Mtonne</v>
      </c>
    </row>
    <row r="503" spans="1:13" s="6" customFormat="1" x14ac:dyDescent="0.25">
      <c r="A503" s="4" t="str">
        <v>AF CO2</v>
      </c>
      <c r="B503" s="38">
        <v>109.41749232694768</v>
      </c>
      <c r="C503" s="38">
        <v>107.33151268488446</v>
      </c>
      <c r="D503" s="38">
        <v>104.44296926536121</v>
      </c>
      <c r="E503" s="38">
        <v>100.79852728983673</v>
      </c>
      <c r="F503" s="38">
        <v>95.224303440718145</v>
      </c>
      <c r="G503" s="38">
        <v>86.676699117294802</v>
      </c>
      <c r="H503" s="38">
        <v>75.356719248818962</v>
      </c>
      <c r="I503" s="38">
        <v>64.648499496251617</v>
      </c>
      <c r="J503" s="38">
        <v>46.325591919096695</v>
      </c>
      <c r="K503" s="38">
        <v>34.125780987075053</v>
      </c>
      <c r="M503" s="43" t="str">
        <f t="shared" si="36"/>
        <v>$million per Mtonne</v>
      </c>
    </row>
    <row r="504" spans="1:13" s="6" customFormat="1" ht="13" thickBot="1" x14ac:dyDescent="0.3">
      <c r="A504" s="4" t="str">
        <v>LA CO2</v>
      </c>
      <c r="B504" s="50">
        <v>62.101819986132959</v>
      </c>
      <c r="C504" s="50">
        <v>60.91788559437169</v>
      </c>
      <c r="D504" s="50">
        <v>59.278442031496482</v>
      </c>
      <c r="E504" s="50">
        <v>57.209974963747868</v>
      </c>
      <c r="F504" s="50">
        <v>54.10164990032392</v>
      </c>
      <c r="G504" s="50">
        <v>49.386432310006164</v>
      </c>
      <c r="H504" s="50">
        <v>43.085367081854812</v>
      </c>
      <c r="I504" s="50">
        <v>37.076516735019602</v>
      </c>
      <c r="J504" s="50">
        <v>26.648767855792052</v>
      </c>
      <c r="K504" s="50">
        <v>19.653666126903229</v>
      </c>
      <c r="M504" s="43" t="str">
        <f t="shared" si="36"/>
        <v>$million per Mtonne</v>
      </c>
    </row>
    <row r="505" spans="1:13" s="2" customFormat="1" ht="15.5" thickTop="1" x14ac:dyDescent="0.4">
      <c r="A505" s="2" t="s">
        <v>401</v>
      </c>
      <c r="B505" s="2" t="s">
        <v>403</v>
      </c>
    </row>
    <row r="506" spans="1:13" s="7" customFormat="1" x14ac:dyDescent="0.25">
      <c r="A506" s="4" t="str">
        <f t="array" ref="A506:A513">R_CODE&amp;" "&amp;'Base data'!$C$11</f>
        <v>EU CH4</v>
      </c>
      <c r="B506" s="37">
        <f t="array" ref="B506:K513">cmax_ch4/(EXP(BHI_CH4*(QMAX_CH4-Q0_CH4))-1)</f>
        <v>1404.6840234219337</v>
      </c>
      <c r="C506" s="37">
        <v>1384.6495515090633</v>
      </c>
      <c r="D506" s="37">
        <v>1364.9034223969563</v>
      </c>
      <c r="E506" s="37">
        <v>1345.4385590590598</v>
      </c>
      <c r="F506" s="37">
        <v>1326.251300269724</v>
      </c>
      <c r="G506" s="37">
        <v>1307.3376876284535</v>
      </c>
      <c r="H506" s="37">
        <v>1270.3188669128253</v>
      </c>
      <c r="I506" s="37">
        <v>1234.3471969293325</v>
      </c>
      <c r="J506" s="37">
        <v>1069.2209838892818</v>
      </c>
      <c r="K506" s="37">
        <v>926.17175843289704</v>
      </c>
      <c r="M506" s="43" t="str">
        <f t="shared" ref="M506:M513" si="37">CURRENCY_NAME&amp;" per "&amp;EMIT_NAME</f>
        <v>$million per Mtonne</v>
      </c>
    </row>
    <row r="507" spans="1:13" s="7" customFormat="1" x14ac:dyDescent="0.25">
      <c r="A507" s="4" t="str">
        <v>US CH4</v>
      </c>
      <c r="B507" s="38">
        <v>1404.6840234219337</v>
      </c>
      <c r="C507" s="38">
        <v>1384.6495515090633</v>
      </c>
      <c r="D507" s="38">
        <v>1364.9034223969563</v>
      </c>
      <c r="E507" s="38">
        <v>1345.4385590590598</v>
      </c>
      <c r="F507" s="38">
        <v>1326.251300269724</v>
      </c>
      <c r="G507" s="38">
        <v>1307.3376876284535</v>
      </c>
      <c r="H507" s="38">
        <v>1270.3188669128253</v>
      </c>
      <c r="I507" s="38">
        <v>1234.3471969293325</v>
      </c>
      <c r="J507" s="38">
        <v>1069.2209838892818</v>
      </c>
      <c r="K507" s="38">
        <v>926.17175843289704</v>
      </c>
      <c r="M507" s="43" t="str">
        <f t="shared" si="37"/>
        <v>$million per Mtonne</v>
      </c>
    </row>
    <row r="508" spans="1:13" s="7" customFormat="1" x14ac:dyDescent="0.25">
      <c r="A508" s="4" t="str">
        <v>OT CH4</v>
      </c>
      <c r="B508" s="38">
        <v>1732.4436284188237</v>
      </c>
      <c r="C508" s="38">
        <v>1707.7344463996285</v>
      </c>
      <c r="D508" s="38">
        <v>1683.3808871679453</v>
      </c>
      <c r="E508" s="38">
        <v>1659.3742223910276</v>
      </c>
      <c r="F508" s="38">
        <v>1635.7099365572426</v>
      </c>
      <c r="G508" s="38">
        <v>1612.3831476393132</v>
      </c>
      <c r="H508" s="38">
        <v>1566.7266021023781</v>
      </c>
      <c r="I508" s="38">
        <v>1522.3615424680611</v>
      </c>
      <c r="J508" s="38">
        <v>1318.705879773707</v>
      </c>
      <c r="K508" s="38">
        <v>1142.2785017585159</v>
      </c>
      <c r="M508" s="43" t="str">
        <f t="shared" si="37"/>
        <v>$million per Mtonne</v>
      </c>
    </row>
    <row r="509" spans="1:13" s="7" customFormat="1" x14ac:dyDescent="0.25">
      <c r="A509" s="4" t="str">
        <v>EE CH4</v>
      </c>
      <c r="B509" s="38">
        <v>983.27881639535326</v>
      </c>
      <c r="C509" s="38">
        <v>969.25461342543372</v>
      </c>
      <c r="D509" s="38">
        <v>955.4322278357206</v>
      </c>
      <c r="E509" s="38">
        <v>941.80661318215709</v>
      </c>
      <c r="F509" s="38">
        <v>928.37535715269075</v>
      </c>
      <c r="G509" s="38">
        <v>915.13568797286973</v>
      </c>
      <c r="H509" s="38">
        <v>889.2223653175206</v>
      </c>
      <c r="I509" s="38">
        <v>864.04207271440202</v>
      </c>
      <c r="J509" s="38">
        <v>748.45360140653543</v>
      </c>
      <c r="K509" s="38">
        <v>648.31889842414625</v>
      </c>
      <c r="M509" s="43" t="str">
        <f t="shared" si="37"/>
        <v>$million per Mtonne</v>
      </c>
    </row>
    <row r="510" spans="1:13" s="7" customFormat="1" x14ac:dyDescent="0.25">
      <c r="A510" s="4" t="str">
        <v>CA CH4</v>
      </c>
      <c r="B510" s="38">
        <v>1404.6840234219337</v>
      </c>
      <c r="C510" s="38">
        <v>1384.6495054151314</v>
      </c>
      <c r="D510" s="38">
        <v>1364.9033158788714</v>
      </c>
      <c r="E510" s="38">
        <v>1345.4380117751055</v>
      </c>
      <c r="F510" s="38">
        <v>1326.2499417361707</v>
      </c>
      <c r="G510" s="38">
        <v>1307.3351574644325</v>
      </c>
      <c r="H510" s="38">
        <v>1270.3147505908112</v>
      </c>
      <c r="I510" s="38">
        <v>1234.3418037695587</v>
      </c>
      <c r="J510" s="38">
        <v>1069.2141563310604</v>
      </c>
      <c r="K510" s="38">
        <v>926.16249305067856</v>
      </c>
      <c r="M510" s="43" t="str">
        <f t="shared" si="37"/>
        <v>$million per Mtonne</v>
      </c>
    </row>
    <row r="511" spans="1:13" s="7" customFormat="1" x14ac:dyDescent="0.25">
      <c r="A511" s="4" t="str">
        <v>IA CH4</v>
      </c>
      <c r="B511" s="38">
        <v>1732.4436284188237</v>
      </c>
      <c r="C511" s="38">
        <v>1707.7343895504459</v>
      </c>
      <c r="D511" s="38">
        <v>1683.3807557956404</v>
      </c>
      <c r="E511" s="38">
        <v>1659.3735474074842</v>
      </c>
      <c r="F511" s="38">
        <v>1635.7082610325274</v>
      </c>
      <c r="G511" s="38">
        <v>1612.3800271036887</v>
      </c>
      <c r="H511" s="38">
        <v>1566.7215253052291</v>
      </c>
      <c r="I511" s="38">
        <v>1522.354890904342</v>
      </c>
      <c r="J511" s="38">
        <v>1318.6974591185701</v>
      </c>
      <c r="K511" s="38">
        <v>1142.2670744537829</v>
      </c>
      <c r="M511" s="43" t="str">
        <f t="shared" si="37"/>
        <v>$million per Mtonne</v>
      </c>
    </row>
    <row r="512" spans="1:13" s="7" customFormat="1" x14ac:dyDescent="0.25">
      <c r="A512" s="4" t="str">
        <v>AF CH4</v>
      </c>
      <c r="B512" s="38">
        <v>1732.4436284188237</v>
      </c>
      <c r="C512" s="38">
        <v>1707.7343868410924</v>
      </c>
      <c r="D512" s="38">
        <v>1683.3807495346196</v>
      </c>
      <c r="E512" s="38">
        <v>1659.3734721425858</v>
      </c>
      <c r="F512" s="38">
        <v>1635.7082077910147</v>
      </c>
      <c r="G512" s="38">
        <v>1612.3800844810485</v>
      </c>
      <c r="H512" s="38">
        <v>1566.7214671757879</v>
      </c>
      <c r="I512" s="38">
        <v>1522.3538939930095</v>
      </c>
      <c r="J512" s="38">
        <v>1318.6948751921736</v>
      </c>
      <c r="K512" s="38">
        <v>1142.2621619783547</v>
      </c>
      <c r="M512" s="43" t="str">
        <f t="shared" si="37"/>
        <v>$million per Mtonne</v>
      </c>
    </row>
    <row r="513" spans="1:13" s="7" customFormat="1" ht="13" thickBot="1" x14ac:dyDescent="0.3">
      <c r="A513" s="4" t="str">
        <v>LA CH4</v>
      </c>
      <c r="B513" s="50">
        <v>983.2788163953536</v>
      </c>
      <c r="C513" s="50">
        <v>969.25465225285097</v>
      </c>
      <c r="D513" s="50">
        <v>955.43231756165756</v>
      </c>
      <c r="E513" s="50">
        <v>941.80656552465848</v>
      </c>
      <c r="F513" s="50">
        <v>928.37492899716369</v>
      </c>
      <c r="G513" s="50">
        <v>915.13464279063135</v>
      </c>
      <c r="H513" s="50">
        <v>889.22029242118242</v>
      </c>
      <c r="I513" s="50">
        <v>864.03869682415097</v>
      </c>
      <c r="J513" s="50">
        <v>748.44844287892226</v>
      </c>
      <c r="K513" s="50">
        <v>648.31095697374474</v>
      </c>
      <c r="M513" s="43" t="str">
        <f t="shared" si="37"/>
        <v>$million per Mtonne</v>
      </c>
    </row>
    <row r="514" spans="1:13" s="2" customFormat="1" ht="15.5" thickTop="1" x14ac:dyDescent="0.4">
      <c r="A514" s="2" t="s">
        <v>401</v>
      </c>
      <c r="B514" s="2" t="s">
        <v>404</v>
      </c>
    </row>
    <row r="515" spans="1:13" s="7" customFormat="1" x14ac:dyDescent="0.25">
      <c r="A515" s="4" t="str">
        <f t="array" ref="A515:A522">R_CODE&amp;" "&amp;'Base data'!$D$11</f>
        <v>EU N2O</v>
      </c>
      <c r="B515" s="37">
        <f t="array" ref="B515:K522">cmax_n2o/(EXP(BHI_N2O*(QMAX_N2O-Q0_N2O))-1)</f>
        <v>6062.3205217165296</v>
      </c>
      <c r="C515" s="37">
        <v>5974.5938090223781</v>
      </c>
      <c r="D515" s="37">
        <v>5888.5636616536895</v>
      </c>
      <c r="E515" s="37">
        <v>5803.7531945730307</v>
      </c>
      <c r="F515" s="37">
        <v>5720.1641167705147</v>
      </c>
      <c r="G515" s="37">
        <v>5637.7788402796541</v>
      </c>
      <c r="H515" s="37">
        <v>5476.9707107533504</v>
      </c>
      <c r="I515" s="37">
        <v>5320.419755936362</v>
      </c>
      <c r="J515" s="37">
        <v>4604.9904519439742</v>
      </c>
      <c r="K515" s="37">
        <v>3983.6110950884554</v>
      </c>
      <c r="M515" s="43" t="str">
        <f t="shared" ref="M515:M522" si="38">CURRENCY_NAME&amp;" per "&amp;EMIT_NAME</f>
        <v>$million per Mtonne</v>
      </c>
    </row>
    <row r="516" spans="1:13" s="7" customFormat="1" x14ac:dyDescent="0.25">
      <c r="A516" s="4" t="str">
        <v>US N2O</v>
      </c>
      <c r="B516" s="38">
        <v>6062.3205217165296</v>
      </c>
      <c r="C516" s="38">
        <v>5974.5938090223781</v>
      </c>
      <c r="D516" s="38">
        <v>5888.5636616536895</v>
      </c>
      <c r="E516" s="38">
        <v>5803.7531945730307</v>
      </c>
      <c r="F516" s="38">
        <v>5720.1641167705147</v>
      </c>
      <c r="G516" s="38">
        <v>5637.7788402796541</v>
      </c>
      <c r="H516" s="38">
        <v>5476.9707107533504</v>
      </c>
      <c r="I516" s="38">
        <v>5320.419755936362</v>
      </c>
      <c r="J516" s="38">
        <v>4604.9904519439742</v>
      </c>
      <c r="K516" s="38">
        <v>3983.6110950884554</v>
      </c>
      <c r="M516" s="43" t="str">
        <f t="shared" si="38"/>
        <v>$million per Mtonne</v>
      </c>
    </row>
    <row r="517" spans="1:13" s="7" customFormat="1" x14ac:dyDescent="0.25">
      <c r="A517" s="4" t="str">
        <v>OT N2O</v>
      </c>
      <c r="B517" s="38">
        <v>7476.8619747629464</v>
      </c>
      <c r="C517" s="38">
        <v>7368.6656958027352</v>
      </c>
      <c r="D517" s="38">
        <v>7262.5618474100283</v>
      </c>
      <c r="E517" s="38">
        <v>7157.9622713721528</v>
      </c>
      <c r="F517" s="38">
        <v>7054.8690754435793</v>
      </c>
      <c r="G517" s="38">
        <v>6953.2605677989804</v>
      </c>
      <c r="H517" s="38">
        <v>6754.9305414368091</v>
      </c>
      <c r="I517" s="38">
        <v>6561.8510305480404</v>
      </c>
      <c r="J517" s="38">
        <v>5679.4882225292376</v>
      </c>
      <c r="K517" s="38">
        <v>4913.1203492812238</v>
      </c>
      <c r="M517" s="43" t="str">
        <f t="shared" si="38"/>
        <v>$million per Mtonne</v>
      </c>
    </row>
    <row r="518" spans="1:13" s="7" customFormat="1" x14ac:dyDescent="0.25">
      <c r="A518" s="4" t="str">
        <v>EE N2O</v>
      </c>
      <c r="B518" s="38">
        <v>4243.6243652015701</v>
      </c>
      <c r="C518" s="38">
        <v>4182.2145834545327</v>
      </c>
      <c r="D518" s="38">
        <v>4121.9920739839354</v>
      </c>
      <c r="E518" s="38">
        <v>4062.6243563362959</v>
      </c>
      <c r="F518" s="38">
        <v>4004.108008141252</v>
      </c>
      <c r="G518" s="38">
        <v>3946.4308787062541</v>
      </c>
      <c r="H518" s="38">
        <v>3833.8562049223738</v>
      </c>
      <c r="I518" s="38">
        <v>3724.2626204680664</v>
      </c>
      <c r="J518" s="38">
        <v>3223.4322532632686</v>
      </c>
      <c r="K518" s="38">
        <v>2788.4261826199072</v>
      </c>
      <c r="M518" s="43" t="str">
        <f t="shared" si="38"/>
        <v>$million per Mtonne</v>
      </c>
    </row>
    <row r="519" spans="1:13" s="7" customFormat="1" x14ac:dyDescent="0.25">
      <c r="A519" s="4" t="str">
        <v>CA N2O</v>
      </c>
      <c r="B519" s="38">
        <v>6062.3205217165296</v>
      </c>
      <c r="C519" s="38">
        <v>5974.5918472445701</v>
      </c>
      <c r="D519" s="38">
        <v>5888.5591521145188</v>
      </c>
      <c r="E519" s="38">
        <v>5803.7519422530631</v>
      </c>
      <c r="F519" s="38">
        <v>5720.1480277363116</v>
      </c>
      <c r="G519" s="38">
        <v>5637.7306253952147</v>
      </c>
      <c r="H519" s="38">
        <v>5476.8655307926929</v>
      </c>
      <c r="I519" s="38">
        <v>5320.2155292311027</v>
      </c>
      <c r="J519" s="38">
        <v>4604.4868523950936</v>
      </c>
      <c r="K519" s="38">
        <v>3982.7075812572666</v>
      </c>
      <c r="M519" s="43" t="str">
        <f t="shared" si="38"/>
        <v>$million per Mtonne</v>
      </c>
    </row>
    <row r="520" spans="1:13" s="7" customFormat="1" x14ac:dyDescent="0.25">
      <c r="A520" s="4" t="str">
        <v>IA N2O</v>
      </c>
      <c r="B520" s="38">
        <v>7476.8619747629464</v>
      </c>
      <c r="C520" s="38">
        <v>7368.6632762767722</v>
      </c>
      <c r="D520" s="38">
        <v>7262.5562856450533</v>
      </c>
      <c r="E520" s="38">
        <v>7157.9607268441932</v>
      </c>
      <c r="F520" s="38">
        <v>7054.8492323014016</v>
      </c>
      <c r="G520" s="38">
        <v>6953.2011027748549</v>
      </c>
      <c r="H520" s="38">
        <v>6754.8008194853655</v>
      </c>
      <c r="I520" s="38">
        <v>6561.599150944955</v>
      </c>
      <c r="J520" s="38">
        <v>5678.8671164191182</v>
      </c>
      <c r="K520" s="38">
        <v>4912.0060155563942</v>
      </c>
      <c r="M520" s="43" t="str">
        <f t="shared" si="38"/>
        <v>$million per Mtonne</v>
      </c>
    </row>
    <row r="521" spans="1:13" s="7" customFormat="1" x14ac:dyDescent="0.25">
      <c r="A521" s="4" t="str">
        <v>AF N2O</v>
      </c>
      <c r="B521" s="38">
        <v>7476.8619747629464</v>
      </c>
      <c r="C521" s="38">
        <v>7368.6655285515344</v>
      </c>
      <c r="D521" s="38">
        <v>7262.5614629493239</v>
      </c>
      <c r="E521" s="38">
        <v>7157.969869070851</v>
      </c>
      <c r="F521" s="38">
        <v>7054.8663176787313</v>
      </c>
      <c r="G521" s="38">
        <v>6953.2299292146727</v>
      </c>
      <c r="H521" s="38">
        <v>6754.8392829002405</v>
      </c>
      <c r="I521" s="38">
        <v>6561.6334250515429</v>
      </c>
      <c r="J521" s="38">
        <v>5678.8755306878966</v>
      </c>
      <c r="K521" s="38">
        <v>4911.9828857002149</v>
      </c>
      <c r="M521" s="43" t="str">
        <f t="shared" si="38"/>
        <v>$million per Mtonne</v>
      </c>
    </row>
    <row r="522" spans="1:13" s="7" customFormat="1" ht="13" thickBot="1" x14ac:dyDescent="0.3">
      <c r="A522" s="4" t="str">
        <v>LA N2O</v>
      </c>
      <c r="B522" s="50">
        <v>4243.6243652015701</v>
      </c>
      <c r="C522" s="50">
        <v>4182.215571389308</v>
      </c>
      <c r="D522" s="50">
        <v>4121.9943449501543</v>
      </c>
      <c r="E522" s="50">
        <v>4062.6315484084903</v>
      </c>
      <c r="F522" s="50">
        <v>4004.1133165214724</v>
      </c>
      <c r="G522" s="50">
        <v>3946.4277987289834</v>
      </c>
      <c r="H522" s="50">
        <v>3833.8277021417111</v>
      </c>
      <c r="I522" s="50">
        <v>3724.1703233330841</v>
      </c>
      <c r="J522" s="50">
        <v>3223.1455723426288</v>
      </c>
      <c r="K522" s="50">
        <v>2787.8821791238738</v>
      </c>
      <c r="M522" s="43" t="str">
        <f t="shared" si="38"/>
        <v>$million per Mtonne</v>
      </c>
    </row>
    <row r="523" spans="1:13" s="2" customFormat="1" ht="15.5" thickTop="1" x14ac:dyDescent="0.4">
      <c r="A523" s="2" t="s">
        <v>401</v>
      </c>
      <c r="B523" s="2" t="s">
        <v>405</v>
      </c>
    </row>
    <row r="524" spans="1:13" s="7" customFormat="1" x14ac:dyDescent="0.25">
      <c r="A524" s="4" t="str">
        <f t="array" ref="A524:A531">R_CODE&amp;" "&amp;GLIN_NAME</f>
        <v>EU Lin</v>
      </c>
      <c r="B524" s="37">
        <f t="array" ref="B524:K531">cmax_glin/(EXP(BHI_GLIN*(QMAX_GLIN-Q0_GLIN))-1)</f>
        <v>73.930738071336634</v>
      </c>
      <c r="C524" s="37">
        <v>72.876278771336032</v>
      </c>
      <c r="D524" s="37">
        <v>71.836991411326906</v>
      </c>
      <c r="E524" s="37">
        <v>70.812412815495847</v>
      </c>
      <c r="F524" s="37">
        <v>69.802215806158856</v>
      </c>
      <c r="G524" s="37">
        <v>68.806201890916853</v>
      </c>
      <c r="H524" s="37">
        <v>66.856754667749911</v>
      </c>
      <c r="I524" s="37">
        <v>64.961746959064016</v>
      </c>
      <c r="J524" s="37">
        <v>56.266776089377984</v>
      </c>
      <c r="K524" s="37">
        <v>48.732358773182384</v>
      </c>
      <c r="M524" s="43" t="str">
        <f t="shared" ref="M524:M531" si="39">CURRENCY_NAME&amp;" per "&amp;EMIT_NAME</f>
        <v>$million per Mtonne</v>
      </c>
    </row>
    <row r="525" spans="1:13" s="7" customFormat="1" x14ac:dyDescent="0.25">
      <c r="A525" s="4" t="str">
        <v>US Lin</v>
      </c>
      <c r="B525" s="38">
        <v>73.930738071336634</v>
      </c>
      <c r="C525" s="38">
        <v>72.876278771336032</v>
      </c>
      <c r="D525" s="38">
        <v>71.836991411326906</v>
      </c>
      <c r="E525" s="38">
        <v>70.812412815495847</v>
      </c>
      <c r="F525" s="38">
        <v>69.802215806158856</v>
      </c>
      <c r="G525" s="38">
        <v>68.806201890916853</v>
      </c>
      <c r="H525" s="38">
        <v>66.856754667749911</v>
      </c>
      <c r="I525" s="38">
        <v>64.961746959064016</v>
      </c>
      <c r="J525" s="38">
        <v>56.266776089377984</v>
      </c>
      <c r="K525" s="38">
        <v>48.732358773182384</v>
      </c>
      <c r="M525" s="43" t="str">
        <f t="shared" si="39"/>
        <v>$million per Mtonne</v>
      </c>
    </row>
    <row r="526" spans="1:13" s="7" customFormat="1" x14ac:dyDescent="0.25">
      <c r="A526" s="4" t="str">
        <v>OT Lin</v>
      </c>
      <c r="B526" s="38">
        <v>91.181243596671621</v>
      </c>
      <c r="C526" s="38">
        <v>89.880743793689007</v>
      </c>
      <c r="D526" s="38">
        <v>88.598956050024199</v>
      </c>
      <c r="E526" s="38">
        <v>87.335309115507428</v>
      </c>
      <c r="F526" s="38">
        <v>86.08939947099519</v>
      </c>
      <c r="G526" s="38">
        <v>84.860982309195393</v>
      </c>
      <c r="H526" s="38">
        <v>82.4566640679393</v>
      </c>
      <c r="I526" s="38">
        <v>80.119487894525051</v>
      </c>
      <c r="J526" s="38">
        <v>69.395690491477254</v>
      </c>
      <c r="K526" s="38">
        <v>60.103242470680819</v>
      </c>
      <c r="M526" s="43" t="str">
        <f t="shared" si="39"/>
        <v>$million per Mtonne</v>
      </c>
    </row>
    <row r="527" spans="1:13" s="7" customFormat="1" x14ac:dyDescent="0.25">
      <c r="A527" s="4" t="str">
        <v>EE Lin</v>
      </c>
      <c r="B527" s="38">
        <v>51.751516649935652</v>
      </c>
      <c r="C527" s="38">
        <v>51.013394811790228</v>
      </c>
      <c r="D527" s="38">
        <v>50.285893233186343</v>
      </c>
      <c r="E527" s="38">
        <v>49.568632505276604</v>
      </c>
      <c r="F527" s="38">
        <v>48.861391210400839</v>
      </c>
      <c r="G527" s="38">
        <v>48.164032487972122</v>
      </c>
      <c r="H527" s="38">
        <v>46.799200051005073</v>
      </c>
      <c r="I527" s="38">
        <v>45.472416180275687</v>
      </c>
      <c r="J527" s="38">
        <v>39.385412594221187</v>
      </c>
      <c r="K527" s="38">
        <v>34.110587276270529</v>
      </c>
      <c r="M527" s="43" t="str">
        <f t="shared" si="39"/>
        <v>$million per Mtonne</v>
      </c>
    </row>
    <row r="528" spans="1:13" s="7" customFormat="1" x14ac:dyDescent="0.25">
      <c r="A528" s="4" t="str">
        <v>CA Lin</v>
      </c>
      <c r="B528" s="38">
        <v>73.930738071336663</v>
      </c>
      <c r="C528" s="38">
        <v>72.876274532744276</v>
      </c>
      <c r="D528" s="38">
        <v>71.836981662450498</v>
      </c>
      <c r="E528" s="38">
        <v>70.81227777576818</v>
      </c>
      <c r="F528" s="38">
        <v>69.80176717525444</v>
      </c>
      <c r="G528" s="38">
        <v>68.805259543125032</v>
      </c>
      <c r="H528" s="38">
        <v>66.854804661174285</v>
      </c>
      <c r="I528" s="38">
        <v>64.958195995723912</v>
      </c>
      <c r="J528" s="38">
        <v>56.259779713907228</v>
      </c>
      <c r="K528" s="38">
        <v>48.720646595854511</v>
      </c>
      <c r="M528" s="43" t="str">
        <f t="shared" si="39"/>
        <v>$million per Mtonne</v>
      </c>
    </row>
    <row r="529" spans="1:13" s="7" customFormat="1" x14ac:dyDescent="0.25">
      <c r="A529" s="4" t="str">
        <v>IA Lin</v>
      </c>
      <c r="B529" s="38">
        <v>91.181243596671635</v>
      </c>
      <c r="C529" s="38">
        <v>89.880738566092518</v>
      </c>
      <c r="D529" s="38">
        <v>88.598944026409953</v>
      </c>
      <c r="E529" s="38">
        <v>87.335142566509987</v>
      </c>
      <c r="F529" s="38">
        <v>86.088846159546549</v>
      </c>
      <c r="G529" s="38">
        <v>84.859820080252462</v>
      </c>
      <c r="H529" s="38">
        <v>82.454259059830008</v>
      </c>
      <c r="I529" s="38">
        <v>80.115108373073411</v>
      </c>
      <c r="J529" s="38">
        <v>69.387061628398982</v>
      </c>
      <c r="K529" s="38">
        <v>60.088797451980355</v>
      </c>
      <c r="M529" s="43" t="str">
        <f t="shared" si="39"/>
        <v>$million per Mtonne</v>
      </c>
    </row>
    <row r="530" spans="1:13" s="7" customFormat="1" x14ac:dyDescent="0.25">
      <c r="A530" s="4" t="str">
        <v>AF Lin</v>
      </c>
      <c r="B530" s="38">
        <v>91.181243596671578</v>
      </c>
      <c r="C530" s="38">
        <v>89.880736369889817</v>
      </c>
      <c r="D530" s="38">
        <v>88.598938975085176</v>
      </c>
      <c r="E530" s="38">
        <v>87.335135609761195</v>
      </c>
      <c r="F530" s="38">
        <v>86.088809433442762</v>
      </c>
      <c r="G530" s="38">
        <v>84.859726920735056</v>
      </c>
      <c r="H530" s="38">
        <v>82.454219850357106</v>
      </c>
      <c r="I530" s="38">
        <v>80.115278754149486</v>
      </c>
      <c r="J530" s="38">
        <v>69.387620243510071</v>
      </c>
      <c r="K530" s="38">
        <v>60.089873672875392</v>
      </c>
      <c r="M530" s="43" t="str">
        <f t="shared" si="39"/>
        <v>$million per Mtonne</v>
      </c>
    </row>
    <row r="531" spans="1:13" s="7" customFormat="1" ht="13" thickBot="1" x14ac:dyDescent="0.3">
      <c r="A531" s="4" t="str">
        <v>LA Lin</v>
      </c>
      <c r="B531" s="50">
        <v>51.751516649935617</v>
      </c>
      <c r="C531" s="50">
        <v>51.013390926427554</v>
      </c>
      <c r="D531" s="50">
        <v>50.285884296747227</v>
      </c>
      <c r="E531" s="50">
        <v>49.568590494612714</v>
      </c>
      <c r="F531" s="50">
        <v>48.8612161781327</v>
      </c>
      <c r="G531" s="50">
        <v>48.163628805866814</v>
      </c>
      <c r="H531" s="50">
        <v>46.798341008796818</v>
      </c>
      <c r="I531" s="50">
        <v>45.470833899779656</v>
      </c>
      <c r="J531" s="50">
        <v>39.382162851554945</v>
      </c>
      <c r="K531" s="50">
        <v>34.105063445173883</v>
      </c>
      <c r="M531" s="43" t="str">
        <f t="shared" si="39"/>
        <v>$million per Mtonne</v>
      </c>
    </row>
    <row r="532" spans="1:13" s="2" customFormat="1" ht="15.5" thickTop="1" x14ac:dyDescent="0.4">
      <c r="A532" s="2" t="s">
        <v>406</v>
      </c>
      <c r="B532" s="2" t="s">
        <v>407</v>
      </c>
    </row>
    <row r="533" spans="1:13" s="6" customFormat="1" x14ac:dyDescent="0.25">
      <c r="A533" s="4" t="str">
        <f t="array" ref="A533:A540">R_CODE&amp;" "&amp;'Base data'!$B$11</f>
        <v>EU CO2</v>
      </c>
      <c r="B533" s="39">
        <f t="array" ref="B533:K540">IF(Q0_CO2=0,0,(ALO_CO2/BLO_CO2)*(1-EXP(-BLO_CO2*Q0_CO2))-ALO_CO2*Q0_CO2)</f>
        <v>-69730.400557610337</v>
      </c>
      <c r="C533" s="39">
        <v>-69297.93460054262</v>
      </c>
      <c r="D533" s="39">
        <v>-70119.9612599057</v>
      </c>
      <c r="E533" s="39">
        <v>-67929.426515259751</v>
      </c>
      <c r="F533" s="39">
        <v>-65784.938872335741</v>
      </c>
      <c r="G533" s="39">
        <v>-61543.305546932505</v>
      </c>
      <c r="H533" s="39">
        <v>-51190.935629079104</v>
      </c>
      <c r="I533" s="39">
        <v>-41588.000527111551</v>
      </c>
      <c r="J533" s="39">
        <v>-36245.712392480069</v>
      </c>
      <c r="K533" s="39">
        <v>-31567.80441173898</v>
      </c>
      <c r="M533" s="43" t="str">
        <f t="shared" ref="M533:M540" si="40">CURRENCY_NAME</f>
        <v>$million</v>
      </c>
    </row>
    <row r="534" spans="1:13" s="6" customFormat="1" x14ac:dyDescent="0.25">
      <c r="A534" s="4" t="str">
        <v>US CO2</v>
      </c>
      <c r="B534" s="35">
        <v>-163945.72982955526</v>
      </c>
      <c r="C534" s="35">
        <v>-162928.94308530982</v>
      </c>
      <c r="D534" s="35">
        <v>-164861.64043870146</v>
      </c>
      <c r="E534" s="35">
        <v>-159711.39299201901</v>
      </c>
      <c r="F534" s="35">
        <v>-154669.40859327503</v>
      </c>
      <c r="G534" s="35">
        <v>-144696.74723407245</v>
      </c>
      <c r="H534" s="35">
        <v>-120356.90653222846</v>
      </c>
      <c r="I534" s="35">
        <v>-97779.089809417463</v>
      </c>
      <c r="J534" s="35">
        <v>-85218.638124240009</v>
      </c>
      <c r="K534" s="35">
        <v>-74220.235249091245</v>
      </c>
      <c r="M534" s="43" t="str">
        <f t="shared" si="40"/>
        <v>$million</v>
      </c>
    </row>
    <row r="535" spans="1:13" s="6" customFormat="1" x14ac:dyDescent="0.25">
      <c r="A535" s="4" t="str">
        <v>OT CO2</v>
      </c>
      <c r="B535" s="35">
        <v>-25588.213154217181</v>
      </c>
      <c r="C535" s="35">
        <v>-25429.515785452611</v>
      </c>
      <c r="D535" s="35">
        <v>-25731.166044307123</v>
      </c>
      <c r="E535" s="35">
        <v>-24927.329130715763</v>
      </c>
      <c r="F535" s="35">
        <v>-24140.389625493954</v>
      </c>
      <c r="G535" s="35">
        <v>-22583.8831837623</v>
      </c>
      <c r="H535" s="35">
        <v>-18784.985629882874</v>
      </c>
      <c r="I535" s="35">
        <v>-15261.100088851917</v>
      </c>
      <c r="J535" s="35">
        <v>-13300.69822069892</v>
      </c>
      <c r="K535" s="35">
        <v>-11584.096773269655</v>
      </c>
      <c r="M535" s="43" t="str">
        <f t="shared" si="40"/>
        <v>$million</v>
      </c>
    </row>
    <row r="536" spans="1:13" s="6" customFormat="1" x14ac:dyDescent="0.25">
      <c r="A536" s="4" t="str">
        <v>EE CO2</v>
      </c>
      <c r="B536" s="35">
        <v>-24191.395412728139</v>
      </c>
      <c r="C536" s="35">
        <v>-24521.671241026175</v>
      </c>
      <c r="D536" s="35">
        <v>-22202.925665155366</v>
      </c>
      <c r="E536" s="35">
        <v>-21485.174079726501</v>
      </c>
      <c r="F536" s="35">
        <v>-20782.658450776733</v>
      </c>
      <c r="G536" s="35">
        <v>-19306.558842689057</v>
      </c>
      <c r="H536" s="35">
        <v>-15794.758398612179</v>
      </c>
      <c r="I536" s="35">
        <v>-13182.968967625788</v>
      </c>
      <c r="J536" s="35">
        <v>-11489.518505898239</v>
      </c>
      <c r="K536" s="35">
        <v>-10006.66972832077</v>
      </c>
      <c r="M536" s="43" t="str">
        <f t="shared" si="40"/>
        <v>$million</v>
      </c>
    </row>
    <row r="537" spans="1:13" s="6" customFormat="1" x14ac:dyDescent="0.25">
      <c r="A537" s="4" t="str">
        <v>CA CO2</v>
      </c>
      <c r="B537" s="35">
        <v>-27523.368530662607</v>
      </c>
      <c r="C537" s="35">
        <v>-28205.1474701314</v>
      </c>
      <c r="D537" s="35">
        <v>-35570.951193170447</v>
      </c>
      <c r="E537" s="35">
        <v>-41345.224063343681</v>
      </c>
      <c r="F537" s="35">
        <v>-46955.85466924186</v>
      </c>
      <c r="G537" s="35">
        <v>-47906.769941988408</v>
      </c>
      <c r="H537" s="35">
        <v>-47975.416002677426</v>
      </c>
      <c r="I537" s="35">
        <v>-42475.340089898469</v>
      </c>
      <c r="J537" s="35">
        <v>-37019.06658550688</v>
      </c>
      <c r="K537" s="35">
        <v>-32241.348737261302</v>
      </c>
      <c r="M537" s="43" t="str">
        <f t="shared" si="40"/>
        <v>$million</v>
      </c>
    </row>
    <row r="538" spans="1:13" s="6" customFormat="1" x14ac:dyDescent="0.25">
      <c r="A538" s="4" t="str">
        <v>IA CO2</v>
      </c>
      <c r="B538" s="35">
        <v>-45250.785466003363</v>
      </c>
      <c r="C538" s="35">
        <v>-46371.688690140763</v>
      </c>
      <c r="D538" s="35">
        <v>-58481.703628341507</v>
      </c>
      <c r="E538" s="35">
        <v>-67975.104938551056</v>
      </c>
      <c r="F538" s="35">
        <v>-77199.464289538504</v>
      </c>
      <c r="G538" s="35">
        <v>-78762.850797097126</v>
      </c>
      <c r="H538" s="35">
        <v>-78875.710825907328</v>
      </c>
      <c r="I538" s="35">
        <v>-69833.112900488981</v>
      </c>
      <c r="J538" s="35">
        <v>-60862.529902408598</v>
      </c>
      <c r="K538" s="35">
        <v>-53007.550773411313</v>
      </c>
      <c r="M538" s="43" t="str">
        <f t="shared" si="40"/>
        <v>$million</v>
      </c>
    </row>
    <row r="539" spans="1:13" s="6" customFormat="1" x14ac:dyDescent="0.25">
      <c r="A539" s="4" t="str">
        <v>AF CO2</v>
      </c>
      <c r="B539" s="35">
        <v>-25367.952494849014</v>
      </c>
      <c r="C539" s="35">
        <v>-26001.099749206271</v>
      </c>
      <c r="D539" s="35">
        <v>-33260.23252772048</v>
      </c>
      <c r="E539" s="35">
        <v>-38850.338015756352</v>
      </c>
      <c r="F539" s="35">
        <v>-44282.246051244074</v>
      </c>
      <c r="G539" s="35">
        <v>-46819.582217895048</v>
      </c>
      <c r="H539" s="35">
        <v>-47007.294146936416</v>
      </c>
      <c r="I539" s="35">
        <v>-39524.998865367044</v>
      </c>
      <c r="J539" s="35">
        <v>-34447.718645508387</v>
      </c>
      <c r="K539" s="35">
        <v>-30001.861540391066</v>
      </c>
      <c r="M539" s="43" t="str">
        <f t="shared" si="40"/>
        <v>$million</v>
      </c>
    </row>
    <row r="540" spans="1:13" s="6" customFormat="1" ht="13" thickBot="1" x14ac:dyDescent="0.3">
      <c r="A540" s="4" t="str">
        <v>LA CO2</v>
      </c>
      <c r="B540" s="49">
        <v>-21638.24185966701</v>
      </c>
      <c r="C540" s="49">
        <v>-22178.300952940226</v>
      </c>
      <c r="D540" s="49">
        <v>-28370.163334613371</v>
      </c>
      <c r="E540" s="49">
        <v>-33138.386335493444</v>
      </c>
      <c r="F540" s="49">
        <v>-37771.670785833616</v>
      </c>
      <c r="G540" s="49">
        <v>-39935.956360888289</v>
      </c>
      <c r="H540" s="49">
        <v>-40096.070036651698</v>
      </c>
      <c r="I540" s="49">
        <v>-33713.855508265209</v>
      </c>
      <c r="J540" s="49">
        <v>-29383.05989482686</v>
      </c>
      <c r="K540" s="49">
        <v>-25590.8527258178</v>
      </c>
      <c r="M540" s="43" t="str">
        <f t="shared" si="40"/>
        <v>$million</v>
      </c>
    </row>
    <row r="541" spans="1:13" s="2" customFormat="1" ht="15.5" thickTop="1" x14ac:dyDescent="0.4">
      <c r="A541" s="2" t="s">
        <v>406</v>
      </c>
      <c r="B541" s="2" t="s">
        <v>408</v>
      </c>
    </row>
    <row r="542" spans="1:13" s="6" customFormat="1" x14ac:dyDescent="0.25">
      <c r="A542" s="4" t="str">
        <f t="array" ref="A542:A549">R_CODE&amp;" "&amp;'Base data'!$C$11</f>
        <v>EU CH4</v>
      </c>
      <c r="B542" s="39">
        <f t="array" ref="B542:K549">IF(Q0_CH4=0,0,(ALO_CH4/BLO_CH4)*(1-EXP(-BLO_CH4*Q0_CH4))-ALO_CH4*Q0_CH4)</f>
        <v>-0.14142464996262274</v>
      </c>
      <c r="C542" s="39">
        <v>-0.13980487789694163</v>
      </c>
      <c r="D542" s="39">
        <v>-0.13433188146601807</v>
      </c>
      <c r="E542" s="39">
        <v>-0.12291734922854922</v>
      </c>
      <c r="F542" s="39">
        <v>-0.11167545450319522</v>
      </c>
      <c r="G542" s="39">
        <v>-0.10235154769112251</v>
      </c>
      <c r="H542" s="39">
        <v>-8.7016721769097527E-2</v>
      </c>
      <c r="I542" s="39">
        <v>-7.7814401507345171E-2</v>
      </c>
      <c r="J542" s="39">
        <v>-7.1113391549058394E-2</v>
      </c>
      <c r="K542" s="39">
        <v>-6.4657862243651679E-2</v>
      </c>
      <c r="M542" s="43" t="str">
        <f t="shared" ref="M542:M549" si="41">CURRENCY_NAME</f>
        <v>$million</v>
      </c>
    </row>
    <row r="543" spans="1:13" s="6" customFormat="1" x14ac:dyDescent="0.25">
      <c r="A543" s="4" t="str">
        <v>US CH4</v>
      </c>
      <c r="B543" s="35">
        <v>-0.15321003741236638</v>
      </c>
      <c r="C543" s="35">
        <v>-0.15145528434175182</v>
      </c>
      <c r="D543" s="35">
        <v>-0.14552620487674234</v>
      </c>
      <c r="E543" s="35">
        <v>-0.13316046162328918</v>
      </c>
      <c r="F543" s="35">
        <v>-0.12098174234123629</v>
      </c>
      <c r="G543" s="35">
        <v>-0.11088084329793221</v>
      </c>
      <c r="H543" s="35">
        <v>-9.4268115220850088E-2</v>
      </c>
      <c r="I543" s="35">
        <v>-8.4298934940352441E-2</v>
      </c>
      <c r="J543" s="35">
        <v>-7.7039507487775424E-2</v>
      </c>
      <c r="K543" s="35">
        <v>-7.004601740907003E-2</v>
      </c>
      <c r="M543" s="43" t="str">
        <f t="shared" si="41"/>
        <v>$million</v>
      </c>
    </row>
    <row r="544" spans="1:13" s="6" customFormat="1" x14ac:dyDescent="0.25">
      <c r="A544" s="4" t="str">
        <v>OT CH4</v>
      </c>
      <c r="B544" s="35">
        <v>-0.14142464996262274</v>
      </c>
      <c r="C544" s="35">
        <v>-0.13980487789694163</v>
      </c>
      <c r="D544" s="35">
        <v>-0.13433188146601807</v>
      </c>
      <c r="E544" s="35">
        <v>-0.12291734922854922</v>
      </c>
      <c r="F544" s="35">
        <v>-0.11167545450319522</v>
      </c>
      <c r="G544" s="35">
        <v>-0.10235154769112251</v>
      </c>
      <c r="H544" s="35">
        <v>-8.7016721769097527E-2</v>
      </c>
      <c r="I544" s="35">
        <v>-7.7814401507345171E-2</v>
      </c>
      <c r="J544" s="35">
        <v>-7.1113391549058394E-2</v>
      </c>
      <c r="K544" s="35">
        <v>-6.4657862243651679E-2</v>
      </c>
      <c r="M544" s="43" t="str">
        <f t="shared" si="41"/>
        <v>$million</v>
      </c>
    </row>
    <row r="545" spans="1:13" s="6" customFormat="1" x14ac:dyDescent="0.25">
      <c r="A545" s="4" t="str">
        <v>EE CH4</v>
      </c>
      <c r="B545" s="35">
        <v>-0.10281884050399172</v>
      </c>
      <c r="C545" s="35">
        <v>-0.10544427865131045</v>
      </c>
      <c r="D545" s="35">
        <v>-0.11075229921145417</v>
      </c>
      <c r="E545" s="35">
        <v>-0.10018352400805847</v>
      </c>
      <c r="F545" s="35">
        <v>-8.9776416063868325E-2</v>
      </c>
      <c r="G545" s="35">
        <v>-8.0512077604909887E-2</v>
      </c>
      <c r="H545" s="35">
        <v>-6.6731403831043173E-2</v>
      </c>
      <c r="I545" s="35">
        <v>-5.8164055625413526E-2</v>
      </c>
      <c r="J545" s="35">
        <v>-5.3155240953447529E-2</v>
      </c>
      <c r="K545" s="35">
        <v>-4.8329916099208073E-2</v>
      </c>
      <c r="M545" s="43" t="str">
        <f t="shared" si="41"/>
        <v>$million</v>
      </c>
    </row>
    <row r="546" spans="1:13" s="6" customFormat="1" x14ac:dyDescent="0.25">
      <c r="A546" s="4" t="str">
        <v>CA CH4</v>
      </c>
      <c r="B546" s="35">
        <v>-0.10069496634110597</v>
      </c>
      <c r="C546" s="35">
        <v>-0.10123115786228304</v>
      </c>
      <c r="D546" s="35">
        <v>-0.11836800529668404</v>
      </c>
      <c r="E546" s="35">
        <v>-0.13101721652968126</v>
      </c>
      <c r="F546" s="35">
        <v>-0.14343939869066957</v>
      </c>
      <c r="G546" s="35">
        <v>-0.13296300297105507</v>
      </c>
      <c r="H546" s="35">
        <v>-9.9408735979513524E-2</v>
      </c>
      <c r="I546" s="35">
        <v>-7.6652886853997182E-2</v>
      </c>
      <c r="J546" s="35">
        <v>-7.0051901070002143E-2</v>
      </c>
      <c r="K546" s="35">
        <v>-6.3692731715171452E-2</v>
      </c>
      <c r="M546" s="43" t="str">
        <f t="shared" si="41"/>
        <v>$million</v>
      </c>
    </row>
    <row r="547" spans="1:13" s="6" customFormat="1" x14ac:dyDescent="0.25">
      <c r="A547" s="4" t="str">
        <v>IA CH4</v>
      </c>
      <c r="B547" s="35">
        <v>-0.10069496634110597</v>
      </c>
      <c r="C547" s="35">
        <v>-0.10123115786228304</v>
      </c>
      <c r="D547" s="35">
        <v>-0.11836800529668404</v>
      </c>
      <c r="E547" s="35">
        <v>-0.13101721652968126</v>
      </c>
      <c r="F547" s="35">
        <v>-0.14343939869066957</v>
      </c>
      <c r="G547" s="35">
        <v>-0.13296300297105507</v>
      </c>
      <c r="H547" s="35">
        <v>-9.9408735979513524E-2</v>
      </c>
      <c r="I547" s="35">
        <v>-7.6652886853997182E-2</v>
      </c>
      <c r="J547" s="35">
        <v>-7.0051901070002143E-2</v>
      </c>
      <c r="K547" s="35">
        <v>-6.3692731715171452E-2</v>
      </c>
      <c r="M547" s="43" t="str">
        <f t="shared" si="41"/>
        <v>$million</v>
      </c>
    </row>
    <row r="548" spans="1:13" s="6" customFormat="1" x14ac:dyDescent="0.25">
      <c r="A548" s="4" t="str">
        <v>AF CH4</v>
      </c>
      <c r="B548" s="35">
        <v>-0.10077587690911491</v>
      </c>
      <c r="C548" s="35">
        <v>-0.1013916598364995</v>
      </c>
      <c r="D548" s="35">
        <v>-0.1214504526629219</v>
      </c>
      <c r="E548" s="35">
        <v>-0.13008452868254494</v>
      </c>
      <c r="F548" s="35">
        <v>-0.13855820567649904</v>
      </c>
      <c r="G548" s="35">
        <v>-0.13637812824021428</v>
      </c>
      <c r="H548" s="35">
        <v>-0.12047426439466404</v>
      </c>
      <c r="I548" s="35">
        <v>-9.1004568336158109E-2</v>
      </c>
      <c r="J548" s="35">
        <v>-8.3167683301289291E-2</v>
      </c>
      <c r="K548" s="35">
        <v>-7.5617889864087323E-2</v>
      </c>
      <c r="M548" s="43" t="str">
        <f t="shared" si="41"/>
        <v>$million</v>
      </c>
    </row>
    <row r="549" spans="1:13" s="6" customFormat="1" ht="13" thickBot="1" x14ac:dyDescent="0.3">
      <c r="A549" s="4" t="str">
        <v>LA CH4</v>
      </c>
      <c r="B549" s="49">
        <v>-0.10077587690911491</v>
      </c>
      <c r="C549" s="49">
        <v>-0.1013916598364995</v>
      </c>
      <c r="D549" s="49">
        <v>-0.1214504526629219</v>
      </c>
      <c r="E549" s="49">
        <v>-0.13008452868254494</v>
      </c>
      <c r="F549" s="49">
        <v>-0.13855820567649904</v>
      </c>
      <c r="G549" s="49">
        <v>-0.13637812824021428</v>
      </c>
      <c r="H549" s="49">
        <v>-0.12047426439466404</v>
      </c>
      <c r="I549" s="49">
        <v>-9.1004568336158109E-2</v>
      </c>
      <c r="J549" s="49">
        <v>-8.3167683301289291E-2</v>
      </c>
      <c r="K549" s="49">
        <v>-7.5617889864087323E-2</v>
      </c>
      <c r="M549" s="43" t="str">
        <f t="shared" si="41"/>
        <v>$million</v>
      </c>
    </row>
    <row r="550" spans="1:13" s="2" customFormat="1" ht="15.5" thickTop="1" x14ac:dyDescent="0.4">
      <c r="A550" s="2" t="s">
        <v>406</v>
      </c>
      <c r="B550" s="2" t="s">
        <v>409</v>
      </c>
    </row>
    <row r="551" spans="1:13" s="7" customFormat="1" x14ac:dyDescent="0.25">
      <c r="A551" s="4" t="str">
        <f t="array" ref="A551:A558">R_CODE&amp;" "&amp;'Base data'!$D$11</f>
        <v>EU N2O</v>
      </c>
      <c r="B551" s="39">
        <f t="array" ref="B551:K558">IF(Q0_N2O=0,0,(ALO_N2O/BLO_N2O)*(1-EXP(-BLO_N2O*Q0_N2O))-ALO_N2O*Q0_N2O)</f>
        <v>-0.23774958279862912</v>
      </c>
      <c r="C551" s="39">
        <v>-0.23348853775697204</v>
      </c>
      <c r="D551" s="39">
        <v>-0.23682644098885788</v>
      </c>
      <c r="E551" s="39">
        <v>-0.22827171228931989</v>
      </c>
      <c r="F551" s="39">
        <v>-0.2199327750906164</v>
      </c>
      <c r="G551" s="39">
        <v>-0.21124203342015246</v>
      </c>
      <c r="H551" s="39">
        <v>-0.19198852958669996</v>
      </c>
      <c r="I551" s="39">
        <v>-0.176213648873389</v>
      </c>
      <c r="J551" s="39">
        <v>-0.1495361761506904</v>
      </c>
      <c r="K551" s="39">
        <v>-0.12689747996670175</v>
      </c>
      <c r="M551" s="43" t="str">
        <f t="shared" ref="M551:M558" si="42">CURRENCY_NAME</f>
        <v>$million</v>
      </c>
    </row>
    <row r="552" spans="1:13" s="7" customFormat="1" x14ac:dyDescent="0.25">
      <c r="A552" s="4" t="str">
        <v>US N2O</v>
      </c>
      <c r="B552" s="35">
        <v>-0.25756204795259829</v>
      </c>
      <c r="C552" s="35">
        <v>-0.25294591582555687</v>
      </c>
      <c r="D552" s="35">
        <v>-0.25656197765898725</v>
      </c>
      <c r="E552" s="35">
        <v>-0.24729435490400598</v>
      </c>
      <c r="F552" s="35">
        <v>-0.23826050627485679</v>
      </c>
      <c r="G552" s="35">
        <v>-0.22884553613475112</v>
      </c>
      <c r="H552" s="35">
        <v>-0.20798757365492881</v>
      </c>
      <c r="I552" s="35">
        <v>-0.1908981195541001</v>
      </c>
      <c r="J552" s="35">
        <v>-0.16199752411340249</v>
      </c>
      <c r="K552" s="35">
        <v>-0.13747226992162775</v>
      </c>
      <c r="M552" s="43" t="str">
        <f t="shared" si="42"/>
        <v>$million</v>
      </c>
    </row>
    <row r="553" spans="1:13" s="7" customFormat="1" x14ac:dyDescent="0.25">
      <c r="A553" s="4" t="str">
        <v>OT N2O</v>
      </c>
      <c r="B553" s="35">
        <v>-0.23774958279862912</v>
      </c>
      <c r="C553" s="35">
        <v>-0.23348853775697204</v>
      </c>
      <c r="D553" s="35">
        <v>-0.23682644098885788</v>
      </c>
      <c r="E553" s="35">
        <v>-0.22827171228931989</v>
      </c>
      <c r="F553" s="35">
        <v>-0.2199327750906164</v>
      </c>
      <c r="G553" s="35">
        <v>-0.21124203342015246</v>
      </c>
      <c r="H553" s="35">
        <v>-0.19198852958669996</v>
      </c>
      <c r="I553" s="35">
        <v>-0.176213648873389</v>
      </c>
      <c r="J553" s="35">
        <v>-0.1495361761506904</v>
      </c>
      <c r="K553" s="35">
        <v>-0.12689747996670175</v>
      </c>
      <c r="M553" s="43" t="str">
        <f t="shared" si="42"/>
        <v>$million</v>
      </c>
    </row>
    <row r="554" spans="1:13" s="7" customFormat="1" x14ac:dyDescent="0.25">
      <c r="A554" s="4" t="str">
        <v>EE N2O</v>
      </c>
      <c r="B554" s="35">
        <v>-0.16702100070585801</v>
      </c>
      <c r="C554" s="35">
        <v>-0.16461514439377589</v>
      </c>
      <c r="D554" s="35">
        <v>-0.1661307346021561</v>
      </c>
      <c r="E554" s="35">
        <v>-0.16310984926846606</v>
      </c>
      <c r="F554" s="35">
        <v>-0.16014329412356254</v>
      </c>
      <c r="G554" s="35">
        <v>-0.15308457854822169</v>
      </c>
      <c r="H554" s="35">
        <v>-0.1379603107615342</v>
      </c>
      <c r="I554" s="35">
        <v>-0.12863814598927845</v>
      </c>
      <c r="J554" s="35">
        <v>-0.10916326051549069</v>
      </c>
      <c r="K554" s="35">
        <v>-9.2636731933046529E-2</v>
      </c>
      <c r="M554" s="43" t="str">
        <f t="shared" si="42"/>
        <v>$million</v>
      </c>
    </row>
    <row r="555" spans="1:13" s="7" customFormat="1" x14ac:dyDescent="0.25">
      <c r="A555" s="4" t="str">
        <v>CA N2O</v>
      </c>
      <c r="B555" s="35">
        <v>-0.16718090448926654</v>
      </c>
      <c r="C555" s="35">
        <v>-0.1649297448932816</v>
      </c>
      <c r="D555" s="35">
        <v>-0.16393928773539571</v>
      </c>
      <c r="E555" s="35">
        <v>-0.16834217327776768</v>
      </c>
      <c r="F555" s="35">
        <v>-0.17255822411905447</v>
      </c>
      <c r="G555" s="35">
        <v>-0.17053808460243217</v>
      </c>
      <c r="H555" s="35">
        <v>-0.16405588803754495</v>
      </c>
      <c r="I555" s="35">
        <v>-0.15886902248863533</v>
      </c>
      <c r="J555" s="35">
        <v>-0.13481740082925089</v>
      </c>
      <c r="K555" s="35">
        <v>-0.11440702083790506</v>
      </c>
      <c r="M555" s="43" t="str">
        <f t="shared" si="42"/>
        <v>$million</v>
      </c>
    </row>
    <row r="556" spans="1:13" s="7" customFormat="1" x14ac:dyDescent="0.25">
      <c r="A556" s="4" t="str">
        <v>IA N2O</v>
      </c>
      <c r="B556" s="35">
        <v>-0.16718090448926654</v>
      </c>
      <c r="C556" s="35">
        <v>-0.1649297448932816</v>
      </c>
      <c r="D556" s="35">
        <v>-0.16393928773539571</v>
      </c>
      <c r="E556" s="35">
        <v>-0.16834217327776768</v>
      </c>
      <c r="F556" s="35">
        <v>-0.17255822411905447</v>
      </c>
      <c r="G556" s="35">
        <v>-0.17053808460243217</v>
      </c>
      <c r="H556" s="35">
        <v>-0.16405588803754495</v>
      </c>
      <c r="I556" s="35">
        <v>-0.15886902248863533</v>
      </c>
      <c r="J556" s="35">
        <v>-0.13481740082925089</v>
      </c>
      <c r="K556" s="35">
        <v>-0.11440702083790506</v>
      </c>
      <c r="M556" s="43" t="str">
        <f t="shared" si="42"/>
        <v>$million</v>
      </c>
    </row>
    <row r="557" spans="1:13" s="7" customFormat="1" x14ac:dyDescent="0.25">
      <c r="A557" s="4" t="str">
        <v>AF N2O</v>
      </c>
      <c r="B557" s="35">
        <v>-0.16647698047062792</v>
      </c>
      <c r="C557" s="35">
        <v>-0.16354481926389802</v>
      </c>
      <c r="D557" s="35">
        <v>-0.16204996429048896</v>
      </c>
      <c r="E557" s="35">
        <v>-0.16457111135151858</v>
      </c>
      <c r="F557" s="35">
        <v>-0.16696720103733931</v>
      </c>
      <c r="G557" s="35">
        <v>-0.16723834333316201</v>
      </c>
      <c r="H557" s="35">
        <v>-0.16477511638849207</v>
      </c>
      <c r="I557" s="35">
        <v>-0.1607318960158107</v>
      </c>
      <c r="J557" s="35">
        <v>-0.13639824876973194</v>
      </c>
      <c r="K557" s="35">
        <v>-0.11574853982696522</v>
      </c>
      <c r="M557" s="43" t="str">
        <f t="shared" si="42"/>
        <v>$million</v>
      </c>
    </row>
    <row r="558" spans="1:13" s="7" customFormat="1" ht="13" thickBot="1" x14ac:dyDescent="0.3">
      <c r="A558" s="4" t="str">
        <v>LA N2O</v>
      </c>
      <c r="B558" s="49">
        <v>-0.16647698047062792</v>
      </c>
      <c r="C558" s="49">
        <v>-0.16354481926389802</v>
      </c>
      <c r="D558" s="49">
        <v>-0.16204996429048896</v>
      </c>
      <c r="E558" s="49">
        <v>-0.16457111135151858</v>
      </c>
      <c r="F558" s="49">
        <v>-0.16696720103733931</v>
      </c>
      <c r="G558" s="49">
        <v>-0.16723834333316201</v>
      </c>
      <c r="H558" s="49">
        <v>-0.16477511638849207</v>
      </c>
      <c r="I558" s="49">
        <v>-0.1607318960158107</v>
      </c>
      <c r="J558" s="49">
        <v>-0.13639824876973194</v>
      </c>
      <c r="K558" s="49">
        <v>-0.11574853982696522</v>
      </c>
      <c r="M558" s="43" t="str">
        <f t="shared" si="42"/>
        <v>$million</v>
      </c>
    </row>
    <row r="559" spans="1:13" s="2" customFormat="1" ht="15.5" thickTop="1" x14ac:dyDescent="0.4">
      <c r="A559" s="2" t="s">
        <v>406</v>
      </c>
      <c r="B559" s="2" t="s">
        <v>410</v>
      </c>
    </row>
    <row r="560" spans="1:13" s="7" customFormat="1" x14ac:dyDescent="0.25">
      <c r="A560" s="4" t="str">
        <f t="array" ref="A560:A567">R_CODE&amp;" "&amp;GLIN_NAME</f>
        <v>EU Lin</v>
      </c>
      <c r="B560" s="45">
        <f t="array" ref="B560:K567">IF(Q0_GLIN=0,0,(ALO_GLIN/BLO_GLIN)*(1-EXP(-BLO_GLIN*Q0_GLIN))-ALO_GLIN*Q0_GLIN)</f>
        <v>-7.8307262645488894E-3</v>
      </c>
      <c r="C560" s="45">
        <v>-7.9524534936939572E-3</v>
      </c>
      <c r="D560" s="45">
        <v>-7.1035569077637535E-3</v>
      </c>
      <c r="E560" s="45">
        <v>-7.2745842907163405E-3</v>
      </c>
      <c r="F560" s="45">
        <v>-7.4381592308048741E-3</v>
      </c>
      <c r="G560" s="45">
        <v>-7.5914305910102266E-3</v>
      </c>
      <c r="H560" s="45">
        <v>-7.935344478558504E-3</v>
      </c>
      <c r="I560" s="45">
        <v>-8.2556738159381624E-3</v>
      </c>
      <c r="J560" s="45">
        <v>-7.0058244742992959E-3</v>
      </c>
      <c r="K560" s="45">
        <v>-5.9451932887580336E-3</v>
      </c>
      <c r="M560" s="43" t="str">
        <f t="shared" ref="M560:M567" si="43">CURRENCY_NAME</f>
        <v>$million</v>
      </c>
    </row>
    <row r="561" spans="1:13" s="7" customFormat="1" x14ac:dyDescent="0.25">
      <c r="A561" s="4" t="str">
        <v>US Lin</v>
      </c>
      <c r="B561" s="46">
        <v>-8.4832867839843874E-3</v>
      </c>
      <c r="C561" s="46">
        <v>-8.6151579488509735E-3</v>
      </c>
      <c r="D561" s="46">
        <v>-7.6955199810428785E-3</v>
      </c>
      <c r="E561" s="46">
        <v>-7.8807996458511685E-3</v>
      </c>
      <c r="F561" s="46">
        <v>-8.0580058308925579E-3</v>
      </c>
      <c r="G561" s="46">
        <v>-8.2240498043972682E-3</v>
      </c>
      <c r="H561" s="46">
        <v>-8.596623182459932E-3</v>
      </c>
      <c r="I561" s="46">
        <v>-8.9436466311811139E-3</v>
      </c>
      <c r="J561" s="46">
        <v>-7.5896431781556258E-3</v>
      </c>
      <c r="K561" s="46">
        <v>-6.440626060839472E-3</v>
      </c>
      <c r="M561" s="43" t="str">
        <f t="shared" si="43"/>
        <v>$million</v>
      </c>
    </row>
    <row r="562" spans="1:13" s="7" customFormat="1" x14ac:dyDescent="0.25">
      <c r="A562" s="4" t="str">
        <v>OT Lin</v>
      </c>
      <c r="B562" s="46">
        <v>-7.8307262645488894E-3</v>
      </c>
      <c r="C562" s="46">
        <v>-7.9524534936939572E-3</v>
      </c>
      <c r="D562" s="46">
        <v>-7.1035569077637535E-3</v>
      </c>
      <c r="E562" s="46">
        <v>-7.2745842907163405E-3</v>
      </c>
      <c r="F562" s="46">
        <v>-7.4381592308048741E-3</v>
      </c>
      <c r="G562" s="46">
        <v>-7.5914305910102266E-3</v>
      </c>
      <c r="H562" s="46">
        <v>-7.935344478558504E-3</v>
      </c>
      <c r="I562" s="46">
        <v>-8.2556738159381624E-3</v>
      </c>
      <c r="J562" s="46">
        <v>-7.0058244742992959E-3</v>
      </c>
      <c r="K562" s="46">
        <v>-5.9451932887580336E-3</v>
      </c>
      <c r="M562" s="43" t="str">
        <f t="shared" si="43"/>
        <v>$million</v>
      </c>
    </row>
    <row r="563" spans="1:13" s="7" customFormat="1" x14ac:dyDescent="0.25">
      <c r="A563" s="4" t="str">
        <v>EE Lin</v>
      </c>
      <c r="B563" s="46">
        <v>-5.49917268419918E-3</v>
      </c>
      <c r="C563" s="46">
        <v>-5.6014708277451458E-3</v>
      </c>
      <c r="D563" s="46">
        <v>-9.4535236304335475E-3</v>
      </c>
      <c r="E563" s="46">
        <v>-1.3454579276710414E-2</v>
      </c>
      <c r="F563" s="46">
        <v>-1.732283941065519E-2</v>
      </c>
      <c r="G563" s="46">
        <v>-1.7648971417678669E-2</v>
      </c>
      <c r="H563" s="46">
        <v>-1.7408951274745482E-2</v>
      </c>
      <c r="I563" s="46">
        <v>-1.5291031013242046E-2</v>
      </c>
      <c r="J563" s="46">
        <v>-1.2976079445268998E-2</v>
      </c>
      <c r="K563" s="46">
        <v>-1.101159481163282E-2</v>
      </c>
      <c r="M563" s="43" t="str">
        <f t="shared" si="43"/>
        <v>$million</v>
      </c>
    </row>
    <row r="564" spans="1:13" s="7" customFormat="1" x14ac:dyDescent="0.25">
      <c r="A564" s="4" t="str">
        <v>CA Lin</v>
      </c>
      <c r="B564" s="46">
        <v>-5.641225084419027E-3</v>
      </c>
      <c r="C564" s="46">
        <v>-5.8809498689070053E-3</v>
      </c>
      <c r="D564" s="46">
        <v>-1.2033308949529295E-2</v>
      </c>
      <c r="E564" s="46">
        <v>-2.2818220273176093E-2</v>
      </c>
      <c r="F564" s="46">
        <v>-3.3248744383827973E-2</v>
      </c>
      <c r="G564" s="46">
        <v>-4.4464044839998204E-2</v>
      </c>
      <c r="H564" s="46">
        <v>-5.2391002640259768E-2</v>
      </c>
      <c r="I564" s="46">
        <v>-4.709543964988086E-2</v>
      </c>
      <c r="J564" s="46">
        <v>-3.9965530504614134E-2</v>
      </c>
      <c r="K564" s="46">
        <v>-3.3915038067157816E-2</v>
      </c>
      <c r="M564" s="43" t="str">
        <f t="shared" si="43"/>
        <v>$million</v>
      </c>
    </row>
    <row r="565" spans="1:13" s="7" customFormat="1" x14ac:dyDescent="0.25">
      <c r="A565" s="4" t="str">
        <v>IA Lin</v>
      </c>
      <c r="B565" s="46">
        <v>-5.641225084419027E-3</v>
      </c>
      <c r="C565" s="46">
        <v>-5.8809498689070053E-3</v>
      </c>
      <c r="D565" s="46">
        <v>-1.2033308949529295E-2</v>
      </c>
      <c r="E565" s="46">
        <v>-2.2818220273176093E-2</v>
      </c>
      <c r="F565" s="46">
        <v>-3.3248744383827973E-2</v>
      </c>
      <c r="G565" s="46">
        <v>-4.4464044839998204E-2</v>
      </c>
      <c r="H565" s="46">
        <v>-5.2391002640259768E-2</v>
      </c>
      <c r="I565" s="46">
        <v>-4.709543964988086E-2</v>
      </c>
      <c r="J565" s="46">
        <v>-3.9965530504614134E-2</v>
      </c>
      <c r="K565" s="46">
        <v>-3.3915038067157816E-2</v>
      </c>
      <c r="M565" s="43" t="str">
        <f t="shared" si="43"/>
        <v>$million</v>
      </c>
    </row>
    <row r="566" spans="1:13" s="7" customFormat="1" x14ac:dyDescent="0.25">
      <c r="A566" s="4" t="str">
        <v>AF Lin</v>
      </c>
      <c r="B566" s="46">
        <v>-5.7083248116116753E-3</v>
      </c>
      <c r="C566" s="46">
        <v>-6.0129643043477414E-3</v>
      </c>
      <c r="D566" s="46">
        <v>-1.2123572408557375E-2</v>
      </c>
      <c r="E566" s="46">
        <v>-2.4178805456804536E-2</v>
      </c>
      <c r="F566" s="46">
        <v>-3.5838260920352347E-2</v>
      </c>
      <c r="G566" s="46">
        <v>-4.2889795196813574E-2</v>
      </c>
      <c r="H566" s="46">
        <v>-4.7611367345844029E-2</v>
      </c>
      <c r="I566" s="46">
        <v>-4.3583051020147617E-2</v>
      </c>
      <c r="J566" s="46">
        <v>-3.6984892124990898E-2</v>
      </c>
      <c r="K566" s="46">
        <v>-3.1385646793402999E-2</v>
      </c>
      <c r="M566" s="43" t="str">
        <f t="shared" si="43"/>
        <v>$million</v>
      </c>
    </row>
    <row r="567" spans="1:13" s="7" customFormat="1" ht="13" thickBot="1" x14ac:dyDescent="0.3">
      <c r="A567" s="4" t="str">
        <v>LA Lin</v>
      </c>
      <c r="B567" s="47">
        <v>-5.7083248116116753E-3</v>
      </c>
      <c r="C567" s="47">
        <v>-6.0129643043477414E-3</v>
      </c>
      <c r="D567" s="47">
        <v>-1.2123572408557375E-2</v>
      </c>
      <c r="E567" s="47">
        <v>-2.4178805456804536E-2</v>
      </c>
      <c r="F567" s="47">
        <v>-3.5838260920352347E-2</v>
      </c>
      <c r="G567" s="47">
        <v>-4.2889795196813574E-2</v>
      </c>
      <c r="H567" s="47">
        <v>-4.7611367345844029E-2</v>
      </c>
      <c r="I567" s="47">
        <v>-4.3583051020147617E-2</v>
      </c>
      <c r="J567" s="47">
        <v>-3.6984892124990898E-2</v>
      </c>
      <c r="K567" s="47">
        <v>-3.1385646793402999E-2</v>
      </c>
      <c r="M567" s="43" t="str">
        <f t="shared" si="43"/>
        <v>$million</v>
      </c>
    </row>
    <row r="568" spans="1:13" s="2" customFormat="1" ht="15.5" thickTop="1" x14ac:dyDescent="0.4">
      <c r="A568" s="2" t="s">
        <v>411</v>
      </c>
      <c r="B568" s="2" t="s">
        <v>412</v>
      </c>
    </row>
    <row r="569" spans="1:13" s="6" customFormat="1" x14ac:dyDescent="0.25">
      <c r="A569" s="4" t="str">
        <f t="array" ref="A569:A576">R_CODE&amp;" "&amp;'Base data'!$B$11</f>
        <v>EU CO2</v>
      </c>
      <c r="B569" s="39">
        <f t="array" ref="B569:K576">IF(cbe_co2&lt;Q0_CO2,ALO_CO2*(EXP(BLO_CO2*(cbe_co2-Q0_CO2))-1),ahi_co2*(EXP(BHI_CO2*(cbe_co2-Q0_CO2))-1))</f>
        <v>-231.91957706904191</v>
      </c>
      <c r="C569" s="39">
        <v>-92.801153684434794</v>
      </c>
      <c r="D569" s="39">
        <v>13.161600680478616</v>
      </c>
      <c r="E569" s="39">
        <v>61.057161295854947</v>
      </c>
      <c r="F569" s="39">
        <v>134.79039242170822</v>
      </c>
      <c r="G569" s="39">
        <v>157.93570713264256</v>
      </c>
      <c r="H569" s="39">
        <v>181.92936130681662</v>
      </c>
      <c r="I569" s="39">
        <v>144.07558599827394</v>
      </c>
      <c r="J569" s="39">
        <v>91.218261403910475</v>
      </c>
      <c r="K569" s="39">
        <v>84.191416794027845</v>
      </c>
      <c r="M569" s="43" t="str">
        <f t="shared" ref="M569:M576" si="44">CURRENCY_NAME&amp;" per "&amp;EMIT_NAME</f>
        <v>$million per Mtonne</v>
      </c>
    </row>
    <row r="570" spans="1:13" s="6" customFormat="1" x14ac:dyDescent="0.25">
      <c r="A570" s="4" t="str">
        <v>US CO2</v>
      </c>
      <c r="B570" s="35">
        <v>-90.005145287074541</v>
      </c>
      <c r="C570" s="35">
        <v>14.495859999385996</v>
      </c>
      <c r="D570" s="35">
        <v>45.655314962930007</v>
      </c>
      <c r="E570" s="35">
        <v>88.777905553284796</v>
      </c>
      <c r="F570" s="35">
        <v>143.78565117805715</v>
      </c>
      <c r="G570" s="35">
        <v>154.07420654210813</v>
      </c>
      <c r="H570" s="35">
        <v>168.73874625368674</v>
      </c>
      <c r="I570" s="35">
        <v>102.44393317590421</v>
      </c>
      <c r="J570" s="35">
        <v>88.697297327487362</v>
      </c>
      <c r="K570" s="35">
        <v>77.1827514891459</v>
      </c>
      <c r="M570" s="43" t="str">
        <f t="shared" si="44"/>
        <v>$million per Mtonne</v>
      </c>
    </row>
    <row r="571" spans="1:13" s="6" customFormat="1" x14ac:dyDescent="0.25">
      <c r="A571" s="4" t="str">
        <v>OT CO2</v>
      </c>
      <c r="B571" s="35">
        <v>-231.91957706904191</v>
      </c>
      <c r="C571" s="35">
        <v>-230.51438672385891</v>
      </c>
      <c r="D571" s="35">
        <v>-229.11771036413222</v>
      </c>
      <c r="E571" s="35">
        <v>-227.72949640400472</v>
      </c>
      <c r="F571" s="35">
        <v>-226.3496935701757</v>
      </c>
      <c r="G571" s="35">
        <v>-53.542851290454799</v>
      </c>
      <c r="H571" s="35">
        <v>21.103815712714848</v>
      </c>
      <c r="I571" s="35">
        <v>4.891416825251186</v>
      </c>
      <c r="J571" s="35">
        <v>-206.62805508381373</v>
      </c>
      <c r="K571" s="35">
        <v>26.07091343695172</v>
      </c>
      <c r="M571" s="43" t="str">
        <f t="shared" si="44"/>
        <v>$million per Mtonne</v>
      </c>
    </row>
    <row r="572" spans="1:13" s="6" customFormat="1" x14ac:dyDescent="0.25">
      <c r="A572" s="4" t="str">
        <v>EE CO2</v>
      </c>
      <c r="B572" s="35">
        <v>-231.91957706904191</v>
      </c>
      <c r="C572" s="35">
        <v>-230.51438672385891</v>
      </c>
      <c r="D572" s="35">
        <v>-229.11771036413222</v>
      </c>
      <c r="E572" s="35">
        <v>-227.72949640400472</v>
      </c>
      <c r="F572" s="35">
        <v>-226.3496935701757</v>
      </c>
      <c r="G572" s="35">
        <v>-148.9977970345349</v>
      </c>
      <c r="H572" s="35">
        <v>9.8178353348489633</v>
      </c>
      <c r="I572" s="35">
        <v>2.5057204618470639</v>
      </c>
      <c r="J572" s="35">
        <v>-206.62805508381373</v>
      </c>
      <c r="K572" s="35">
        <v>14.954952089471764</v>
      </c>
      <c r="M572" s="43" t="str">
        <f t="shared" si="44"/>
        <v>$million per Mtonne</v>
      </c>
    </row>
    <row r="573" spans="1:13" s="6" customFormat="1" x14ac:dyDescent="0.25">
      <c r="A573" s="4" t="str">
        <v>CA CO2</v>
      </c>
      <c r="B573" s="35">
        <v>-231.91957706904191</v>
      </c>
      <c r="C573" s="35">
        <v>-230.51438672385891</v>
      </c>
      <c r="D573" s="35">
        <v>-229.11771036413222</v>
      </c>
      <c r="E573" s="35">
        <v>-8.2882875088334043</v>
      </c>
      <c r="F573" s="35">
        <v>79.260977159669096</v>
      </c>
      <c r="G573" s="35">
        <v>117.16173033114117</v>
      </c>
      <c r="H573" s="35">
        <v>167.67270738366815</v>
      </c>
      <c r="I573" s="35">
        <v>138.84989500339631</v>
      </c>
      <c r="J573" s="35">
        <v>59.411832968641498</v>
      </c>
      <c r="K573" s="35">
        <v>73.483179595954496</v>
      </c>
      <c r="M573" s="43" t="str">
        <f t="shared" si="44"/>
        <v>$million per Mtonne</v>
      </c>
    </row>
    <row r="574" spans="1:13" s="6" customFormat="1" x14ac:dyDescent="0.25">
      <c r="A574" s="4" t="str">
        <v>IA CO2</v>
      </c>
      <c r="B574" s="35">
        <v>-231.91957706904191</v>
      </c>
      <c r="C574" s="35">
        <v>-230.51438672385891</v>
      </c>
      <c r="D574" s="35">
        <v>-229.11771036413222</v>
      </c>
      <c r="E574" s="35">
        <v>-8.2882875088333989</v>
      </c>
      <c r="F574" s="35">
        <v>97.35018022341815</v>
      </c>
      <c r="G574" s="35">
        <v>142.11609874500371</v>
      </c>
      <c r="H574" s="35">
        <v>200.66423433787199</v>
      </c>
      <c r="I574" s="35">
        <v>164.23381686618396</v>
      </c>
      <c r="J574" s="35">
        <v>69.398210067142927</v>
      </c>
      <c r="K574" s="35">
        <v>85.438992013767574</v>
      </c>
      <c r="M574" s="43" t="str">
        <f t="shared" si="44"/>
        <v>$million per Mtonne</v>
      </c>
    </row>
    <row r="575" spans="1:13" s="6" customFormat="1" x14ac:dyDescent="0.25">
      <c r="A575" s="4" t="str">
        <v>AF CO2</v>
      </c>
      <c r="B575" s="35">
        <v>-231.91957706904191</v>
      </c>
      <c r="C575" s="35">
        <v>-230.51438672385891</v>
      </c>
      <c r="D575" s="35">
        <v>-229.11771036413222</v>
      </c>
      <c r="E575" s="35">
        <v>0.33196113286470169</v>
      </c>
      <c r="F575" s="35">
        <v>103.58064195748294</v>
      </c>
      <c r="G575" s="35">
        <v>158.45775577537856</v>
      </c>
      <c r="H575" s="35">
        <v>217.9990051105371</v>
      </c>
      <c r="I575" s="35">
        <v>172.68738720115283</v>
      </c>
      <c r="J575" s="35">
        <v>74.547782529554425</v>
      </c>
      <c r="K575" s="35">
        <v>91.575444322194073</v>
      </c>
      <c r="M575" s="43" t="str">
        <f t="shared" si="44"/>
        <v>$million per Mtonne</v>
      </c>
    </row>
    <row r="576" spans="1:13" s="6" customFormat="1" ht="13" thickBot="1" x14ac:dyDescent="0.3">
      <c r="A576" s="4" t="str">
        <v>LA CO2</v>
      </c>
      <c r="B576" s="49">
        <v>-231.91957706904191</v>
      </c>
      <c r="C576" s="49">
        <v>-230.51438672385891</v>
      </c>
      <c r="D576" s="49">
        <v>-229.11771036413222</v>
      </c>
      <c r="E576" s="49">
        <v>0.18841037275788916</v>
      </c>
      <c r="F576" s="49">
        <v>58.849300285228502</v>
      </c>
      <c r="G576" s="49">
        <v>90.285662805481095</v>
      </c>
      <c r="H576" s="49">
        <v>124.64140228363034</v>
      </c>
      <c r="I576" s="49">
        <v>99.037825338259964</v>
      </c>
      <c r="J576" s="49">
        <v>42.883565400817496</v>
      </c>
      <c r="K576" s="49">
        <v>52.739985901359418</v>
      </c>
      <c r="M576" s="43" t="str">
        <f t="shared" si="44"/>
        <v>$million per Mtonne</v>
      </c>
    </row>
    <row r="577" spans="1:13" s="2" customFormat="1" ht="15.5" thickTop="1" x14ac:dyDescent="0.4">
      <c r="A577" s="2" t="s">
        <v>411</v>
      </c>
      <c r="B577" s="2" t="s">
        <v>413</v>
      </c>
    </row>
    <row r="578" spans="1:13" s="6" customFormat="1" x14ac:dyDescent="0.25">
      <c r="A578" s="4" t="str">
        <f t="array" ref="A578:A585">R_CODE&amp;" "&amp;'Base data'!$C$11</f>
        <v>EU CH4</v>
      </c>
      <c r="B578" s="39">
        <f t="array" ref="B578:K585">IF(cbe_ch4&lt;Q0_CH4,ALO_CH4*(EXP(BLO_CH4*(cbe_ch4-Q0_CH4))-1),ahi_ch4*(EXP(BHI_CH4*(cbe_ch4-Q0_CH4))-1))</f>
        <v>24955.836514721763</v>
      </c>
      <c r="C578" s="39">
        <v>24092.347149475656</v>
      </c>
      <c r="D578" s="39">
        <v>23260.580763192313</v>
      </c>
      <c r="E578" s="39">
        <v>22459.267938164183</v>
      </c>
      <c r="F578" s="39">
        <v>21687.246462219668</v>
      </c>
      <c r="G578" s="39">
        <v>20943.394117409694</v>
      </c>
      <c r="H578" s="39">
        <v>19535.974224826678</v>
      </c>
      <c r="I578" s="39">
        <v>18228.815975765596</v>
      </c>
      <c r="J578" s="39">
        <v>12954.490642330316</v>
      </c>
      <c r="K578" s="39">
        <v>9277.8600020901395</v>
      </c>
      <c r="M578" s="43" t="str">
        <f t="shared" ref="M578:M585" si="45">CURRENCY_NAME&amp;" per "&amp;EMIT_NAME</f>
        <v>$million per Mtonne</v>
      </c>
    </row>
    <row r="579" spans="1:13" s="6" customFormat="1" x14ac:dyDescent="0.25">
      <c r="A579" s="4" t="str">
        <v>US CH4</v>
      </c>
      <c r="B579" s="35">
        <v>24257.762554290279</v>
      </c>
      <c r="C579" s="35">
        <v>23429.690739324327</v>
      </c>
      <c r="D579" s="35">
        <v>22631.486413524115</v>
      </c>
      <c r="E579" s="35">
        <v>21861.98126899726</v>
      </c>
      <c r="F579" s="35">
        <v>21120.10710031485</v>
      </c>
      <c r="G579" s="35">
        <v>20404.830708246849</v>
      </c>
      <c r="H579" s="35">
        <v>19050.179490141345</v>
      </c>
      <c r="I579" s="35">
        <v>17790.456595603504</v>
      </c>
      <c r="J579" s="35">
        <v>12690.747887337689</v>
      </c>
      <c r="K579" s="35">
        <v>9117.6632469613833</v>
      </c>
      <c r="M579" s="43" t="str">
        <f t="shared" si="45"/>
        <v>$million per Mtonne</v>
      </c>
    </row>
    <row r="580" spans="1:13" s="6" customFormat="1" x14ac:dyDescent="0.25">
      <c r="A580" s="4" t="str">
        <v>OT CH4</v>
      </c>
      <c r="B580" s="35">
        <v>30778.8650265049</v>
      </c>
      <c r="C580" s="35">
        <v>29713.894809655863</v>
      </c>
      <c r="D580" s="35">
        <v>28688.049600183662</v>
      </c>
      <c r="E580" s="35">
        <v>27699.76378291607</v>
      </c>
      <c r="F580" s="35">
        <v>26747.603962841844</v>
      </c>
      <c r="G580" s="35">
        <v>25830.186071157485</v>
      </c>
      <c r="H580" s="35">
        <v>24094.368204107577</v>
      </c>
      <c r="I580" s="35">
        <v>22482.206364034628</v>
      </c>
      <c r="J580" s="35">
        <v>15977.205121222556</v>
      </c>
      <c r="K580" s="35">
        <v>11442.69399948522</v>
      </c>
      <c r="M580" s="43" t="str">
        <f t="shared" si="45"/>
        <v>$million per Mtonne</v>
      </c>
    </row>
    <row r="581" spans="1:13" s="6" customFormat="1" x14ac:dyDescent="0.25">
      <c r="A581" s="4" t="str">
        <v>EE CH4</v>
      </c>
      <c r="B581" s="35">
        <v>19340.915916427115</v>
      </c>
      <c r="C581" s="35">
        <v>18639.500756178819</v>
      </c>
      <c r="D581" s="35">
        <v>17965.50622101621</v>
      </c>
      <c r="E581" s="35">
        <v>17317.748729660074</v>
      </c>
      <c r="F581" s="35">
        <v>16695.145189162587</v>
      </c>
      <c r="G581" s="35">
        <v>16096.652697381493</v>
      </c>
      <c r="H581" s="35">
        <v>14968.091675534184</v>
      </c>
      <c r="I581" s="35">
        <v>13924.543288509934</v>
      </c>
      <c r="J581" s="35">
        <v>9762.5517774235032</v>
      </c>
      <c r="K581" s="35">
        <v>6913.1989958531385</v>
      </c>
      <c r="M581" s="43" t="str">
        <f t="shared" si="45"/>
        <v>$million per Mtonne</v>
      </c>
    </row>
    <row r="582" spans="1:13" s="6" customFormat="1" x14ac:dyDescent="0.25">
      <c r="A582" s="4" t="str">
        <v>CA CH4</v>
      </c>
      <c r="B582" s="35">
        <v>27629.879880610148</v>
      </c>
      <c r="C582" s="35">
        <v>26627.859332044845</v>
      </c>
      <c r="D582" s="35">
        <v>25665.01139285805</v>
      </c>
      <c r="E582" s="35">
        <v>24739.640912617167</v>
      </c>
      <c r="F582" s="35">
        <v>23850.19718997354</v>
      </c>
      <c r="G582" s="35">
        <v>22995.191057837277</v>
      </c>
      <c r="H582" s="35">
        <v>21382.939054661634</v>
      </c>
      <c r="I582" s="35">
        <v>19892.140003566481</v>
      </c>
      <c r="J582" s="35">
        <v>13946.433743815271</v>
      </c>
      <c r="K582" s="35">
        <v>9875.9200642119067</v>
      </c>
      <c r="M582" s="43" t="str">
        <f t="shared" si="45"/>
        <v>$million per Mtonne</v>
      </c>
    </row>
    <row r="583" spans="1:13" s="6" customFormat="1" x14ac:dyDescent="0.25">
      <c r="A583" s="4" t="str">
        <v>IA CH4</v>
      </c>
      <c r="B583" s="35">
        <v>34076.851843542558</v>
      </c>
      <c r="C583" s="35">
        <v>32841.026500646032</v>
      </c>
      <c r="D583" s="35">
        <v>31653.514042636594</v>
      </c>
      <c r="E583" s="35">
        <v>30512.223783981299</v>
      </c>
      <c r="F583" s="35">
        <v>29415.243193017301</v>
      </c>
      <c r="G583" s="35">
        <v>28360.735630334249</v>
      </c>
      <c r="H583" s="35">
        <v>26372.291493621706</v>
      </c>
      <c r="I583" s="35">
        <v>24533.639331101283</v>
      </c>
      <c r="J583" s="35">
        <v>17200.60161272336</v>
      </c>
      <c r="K583" s="35">
        <v>12180.301409236046</v>
      </c>
      <c r="M583" s="43" t="str">
        <f t="shared" si="45"/>
        <v>$million per Mtonne</v>
      </c>
    </row>
    <row r="584" spans="1:13" s="6" customFormat="1" x14ac:dyDescent="0.25">
      <c r="A584" s="4" t="str">
        <v>AF CH4</v>
      </c>
      <c r="B584" s="35">
        <v>34076.851843542579</v>
      </c>
      <c r="C584" s="35">
        <v>32841.026448543125</v>
      </c>
      <c r="D584" s="35">
        <v>31653.513924907249</v>
      </c>
      <c r="E584" s="35">
        <v>30512.222400025614</v>
      </c>
      <c r="F584" s="35">
        <v>29415.242235565394</v>
      </c>
      <c r="G584" s="35">
        <v>28360.736639565399</v>
      </c>
      <c r="H584" s="35">
        <v>26372.290515141165</v>
      </c>
      <c r="I584" s="35">
        <v>24533.623265292172</v>
      </c>
      <c r="J584" s="35">
        <v>17200.567908943751</v>
      </c>
      <c r="K584" s="35">
        <v>12180.24902618771</v>
      </c>
      <c r="M584" s="43" t="str">
        <f t="shared" si="45"/>
        <v>$million per Mtonne</v>
      </c>
    </row>
    <row r="585" spans="1:13" s="6" customFormat="1" ht="13" thickBot="1" x14ac:dyDescent="0.3">
      <c r="A585" s="4" t="str">
        <v>LA CH4</v>
      </c>
      <c r="B585" s="49">
        <v>19340.915916427115</v>
      </c>
      <c r="C585" s="49">
        <v>18639.501502859475</v>
      </c>
      <c r="D585" s="49">
        <v>17965.507908181276</v>
      </c>
      <c r="E585" s="49">
        <v>17317.747853343655</v>
      </c>
      <c r="F585" s="49">
        <v>16695.137489562825</v>
      </c>
      <c r="G585" s="49">
        <v>16096.634313292963</v>
      </c>
      <c r="H585" s="49">
        <v>14968.056782909325</v>
      </c>
      <c r="I585" s="49">
        <v>13924.488884064338</v>
      </c>
      <c r="J585" s="49">
        <v>9762.4844914984751</v>
      </c>
      <c r="K585" s="49">
        <v>6913.1143140290005</v>
      </c>
      <c r="M585" s="43" t="str">
        <f t="shared" si="45"/>
        <v>$million per Mtonne</v>
      </c>
    </row>
    <row r="586" spans="1:13" s="2" customFormat="1" ht="15.5" thickTop="1" x14ac:dyDescent="0.4">
      <c r="A586" s="2" t="s">
        <v>411</v>
      </c>
      <c r="B586" s="2" t="s">
        <v>414</v>
      </c>
    </row>
    <row r="587" spans="1:13" s="7" customFormat="1" x14ac:dyDescent="0.25">
      <c r="A587" s="4" t="str">
        <f t="array" ref="A587:A594">R_CODE&amp;" "&amp;'Base data'!$D$11</f>
        <v>EU N2O</v>
      </c>
      <c r="B587" s="39">
        <f t="array" ref="B587:K594">IF(cbe_n2o&lt;Q0_N2O,ALO_N2O*(EXP(BLO_N2O*(cbe_n2o-Q0_N2O))-1),ahi_n2o*(EXP(BHI_N2O*(cbe_n2o-Q0_N2O))-1))</f>
        <v>107704.13652975413</v>
      </c>
      <c r="C587" s="39">
        <v>103955.53731787209</v>
      </c>
      <c r="D587" s="39">
        <v>100352.45599322667</v>
      </c>
      <c r="E587" s="39">
        <v>96881.457102769244</v>
      </c>
      <c r="F587" s="39">
        <v>93537.785018207229</v>
      </c>
      <c r="G587" s="39">
        <v>90316.54584437146</v>
      </c>
      <c r="H587" s="39">
        <v>84229.213170263611</v>
      </c>
      <c r="I587" s="39">
        <v>78571.857971614299</v>
      </c>
      <c r="J587" s="39">
        <v>55793.242572487703</v>
      </c>
      <c r="K587" s="39">
        <v>39905.542040646731</v>
      </c>
      <c r="M587" s="43" t="str">
        <f t="shared" ref="M587:M594" si="46">CURRENCY_NAME&amp;" per "&amp;EMIT_NAME</f>
        <v>$million per Mtonne</v>
      </c>
    </row>
    <row r="588" spans="1:13" s="7" customFormat="1" x14ac:dyDescent="0.25">
      <c r="A588" s="4" t="str">
        <v>US N2O</v>
      </c>
      <c r="B588" s="35">
        <v>104691.3962796798</v>
      </c>
      <c r="C588" s="35">
        <v>101096.25578971619</v>
      </c>
      <c r="D588" s="35">
        <v>97638.372295859794</v>
      </c>
      <c r="E588" s="35">
        <v>94304.970505954479</v>
      </c>
      <c r="F588" s="35">
        <v>91091.694879395523</v>
      </c>
      <c r="G588" s="35">
        <v>87994.038491405066</v>
      </c>
      <c r="H588" s="35">
        <v>82134.712645544292</v>
      </c>
      <c r="I588" s="35">
        <v>76682.392906828332</v>
      </c>
      <c r="J588" s="35">
        <v>54657.338127278854</v>
      </c>
      <c r="K588" s="35">
        <v>39216.510481092526</v>
      </c>
      <c r="M588" s="43" t="str">
        <f t="shared" si="46"/>
        <v>$million per Mtonne</v>
      </c>
    </row>
    <row r="589" spans="1:13" s="7" customFormat="1" x14ac:dyDescent="0.25">
      <c r="A589" s="4" t="str">
        <v>OT N2O</v>
      </c>
      <c r="B589" s="35">
        <v>132835.10168412872</v>
      </c>
      <c r="C589" s="35">
        <v>128211.82932405706</v>
      </c>
      <c r="D589" s="35">
        <v>123768.02902486206</v>
      </c>
      <c r="E589" s="35">
        <v>119487.13039445491</v>
      </c>
      <c r="F589" s="35">
        <v>115363.26815794296</v>
      </c>
      <c r="G589" s="35">
        <v>111390.40651128595</v>
      </c>
      <c r="H589" s="35">
        <v>103882.69621524872</v>
      </c>
      <c r="I589" s="35">
        <v>96905.291472133686</v>
      </c>
      <c r="J589" s="35">
        <v>68811.665820803755</v>
      </c>
      <c r="K589" s="35">
        <v>49216.835170162441</v>
      </c>
      <c r="M589" s="43" t="str">
        <f t="shared" si="46"/>
        <v>$million per Mtonne</v>
      </c>
    </row>
    <row r="590" spans="1:13" s="7" customFormat="1" x14ac:dyDescent="0.25">
      <c r="A590" s="4" t="str">
        <v>EE N2O</v>
      </c>
      <c r="B590" s="35">
        <v>83471.321317741415</v>
      </c>
      <c r="C590" s="35">
        <v>80427.155889725356</v>
      </c>
      <c r="D590" s="35">
        <v>77508.0346785945</v>
      </c>
      <c r="E590" s="35">
        <v>74702.711577181573</v>
      </c>
      <c r="F590" s="35">
        <v>72006.612448257903</v>
      </c>
      <c r="G590" s="35">
        <v>69415.200481876396</v>
      </c>
      <c r="H590" s="35">
        <v>64534.489216994261</v>
      </c>
      <c r="I590" s="35">
        <v>60018.670055697883</v>
      </c>
      <c r="J590" s="35">
        <v>42045.257333736445</v>
      </c>
      <c r="K590" s="35">
        <v>29733.739264048243</v>
      </c>
      <c r="M590" s="43" t="str">
        <f t="shared" si="46"/>
        <v>$million per Mtonne</v>
      </c>
    </row>
    <row r="591" spans="1:13" s="7" customFormat="1" x14ac:dyDescent="0.25">
      <c r="A591" s="4" t="str">
        <v>CA N2O</v>
      </c>
      <c r="B591" s="35">
        <v>119244.74473963051</v>
      </c>
      <c r="C591" s="35">
        <v>114895.92900776255</v>
      </c>
      <c r="D591" s="35">
        <v>110725.74589594577</v>
      </c>
      <c r="E591" s="35">
        <v>106718.21201766792</v>
      </c>
      <c r="F591" s="35">
        <v>102866.47646427451</v>
      </c>
      <c r="G591" s="35">
        <v>99164.083611903174</v>
      </c>
      <c r="H591" s="35">
        <v>92190.917094404926</v>
      </c>
      <c r="I591" s="35">
        <v>85738.384484279537</v>
      </c>
      <c r="J591" s="35">
        <v>60059.222402694635</v>
      </c>
      <c r="K591" s="35">
        <v>42468.683418683075</v>
      </c>
      <c r="M591" s="43" t="str">
        <f t="shared" si="46"/>
        <v>$million per Mtonne</v>
      </c>
    </row>
    <row r="592" spans="1:13" s="7" customFormat="1" x14ac:dyDescent="0.25">
      <c r="A592" s="4" t="str">
        <v>IA N2O</v>
      </c>
      <c r="B592" s="35">
        <v>147068.51847246272</v>
      </c>
      <c r="C592" s="35">
        <v>141704.97907127516</v>
      </c>
      <c r="D592" s="35">
        <v>136561.75323475787</v>
      </c>
      <c r="E592" s="35">
        <v>131619.12811955102</v>
      </c>
      <c r="F592" s="35">
        <v>126868.65427164975</v>
      </c>
      <c r="G592" s="35">
        <v>122302.36975495922</v>
      </c>
      <c r="H592" s="35">
        <v>113702.13105236909</v>
      </c>
      <c r="I592" s="35">
        <v>105744.00750203196</v>
      </c>
      <c r="J592" s="35">
        <v>74073.040943303626</v>
      </c>
      <c r="K592" s="35">
        <v>52378.042868886245</v>
      </c>
      <c r="M592" s="43" t="str">
        <f t="shared" si="46"/>
        <v>$million per Mtonne</v>
      </c>
    </row>
    <row r="593" spans="1:13" s="7" customFormat="1" x14ac:dyDescent="0.25">
      <c r="A593" s="4" t="str">
        <v>AF N2O</v>
      </c>
      <c r="B593" s="35">
        <v>147068.51847246263</v>
      </c>
      <c r="C593" s="35">
        <v>141705.02238422583</v>
      </c>
      <c r="D593" s="35">
        <v>136561.85058639542</v>
      </c>
      <c r="E593" s="35">
        <v>131619.29622495797</v>
      </c>
      <c r="F593" s="35">
        <v>126868.96152113999</v>
      </c>
      <c r="G593" s="35">
        <v>122302.87679363818</v>
      </c>
      <c r="H593" s="35">
        <v>113702.77849888247</v>
      </c>
      <c r="I593" s="35">
        <v>105744.55984930297</v>
      </c>
      <c r="J593" s="35">
        <v>74073.15069591155</v>
      </c>
      <c r="K593" s="35">
        <v>52377.796229001302</v>
      </c>
      <c r="M593" s="43" t="str">
        <f t="shared" si="46"/>
        <v>$million per Mtonne</v>
      </c>
    </row>
    <row r="594" spans="1:13" s="7" customFormat="1" ht="13" thickBot="1" x14ac:dyDescent="0.3">
      <c r="A594" s="4" t="str">
        <v>LA N2O</v>
      </c>
      <c r="B594" s="49">
        <v>83471.321317741298</v>
      </c>
      <c r="C594" s="49">
        <v>80427.174888459849</v>
      </c>
      <c r="D594" s="49">
        <v>77508.077380794159</v>
      </c>
      <c r="E594" s="49">
        <v>74702.843823544448</v>
      </c>
      <c r="F594" s="49">
        <v>72006.70790983802</v>
      </c>
      <c r="G594" s="49">
        <v>69415.14630704197</v>
      </c>
      <c r="H594" s="49">
        <v>64534.009435726264</v>
      </c>
      <c r="I594" s="49">
        <v>60017.182633392818</v>
      </c>
      <c r="J594" s="49">
        <v>42041.517973906964</v>
      </c>
      <c r="K594" s="49">
        <v>29727.938408278558</v>
      </c>
      <c r="M594" s="43" t="str">
        <f t="shared" si="46"/>
        <v>$million per Mtonne</v>
      </c>
    </row>
    <row r="595" spans="1:13" s="2" customFormat="1" ht="15.5" thickTop="1" x14ac:dyDescent="0.4">
      <c r="A595" s="2" t="s">
        <v>411</v>
      </c>
      <c r="B595" s="2" t="s">
        <v>415</v>
      </c>
    </row>
    <row r="596" spans="1:13" s="7" customFormat="1" x14ac:dyDescent="0.25">
      <c r="A596" s="4" t="str">
        <f t="array" ref="A596:A603">R_CODE&amp;" "&amp;GLIN_NAME</f>
        <v>EU Lin</v>
      </c>
      <c r="B596" s="39">
        <f t="array" ref="B596:K603">IF(cbe_glin&lt;Q0_GLIN,ALO_GLIN*(EXP(BLO_GLIN*(cbe_glin-Q0_GLIN))-1),ahi_glin*(EXP(BHI_GLIN*(cbe_glin-Q0_GLIN))-1))</f>
        <v>569.78972652275559</v>
      </c>
      <c r="C596" s="39">
        <v>552.4910913342469</v>
      </c>
      <c r="D596" s="39">
        <v>535.74449068281172</v>
      </c>
      <c r="E596" s="39">
        <v>519.52983403119174</v>
      </c>
      <c r="F596" s="39">
        <v>503.82872391855909</v>
      </c>
      <c r="G596" s="39">
        <v>488.62430079293352</v>
      </c>
      <c r="H596" s="39">
        <v>459.6464592194211</v>
      </c>
      <c r="I596" s="39">
        <v>432.46659081688455</v>
      </c>
      <c r="J596" s="39">
        <v>319.82303463306948</v>
      </c>
      <c r="K596" s="39">
        <v>237.66691752770913</v>
      </c>
      <c r="M596" s="43" t="str">
        <f t="shared" ref="M596:M603" si="47">CURRENCY_NAME&amp;" per "&amp;EMIT_NAME</f>
        <v>$million per Mtonne</v>
      </c>
    </row>
    <row r="597" spans="1:13" s="7" customFormat="1" x14ac:dyDescent="0.25">
      <c r="A597" s="4" t="str">
        <v>US Lin</v>
      </c>
      <c r="B597" s="35">
        <v>557.16338264151545</v>
      </c>
      <c r="C597" s="35">
        <v>540.4440364970576</v>
      </c>
      <c r="D597" s="35">
        <v>524.24935296235537</v>
      </c>
      <c r="E597" s="35">
        <v>508.56060446005745</v>
      </c>
      <c r="F597" s="35">
        <v>493.36066644940081</v>
      </c>
      <c r="G597" s="35">
        <v>478.63387013766049</v>
      </c>
      <c r="H597" s="35">
        <v>450.5450101766412</v>
      </c>
      <c r="I597" s="35">
        <v>424.17283824036269</v>
      </c>
      <c r="J597" s="35">
        <v>314.58946101034741</v>
      </c>
      <c r="K597" s="35">
        <v>234.34136275252851</v>
      </c>
      <c r="M597" s="43" t="str">
        <f t="shared" si="47"/>
        <v>$million per Mtonne</v>
      </c>
    </row>
    <row r="598" spans="1:13" s="7" customFormat="1" x14ac:dyDescent="0.25">
      <c r="A598" s="4" t="str">
        <v>OT Lin</v>
      </c>
      <c r="B598" s="35">
        <v>702.74066252146872</v>
      </c>
      <c r="C598" s="35">
        <v>681.4056791280741</v>
      </c>
      <c r="D598" s="35">
        <v>660.75153833021977</v>
      </c>
      <c r="E598" s="35">
        <v>640.75346179862663</v>
      </c>
      <c r="F598" s="35">
        <v>621.3887593316133</v>
      </c>
      <c r="G598" s="35">
        <v>602.63663748174338</v>
      </c>
      <c r="H598" s="35">
        <v>566.89729955073722</v>
      </c>
      <c r="I598" s="35">
        <v>533.37546186333554</v>
      </c>
      <c r="J598" s="35">
        <v>394.448409274178</v>
      </c>
      <c r="K598" s="35">
        <v>293.12253153828561</v>
      </c>
      <c r="M598" s="43" t="str">
        <f t="shared" si="47"/>
        <v>$million per Mtonne</v>
      </c>
    </row>
    <row r="599" spans="1:13" s="7" customFormat="1" x14ac:dyDescent="0.25">
      <c r="A599" s="4" t="str">
        <v>EE Lin</v>
      </c>
      <c r="B599" s="35">
        <v>432.16094988319986</v>
      </c>
      <c r="C599" s="35">
        <v>418.49739344256028</v>
      </c>
      <c r="D599" s="35">
        <v>405.29535979103093</v>
      </c>
      <c r="E599" s="35">
        <v>392.53650774265645</v>
      </c>
      <c r="F599" s="35">
        <v>380.204456958766</v>
      </c>
      <c r="G599" s="35">
        <v>368.28409059124584</v>
      </c>
      <c r="H599" s="35">
        <v>345.62646213137157</v>
      </c>
      <c r="I599" s="35">
        <v>324.44825716926755</v>
      </c>
      <c r="J599" s="35">
        <v>237.4900458168151</v>
      </c>
      <c r="K599" s="35">
        <v>174.96541245744757</v>
      </c>
      <c r="M599" s="43" t="str">
        <f t="shared" si="47"/>
        <v>$million per Mtonne</v>
      </c>
    </row>
    <row r="600" spans="1:13" s="7" customFormat="1" x14ac:dyDescent="0.25">
      <c r="A600" s="4" t="str">
        <v>CA Lin</v>
      </c>
      <c r="B600" s="35">
        <v>617.37278554742761</v>
      </c>
      <c r="C600" s="35">
        <v>597.85338827732926</v>
      </c>
      <c r="D600" s="35">
        <v>578.99330124596247</v>
      </c>
      <c r="E600" s="35">
        <v>560.76600903694543</v>
      </c>
      <c r="F600" s="35">
        <v>543.14751025715043</v>
      </c>
      <c r="G600" s="35">
        <v>526.11629736489556</v>
      </c>
      <c r="H600" s="35">
        <v>493.7432602767181</v>
      </c>
      <c r="I600" s="35">
        <v>463.48039646976491</v>
      </c>
      <c r="J600" s="35">
        <v>339.24076915370853</v>
      </c>
      <c r="K600" s="35">
        <v>249.90563656367632</v>
      </c>
      <c r="M600" s="43" t="str">
        <f t="shared" si="47"/>
        <v>$million per Mtonne</v>
      </c>
    </row>
    <row r="601" spans="1:13" s="7" customFormat="1" x14ac:dyDescent="0.25">
      <c r="A601" s="4" t="str">
        <v>IA Lin</v>
      </c>
      <c r="B601" s="35">
        <v>761.42643530270311</v>
      </c>
      <c r="C601" s="35">
        <v>737.35251200942162</v>
      </c>
      <c r="D601" s="35">
        <v>714.09173801035593</v>
      </c>
      <c r="E601" s="35">
        <v>691.61141095864389</v>
      </c>
      <c r="F601" s="35">
        <v>669.88192913610305</v>
      </c>
      <c r="G601" s="35">
        <v>648.87676657466579</v>
      </c>
      <c r="H601" s="35">
        <v>608.95002084337125</v>
      </c>
      <c r="I601" s="35">
        <v>571.62582215821647</v>
      </c>
      <c r="J601" s="35">
        <v>418.39694850982687</v>
      </c>
      <c r="K601" s="35">
        <v>308.21695167856564</v>
      </c>
      <c r="M601" s="43" t="str">
        <f t="shared" si="47"/>
        <v>$million per Mtonne</v>
      </c>
    </row>
    <row r="602" spans="1:13" s="7" customFormat="1" x14ac:dyDescent="0.25">
      <c r="A602" s="4" t="str">
        <v>AF Lin</v>
      </c>
      <c r="B602" s="35">
        <v>761.42643530270345</v>
      </c>
      <c r="C602" s="35">
        <v>737.35249399248494</v>
      </c>
      <c r="D602" s="35">
        <v>714.09169729757662</v>
      </c>
      <c r="E602" s="35">
        <v>691.61135586779812</v>
      </c>
      <c r="F602" s="35">
        <v>669.88164335978729</v>
      </c>
      <c r="G602" s="35">
        <v>648.87605423464026</v>
      </c>
      <c r="H602" s="35">
        <v>608.94973126937475</v>
      </c>
      <c r="I602" s="35">
        <v>571.62703783681502</v>
      </c>
      <c r="J602" s="35">
        <v>418.4003169023249</v>
      </c>
      <c r="K602" s="35">
        <v>308.22247200078289</v>
      </c>
      <c r="M602" s="43" t="str">
        <f t="shared" si="47"/>
        <v>$million per Mtonne</v>
      </c>
    </row>
    <row r="603" spans="1:13" s="7" customFormat="1" ht="13" thickBot="1" x14ac:dyDescent="0.3">
      <c r="A603" s="4" t="str">
        <v>LA Lin</v>
      </c>
      <c r="B603" s="49">
        <v>432.16094988319941</v>
      </c>
      <c r="C603" s="49">
        <v>418.49736156830141</v>
      </c>
      <c r="D603" s="49">
        <v>405.29528776492054</v>
      </c>
      <c r="E603" s="49">
        <v>392.53617505808427</v>
      </c>
      <c r="F603" s="49">
        <v>380.2030949826368</v>
      </c>
      <c r="G603" s="49">
        <v>368.28100385433112</v>
      </c>
      <c r="H603" s="49">
        <v>345.62011784089378</v>
      </c>
      <c r="I603" s="49">
        <v>324.43696750858066</v>
      </c>
      <c r="J603" s="49">
        <v>237.47045019793316</v>
      </c>
      <c r="K603" s="49">
        <v>174.9370787504273</v>
      </c>
      <c r="M603" s="43" t="str">
        <f t="shared" si="47"/>
        <v>$million per Mtonne</v>
      </c>
    </row>
    <row r="604" spans="1:13" s="2" customFormat="1" ht="15.5" thickTop="1" x14ac:dyDescent="0.4">
      <c r="A604" s="2" t="s">
        <v>416</v>
      </c>
      <c r="B604" s="2" t="s">
        <v>417</v>
      </c>
    </row>
    <row r="605" spans="1:13" s="6" customFormat="1" x14ac:dyDescent="0.25">
      <c r="A605" s="4" t="str">
        <f t="array" ref="A605:A612">R_CODE&amp;" "&amp;'Base data'!$B$11</f>
        <v>EU CO2</v>
      </c>
      <c r="B605" s="107">
        <f t="array" ref="B605:K612">IF(cbe_co2&lt;Q0_CO2,(ALO_CO2/BLO_CO2)*(EXP(BLO_CO2*(cbe_co2-Q0_CO2))-EXP(-BLO_CO2*Q0_CO2))-ALO_CO2*cbe_co2,(ahi_co2/BHI_CO2)*(EXP(BHI_CO2*(cbe_co2-Q0_CO2))-1)-ahi_co2*(cbe_co2-Q0_CO2)+TCQ0_CO2)</f>
        <v>0</v>
      </c>
      <c r="C605" s="107">
        <v>-48032.795984681725</v>
      </c>
      <c r="D605" s="107">
        <v>-68234.99140531497</v>
      </c>
      <c r="E605" s="107">
        <v>-36417.42098533512</v>
      </c>
      <c r="F605" s="107">
        <v>49565.652941149718</v>
      </c>
      <c r="G605" s="107">
        <v>84497.080894675135</v>
      </c>
      <c r="H605" s="107">
        <v>113497.7088331757</v>
      </c>
      <c r="I605" s="107">
        <v>65496.011806320123</v>
      </c>
      <c r="J605" s="107">
        <v>34739.521187516366</v>
      </c>
      <c r="K605" s="107">
        <v>48275.335169646103</v>
      </c>
      <c r="M605" s="43" t="str">
        <f t="shared" ref="M605:M612" si="48">CURRENCY_NAME</f>
        <v>$million</v>
      </c>
    </row>
    <row r="606" spans="1:13" s="6" customFormat="1" x14ac:dyDescent="0.25">
      <c r="A606" s="4" t="str">
        <v>US CO2</v>
      </c>
      <c r="B606" s="91">
        <v>-116125.60769868035</v>
      </c>
      <c r="C606" s="91">
        <v>-158243.99124211352</v>
      </c>
      <c r="D606" s="91">
        <v>-122965.51668185979</v>
      </c>
      <c r="E606" s="91">
        <v>-26686.498486508906</v>
      </c>
      <c r="F606" s="91">
        <v>134687.36747042256</v>
      </c>
      <c r="G606" s="91">
        <v>176201.57760606977</v>
      </c>
      <c r="H606" s="91">
        <v>216014.41208106308</v>
      </c>
      <c r="I606" s="91">
        <v>51811.483321427135</v>
      </c>
      <c r="J606" s="91">
        <v>69371.906975286984</v>
      </c>
      <c r="K606" s="91">
        <v>85830.396332595134</v>
      </c>
      <c r="M606" s="43" t="str">
        <f t="shared" si="48"/>
        <v>$million</v>
      </c>
    </row>
    <row r="607" spans="1:13" s="6" customFormat="1" x14ac:dyDescent="0.25">
      <c r="A607" s="4" t="str">
        <v>OT CO2</v>
      </c>
      <c r="B607" s="91">
        <v>0</v>
      </c>
      <c r="C607" s="91">
        <v>0</v>
      </c>
      <c r="D607" s="91">
        <v>0</v>
      </c>
      <c r="E607" s="91">
        <v>0</v>
      </c>
      <c r="F607" s="91">
        <v>0</v>
      </c>
      <c r="G607" s="91">
        <v>-19322.987827328048</v>
      </c>
      <c r="H607" s="91">
        <v>-17322.389291258558</v>
      </c>
      <c r="I607" s="91">
        <v>-15175.267363472405</v>
      </c>
      <c r="J607" s="91">
        <v>0</v>
      </c>
      <c r="K607" s="91">
        <v>-7585.8002635201465</v>
      </c>
      <c r="M607" s="43" t="str">
        <f t="shared" si="48"/>
        <v>$million</v>
      </c>
    </row>
    <row r="608" spans="1:13" s="6" customFormat="1" x14ac:dyDescent="0.25">
      <c r="A608" s="4" t="str">
        <v>EE CO2</v>
      </c>
      <c r="B608" s="91">
        <v>0</v>
      </c>
      <c r="C608" s="91">
        <v>0</v>
      </c>
      <c r="D608" s="91">
        <v>0</v>
      </c>
      <c r="E608" s="91">
        <v>0</v>
      </c>
      <c r="F608" s="91">
        <v>0</v>
      </c>
      <c r="G608" s="91">
        <v>-7801.5408865916843</v>
      </c>
      <c r="H608" s="91">
        <v>-15107.63089127354</v>
      </c>
      <c r="I608" s="91">
        <v>-13133.857492562123</v>
      </c>
      <c r="J608" s="91">
        <v>0</v>
      </c>
      <c r="K608" s="91">
        <v>-7156.9921969943589</v>
      </c>
      <c r="M608" s="43" t="str">
        <f t="shared" si="48"/>
        <v>$million</v>
      </c>
    </row>
    <row r="609" spans="1:13" s="6" customFormat="1" x14ac:dyDescent="0.25">
      <c r="A609" s="4" t="str">
        <v>CA CO2</v>
      </c>
      <c r="B609" s="91">
        <v>0</v>
      </c>
      <c r="C609" s="91">
        <v>0</v>
      </c>
      <c r="D609" s="91">
        <v>0</v>
      </c>
      <c r="E609" s="91">
        <v>-41091.43211847666</v>
      </c>
      <c r="F609" s="91">
        <v>3243.773796053807</v>
      </c>
      <c r="G609" s="91">
        <v>54477.892157903487</v>
      </c>
      <c r="H609" s="91">
        <v>146182.83522297413</v>
      </c>
      <c r="I609" s="91">
        <v>104781.1595636213</v>
      </c>
      <c r="J609" s="91">
        <v>17909.679727279261</v>
      </c>
      <c r="K609" s="91">
        <v>64242.775247841433</v>
      </c>
      <c r="M609" s="43" t="str">
        <f t="shared" si="48"/>
        <v>$million</v>
      </c>
    </row>
    <row r="610" spans="1:13" s="6" customFormat="1" x14ac:dyDescent="0.25">
      <c r="A610" s="4" t="str">
        <v>IA CO2</v>
      </c>
      <c r="B610" s="91">
        <v>0</v>
      </c>
      <c r="C610" s="91">
        <v>0</v>
      </c>
      <c r="D610" s="91">
        <v>0</v>
      </c>
      <c r="E610" s="91">
        <v>-67557.849149624526</v>
      </c>
      <c r="F610" s="91">
        <v>24168.885709890921</v>
      </c>
      <c r="G610" s="91">
        <v>125418.90695218883</v>
      </c>
      <c r="H610" s="91">
        <v>303145.94616716646</v>
      </c>
      <c r="I610" s="91">
        <v>216529.31789596219</v>
      </c>
      <c r="J610" s="91">
        <v>44624.615862270293</v>
      </c>
      <c r="K610" s="91">
        <v>131429.67075498885</v>
      </c>
      <c r="M610" s="43" t="str">
        <f t="shared" si="48"/>
        <v>$million</v>
      </c>
    </row>
    <row r="611" spans="1:13" s="6" customFormat="1" x14ac:dyDescent="0.25">
      <c r="A611" s="4" t="str">
        <v>AF CO2</v>
      </c>
      <c r="B611" s="91">
        <v>0</v>
      </c>
      <c r="C611" s="91">
        <v>0</v>
      </c>
      <c r="D611" s="91">
        <v>0</v>
      </c>
      <c r="E611" s="91">
        <v>-38849.443487019853</v>
      </c>
      <c r="F611" s="91">
        <v>19856.396287228257</v>
      </c>
      <c r="G611" s="91">
        <v>94991.368298763584</v>
      </c>
      <c r="H611" s="91">
        <v>205751.54312533775</v>
      </c>
      <c r="I611" s="91">
        <v>131527.99203923892</v>
      </c>
      <c r="J611" s="91">
        <v>30160.6580536455</v>
      </c>
      <c r="K611" s="91">
        <v>82144.746576946767</v>
      </c>
      <c r="M611" s="43" t="str">
        <f t="shared" si="48"/>
        <v>$million</v>
      </c>
    </row>
    <row r="612" spans="1:13" s="6" customFormat="1" ht="13" thickBot="1" x14ac:dyDescent="0.3">
      <c r="A612" s="4" t="str">
        <v>LA CO2</v>
      </c>
      <c r="B612" s="108">
        <v>0</v>
      </c>
      <c r="C612" s="108">
        <v>0</v>
      </c>
      <c r="D612" s="108">
        <v>0</v>
      </c>
      <c r="E612" s="108">
        <v>-33137.953275143453</v>
      </c>
      <c r="F612" s="108">
        <v>-6688.9503059722483</v>
      </c>
      <c r="G612" s="108">
        <v>28985.050421072185</v>
      </c>
      <c r="H612" s="108">
        <v>83172.034704418096</v>
      </c>
      <c r="I612" s="108">
        <v>49963.453341293505</v>
      </c>
      <c r="J612" s="108">
        <v>2318.5663104420819</v>
      </c>
      <c r="K612" s="108">
        <v>29500.529993267075</v>
      </c>
      <c r="M612" s="43" t="str">
        <f t="shared" si="48"/>
        <v>$million</v>
      </c>
    </row>
    <row r="613" spans="1:13" s="2" customFormat="1" ht="15.5" thickTop="1" x14ac:dyDescent="0.4">
      <c r="A613" s="2" t="s">
        <v>416</v>
      </c>
      <c r="B613" s="2" t="s">
        <v>418</v>
      </c>
    </row>
    <row r="614" spans="1:13" s="6" customFormat="1" x14ac:dyDescent="0.25">
      <c r="A614" s="4" t="str">
        <f t="array" ref="A614:A621">R_CODE&amp;" "&amp;'Base data'!$C$11</f>
        <v>EU CH4</v>
      </c>
      <c r="B614" s="107">
        <f t="array" ref="B614:K621">IF(cbe_ch4&lt;Q0_CH4,(ALO_CH4/BLO_CH4)*(EXP(BLO_CH4*(cbe_ch4-Q0_CH4))-EXP(-BLO_CH4*Q0_CH4))-ALO_CH4*cbe_ch4,(ahi_ch4/BHI_CH4)*(EXP(BHI_CH4*(cbe_ch4-Q0_CH4))-1)-ahi_ch4*(cbe_ch4-Q0_CH4)+TCQ0_CH4)</f>
        <v>6.2938535207478541</v>
      </c>
      <c r="C614" s="107">
        <v>6.135032567882857</v>
      </c>
      <c r="D614" s="107">
        <v>5.812954280919131</v>
      </c>
      <c r="E614" s="107">
        <v>5.2453394204462622</v>
      </c>
      <c r="F614" s="107">
        <v>4.6998094023470207</v>
      </c>
      <c r="G614" s="107">
        <v>4.2481377512508125</v>
      </c>
      <c r="H614" s="107">
        <v>3.513420098432178</v>
      </c>
      <c r="I614" s="107">
        <v>3.0569526857438021</v>
      </c>
      <c r="J614" s="107">
        <v>2.442725278564883</v>
      </c>
      <c r="K614" s="107">
        <v>1.9506625692946724</v>
      </c>
      <c r="M614" s="43" t="str">
        <f t="shared" ref="M614:M621" si="49">CURRENCY_NAME</f>
        <v>$million</v>
      </c>
    </row>
    <row r="615" spans="1:13" s="6" customFormat="1" x14ac:dyDescent="0.25">
      <c r="A615" s="4" t="str">
        <v>US CH4</v>
      </c>
      <c r="B615" s="91">
        <v>6.0781211014284127</v>
      </c>
      <c r="C615" s="91">
        <v>5.927513542306956</v>
      </c>
      <c r="D615" s="91">
        <v>5.6189059443892244</v>
      </c>
      <c r="E615" s="91">
        <v>5.0725215106468902</v>
      </c>
      <c r="F615" s="91">
        <v>4.5469725526630214</v>
      </c>
      <c r="G615" s="91">
        <v>4.1117705158285949</v>
      </c>
      <c r="H615" s="91">
        <v>3.403503563883119</v>
      </c>
      <c r="I615" s="91">
        <v>2.9637192612151111</v>
      </c>
      <c r="J615" s="91">
        <v>2.3768163495153192</v>
      </c>
      <c r="K615" s="91">
        <v>1.9037024934446436</v>
      </c>
      <c r="M615" s="43" t="str">
        <f t="shared" si="49"/>
        <v>$million</v>
      </c>
    </row>
    <row r="616" spans="1:13" s="6" customFormat="1" x14ac:dyDescent="0.25">
      <c r="A616" s="4" t="str">
        <v>OT CH4</v>
      </c>
      <c r="B616" s="91">
        <v>7.7954184251018734</v>
      </c>
      <c r="C616" s="91">
        <v>7.5991613031398666</v>
      </c>
      <c r="D616" s="91">
        <v>7.2006543834932382</v>
      </c>
      <c r="E616" s="91">
        <v>6.497932664914301</v>
      </c>
      <c r="F616" s="91">
        <v>5.8224892006749105</v>
      </c>
      <c r="G616" s="91">
        <v>5.2632519195537659</v>
      </c>
      <c r="H616" s="91">
        <v>4.3535220219456638</v>
      </c>
      <c r="I616" s="91">
        <v>3.7883983383908135</v>
      </c>
      <c r="J616" s="91">
        <v>3.0292876340868555</v>
      </c>
      <c r="K616" s="91">
        <v>2.4209040026485087</v>
      </c>
      <c r="M616" s="43" t="str">
        <f t="shared" si="49"/>
        <v>$million</v>
      </c>
    </row>
    <row r="617" spans="1:13" s="6" customFormat="1" x14ac:dyDescent="0.25">
      <c r="A617" s="4" t="str">
        <v>EE CH4</v>
      </c>
      <c r="B617" s="91">
        <v>5.1457009716781874</v>
      </c>
      <c r="C617" s="91">
        <v>5.194393443448357</v>
      </c>
      <c r="D617" s="91">
        <v>5.370785844640829</v>
      </c>
      <c r="E617" s="91">
        <v>4.782849966408584</v>
      </c>
      <c r="F617" s="91">
        <v>4.219783695134085</v>
      </c>
      <c r="G617" s="91">
        <v>3.7261329554838376</v>
      </c>
      <c r="H617" s="91">
        <v>2.9947626446022868</v>
      </c>
      <c r="I617" s="91">
        <v>2.5318999972660801</v>
      </c>
      <c r="J617" s="91">
        <v>1.995110492031652</v>
      </c>
      <c r="K617" s="91">
        <v>1.5745071454965529</v>
      </c>
      <c r="M617" s="43" t="str">
        <f t="shared" si="49"/>
        <v>$million</v>
      </c>
    </row>
    <row r="618" spans="1:13" s="6" customFormat="1" x14ac:dyDescent="0.25">
      <c r="A618" s="4" t="str">
        <v>CA CH4</v>
      </c>
      <c r="B618" s="91">
        <v>7.2423106434387794</v>
      </c>
      <c r="C618" s="91">
        <v>7.167451929625134</v>
      </c>
      <c r="D618" s="91">
        <v>8.2508719758106288</v>
      </c>
      <c r="E618" s="91">
        <v>8.9916897514304956</v>
      </c>
      <c r="F618" s="91">
        <v>9.6930676724555234</v>
      </c>
      <c r="G618" s="91">
        <v>8.8478077587539996</v>
      </c>
      <c r="H618" s="91">
        <v>6.4158050898471082</v>
      </c>
      <c r="I618" s="91">
        <v>4.7995850225502128</v>
      </c>
      <c r="J618" s="91">
        <v>3.7861516624534177</v>
      </c>
      <c r="K618" s="91">
        <v>2.9915608350757577</v>
      </c>
      <c r="M618" s="43" t="str">
        <f t="shared" si="49"/>
        <v>$million</v>
      </c>
    </row>
    <row r="619" spans="1:13" s="6" customFormat="1" x14ac:dyDescent="0.25">
      <c r="A619" s="4" t="str">
        <v>IA CH4</v>
      </c>
      <c r="B619" s="91">
        <v>8.95567861660642</v>
      </c>
      <c r="C619" s="91">
        <v>8.8634779809493054</v>
      </c>
      <c r="D619" s="91">
        <v>10.203694635279259</v>
      </c>
      <c r="E619" s="91">
        <v>11.12032137424697</v>
      </c>
      <c r="F619" s="91">
        <v>11.988252652444134</v>
      </c>
      <c r="G619" s="91">
        <v>10.943320933496256</v>
      </c>
      <c r="H619" s="91">
        <v>7.9360216470349156</v>
      </c>
      <c r="I619" s="91">
        <v>5.9373738664524502</v>
      </c>
      <c r="J619" s="91">
        <v>4.6859324926568151</v>
      </c>
      <c r="K619" s="91">
        <v>3.7044533329752234</v>
      </c>
      <c r="M619" s="43" t="str">
        <f t="shared" si="49"/>
        <v>$million</v>
      </c>
    </row>
    <row r="620" spans="1:13" s="6" customFormat="1" x14ac:dyDescent="0.25">
      <c r="A620" s="4" t="str">
        <v>AF CH4</v>
      </c>
      <c r="B620" s="91">
        <v>8.9628746967095783</v>
      </c>
      <c r="C620" s="91">
        <v>8.877531008716117</v>
      </c>
      <c r="D620" s="91">
        <v>10.469411261262564</v>
      </c>
      <c r="E620" s="91">
        <v>11.041157312736665</v>
      </c>
      <c r="F620" s="91">
        <v>11.580296188966647</v>
      </c>
      <c r="G620" s="91">
        <v>11.224398111113725</v>
      </c>
      <c r="H620" s="91">
        <v>9.6177295165090797</v>
      </c>
      <c r="I620" s="91">
        <v>7.0490207158811735</v>
      </c>
      <c r="J620" s="91">
        <v>5.5632662142969469</v>
      </c>
      <c r="K620" s="91">
        <v>4.3980170291974172</v>
      </c>
      <c r="M620" s="43" t="str">
        <f t="shared" si="49"/>
        <v>$million</v>
      </c>
    </row>
    <row r="621" spans="1:13" s="6" customFormat="1" ht="13" thickBot="1" x14ac:dyDescent="0.3">
      <c r="A621" s="4" t="str">
        <v>LA CH4</v>
      </c>
      <c r="B621" s="108">
        <v>5.0434582338323688</v>
      </c>
      <c r="C621" s="108">
        <v>4.9947536399085379</v>
      </c>
      <c r="D621" s="108">
        <v>5.8895791703788483</v>
      </c>
      <c r="E621" s="108">
        <v>6.2103500316744213</v>
      </c>
      <c r="F621" s="108">
        <v>6.5126834795672446</v>
      </c>
      <c r="G621" s="108">
        <v>6.3116300093520223</v>
      </c>
      <c r="H621" s="108">
        <v>5.4066143695039717</v>
      </c>
      <c r="I621" s="108">
        <v>3.9614422156932592</v>
      </c>
      <c r="J621" s="108">
        <v>3.1215650702557447</v>
      </c>
      <c r="K621" s="108">
        <v>2.4634722000192233</v>
      </c>
      <c r="M621" s="43" t="str">
        <f t="shared" si="49"/>
        <v>$million</v>
      </c>
    </row>
    <row r="622" spans="1:13" s="2" customFormat="1" ht="15.5" thickTop="1" x14ac:dyDescent="0.4">
      <c r="A622" s="2" t="s">
        <v>416</v>
      </c>
      <c r="B622" s="2" t="s">
        <v>419</v>
      </c>
    </row>
    <row r="623" spans="1:13" s="7" customFormat="1" x14ac:dyDescent="0.25">
      <c r="A623" s="4" t="str">
        <f t="array" ref="A623:A630">R_CODE&amp;" "&amp;'Base data'!$D$11</f>
        <v>EU N2O</v>
      </c>
      <c r="B623" s="107">
        <f t="array" ref="B623:K630">IF(cbe_n2o&lt;Q0_N2O,(ALO_N2O/BLO_N2O)*(EXP(BLO_N2O*(cbe_n2o-Q0_N2O))-EXP(-BLO_N2O*Q0_N2O))-ALO_N2O*cbe_n2o,(ahi_n2o/BHI_N2O)*(EXP(BHI_N2O*(cbe_n2o-Q0_N2O))-1)-ahi_n2o*(cbe_n2o-Q0_N2O)+TCQ0_N2O)</f>
        <v>27.351691235323962</v>
      </c>
      <c r="C623" s="107">
        <v>26.486416298459641</v>
      </c>
      <c r="D623" s="107">
        <v>26.493117625582215</v>
      </c>
      <c r="E623" s="107">
        <v>25.183674547068421</v>
      </c>
      <c r="F623" s="107">
        <v>23.9299310832901</v>
      </c>
      <c r="G623" s="107">
        <v>22.669228721348372</v>
      </c>
      <c r="H623" s="107">
        <v>20.046407991974551</v>
      </c>
      <c r="I623" s="107">
        <v>17.904437829949334</v>
      </c>
      <c r="J623" s="107">
        <v>13.303311171452576</v>
      </c>
      <c r="K623" s="107">
        <v>9.92578197398546</v>
      </c>
      <c r="M623" s="43" t="str">
        <f t="shared" ref="M623:M630" si="50">CURRENCY_NAME</f>
        <v>$million</v>
      </c>
    </row>
    <row r="624" spans="1:13" s="7" customFormat="1" x14ac:dyDescent="0.25">
      <c r="A624" s="4" t="str">
        <v>US N2O</v>
      </c>
      <c r="B624" s="91">
        <v>26.457513371109169</v>
      </c>
      <c r="C624" s="91">
        <v>25.632898929386204</v>
      </c>
      <c r="D624" s="91">
        <v>25.651548834286309</v>
      </c>
      <c r="E624" s="91">
        <v>24.395064645120236</v>
      </c>
      <c r="F624" s="91">
        <v>23.191192994134617</v>
      </c>
      <c r="G624" s="91">
        <v>21.979288834768244</v>
      </c>
      <c r="H624" s="91">
        <v>19.453318461882134</v>
      </c>
      <c r="I624" s="91">
        <v>17.389404713765003</v>
      </c>
      <c r="J624" s="91">
        <v>12.969850851736661</v>
      </c>
      <c r="K624" s="91">
        <v>9.7078410568442361</v>
      </c>
      <c r="M624" s="43" t="str">
        <f t="shared" si="50"/>
        <v>$million</v>
      </c>
    </row>
    <row r="625" spans="1:13" s="7" customFormat="1" x14ac:dyDescent="0.25">
      <c r="A625" s="4" t="str">
        <v>OT N2O</v>
      </c>
      <c r="B625" s="91">
        <v>33.789227417022751</v>
      </c>
      <c r="C625" s="91">
        <v>32.721060751336886</v>
      </c>
      <c r="D625" s="91">
        <v>32.730104565538817</v>
      </c>
      <c r="E625" s="91">
        <v>31.11312866578124</v>
      </c>
      <c r="F625" s="91">
        <v>29.564899308862312</v>
      </c>
      <c r="G625" s="91">
        <v>28.00800522316754</v>
      </c>
      <c r="H625" s="91">
        <v>24.768700506926045</v>
      </c>
      <c r="I625" s="91">
        <v>22.123256502314415</v>
      </c>
      <c r="J625" s="91">
        <v>16.442308881409055</v>
      </c>
      <c r="K625" s="91">
        <v>12.271407176556735</v>
      </c>
      <c r="M625" s="43" t="str">
        <f t="shared" si="50"/>
        <v>$million</v>
      </c>
    </row>
    <row r="626" spans="1:13" s="7" customFormat="1" x14ac:dyDescent="0.25">
      <c r="A626" s="4" t="str">
        <v>EE N2O</v>
      </c>
      <c r="B626" s="91">
        <v>21.575812652673171</v>
      </c>
      <c r="C626" s="91">
        <v>20.931303688971731</v>
      </c>
      <c r="D626" s="91">
        <v>20.79562290357697</v>
      </c>
      <c r="E626" s="91">
        <v>20.101543958286776</v>
      </c>
      <c r="F626" s="91">
        <v>19.432015296672702</v>
      </c>
      <c r="G626" s="91">
        <v>18.290803163381145</v>
      </c>
      <c r="H626" s="91">
        <v>15.9871775500827</v>
      </c>
      <c r="I626" s="91">
        <v>14.46124034615152</v>
      </c>
      <c r="J626" s="91">
        <v>10.595944494847984</v>
      </c>
      <c r="K626" s="91">
        <v>7.8129342727522726</v>
      </c>
      <c r="M626" s="43" t="str">
        <f t="shared" si="50"/>
        <v>$million</v>
      </c>
    </row>
    <row r="627" spans="1:13" s="7" customFormat="1" x14ac:dyDescent="0.25">
      <c r="A627" s="4" t="str">
        <v>CA N2O</v>
      </c>
      <c r="B627" s="91">
        <v>30.923747618352767</v>
      </c>
      <c r="C627" s="91">
        <v>30.029690758833102</v>
      </c>
      <c r="D627" s="91">
        <v>29.386406046081731</v>
      </c>
      <c r="E627" s="91">
        <v>29.709835544829208</v>
      </c>
      <c r="F627" s="91">
        <v>29.986007007428508</v>
      </c>
      <c r="G627" s="91">
        <v>29.181768082593837</v>
      </c>
      <c r="H627" s="91">
        <v>27.228802515898145</v>
      </c>
      <c r="I627" s="91">
        <v>25.58122059407324</v>
      </c>
      <c r="J627" s="91">
        <v>18.750452002429721</v>
      </c>
      <c r="K627" s="91">
        <v>13.830703599531819</v>
      </c>
      <c r="M627" s="43" t="str">
        <f t="shared" si="50"/>
        <v>$million</v>
      </c>
    </row>
    <row r="628" spans="1:13" s="7" customFormat="1" x14ac:dyDescent="0.25">
      <c r="A628" s="4" t="str">
        <v>IA N2O</v>
      </c>
      <c r="B628" s="91">
        <v>38.178297596652278</v>
      </c>
      <c r="C628" s="91">
        <v>37.075102199637719</v>
      </c>
      <c r="D628" s="91">
        <v>36.281486614122279</v>
      </c>
      <c r="E628" s="91">
        <v>36.681410335761441</v>
      </c>
      <c r="F628" s="91">
        <v>37.023005551403415</v>
      </c>
      <c r="G628" s="91">
        <v>36.030639511822194</v>
      </c>
      <c r="H628" s="91">
        <v>33.620469467685517</v>
      </c>
      <c r="I628" s="91">
        <v>31.587241496024316</v>
      </c>
      <c r="J628" s="91">
        <v>23.157014856895056</v>
      </c>
      <c r="K628" s="91">
        <v>17.084562739636386</v>
      </c>
      <c r="M628" s="43" t="str">
        <f t="shared" si="50"/>
        <v>$million</v>
      </c>
    </row>
    <row r="629" spans="1:13" s="7" customFormat="1" x14ac:dyDescent="0.25">
      <c r="A629" s="4" t="str">
        <v>AF N2O</v>
      </c>
      <c r="B629" s="91">
        <v>38.017545860375208</v>
      </c>
      <c r="C629" s="91">
        <v>36.763791479361153</v>
      </c>
      <c r="D629" s="91">
        <v>35.863385169436185</v>
      </c>
      <c r="E629" s="91">
        <v>35.859749775604264</v>
      </c>
      <c r="F629" s="91">
        <v>35.823518020413673</v>
      </c>
      <c r="G629" s="91">
        <v>35.333629873478728</v>
      </c>
      <c r="H629" s="91">
        <v>33.768056329961667</v>
      </c>
      <c r="I629" s="91">
        <v>31.9577963608914</v>
      </c>
      <c r="J629" s="91">
        <v>23.428585338653917</v>
      </c>
      <c r="K629" s="91">
        <v>17.28481173672688</v>
      </c>
      <c r="M629" s="43" t="str">
        <f t="shared" si="50"/>
        <v>$million</v>
      </c>
    </row>
    <row r="630" spans="1:13" s="7" customFormat="1" ht="13" thickBot="1" x14ac:dyDescent="0.3">
      <c r="A630" s="4" t="str">
        <v>LA N2O</v>
      </c>
      <c r="B630" s="108">
        <v>21.50553598910998</v>
      </c>
      <c r="C630" s="108">
        <v>20.795213626160798</v>
      </c>
      <c r="D630" s="108">
        <v>20.284818630648122</v>
      </c>
      <c r="E630" s="108">
        <v>20.281665073257496</v>
      </c>
      <c r="F630" s="108">
        <v>20.260064957198914</v>
      </c>
      <c r="G630" s="108">
        <v>19.981903082465251</v>
      </c>
      <c r="H630" s="108">
        <v>19.094399493501914</v>
      </c>
      <c r="I630" s="108">
        <v>18.06870306553407</v>
      </c>
      <c r="J630" s="108">
        <v>13.238322169328752</v>
      </c>
      <c r="K630" s="108">
        <v>9.7602451333187279</v>
      </c>
      <c r="M630" s="43" t="str">
        <f t="shared" si="50"/>
        <v>$million</v>
      </c>
    </row>
    <row r="631" spans="1:13" s="2" customFormat="1" ht="15.5" thickTop="1" x14ac:dyDescent="0.4">
      <c r="A631" s="2" t="s">
        <v>416</v>
      </c>
      <c r="B631" s="2" t="s">
        <v>420</v>
      </c>
    </row>
    <row r="632" spans="1:13" s="7" customFormat="1" x14ac:dyDescent="0.25">
      <c r="A632" s="4" t="str">
        <f t="array" ref="A632:A639">R_CODE&amp;" "&amp;GLIN_NAME</f>
        <v>EU Lin</v>
      </c>
      <c r="B632" s="107">
        <f t="array" ref="B632:K639">IF(cbe_glin&lt;Q0_GLIN,(ALO_GLIN/BLO_GLIN)*(EXP(BLO_GLIN*(cbe_glin-Q0_GLIN))-EXP(-BLO_GLIN*Q0_GLIN))-ALO_GLIN*cbe_glin,(ahi_glin/BHI_GLIN)*(EXP(BHI_GLIN*(cbe_glin-Q0_GLIN))-1)-ahi_glin*(cbe_glin-Q0_GLIN)+TCQ0_GLIN)</f>
        <v>0.16848960867796414</v>
      </c>
      <c r="C632" s="107">
        <v>0.16926448867673116</v>
      </c>
      <c r="D632" s="107">
        <v>0.14956920169067109</v>
      </c>
      <c r="E632" s="107">
        <v>0.15152440272040354</v>
      </c>
      <c r="F632" s="107">
        <v>0.15326879875889921</v>
      </c>
      <c r="G632" s="107">
        <v>0.1547503588701879</v>
      </c>
      <c r="H632" s="107">
        <v>0.15832037118725267</v>
      </c>
      <c r="I632" s="107">
        <v>0.1612171940321184</v>
      </c>
      <c r="J632" s="107">
        <v>0.12304452173546819</v>
      </c>
      <c r="K632" s="107">
        <v>9.4078401601339248E-2</v>
      </c>
      <c r="M632" s="43" t="str">
        <f t="shared" ref="M632:M639" si="51">CURRENCY_NAME</f>
        <v>$million</v>
      </c>
    </row>
    <row r="633" spans="1:13" s="7" customFormat="1" x14ac:dyDescent="0.25">
      <c r="A633" s="4" t="str">
        <v>US Lin</v>
      </c>
      <c r="B633" s="91">
        <v>0.1630344987433672</v>
      </c>
      <c r="C633" s="91">
        <v>0.16384296292714898</v>
      </c>
      <c r="D633" s="91">
        <v>0.14482938919721344</v>
      </c>
      <c r="E633" s="91">
        <v>0.14677320050165069</v>
      </c>
      <c r="F633" s="91">
        <v>0.14851308440128319</v>
      </c>
      <c r="G633" s="91">
        <v>0.14999838290627965</v>
      </c>
      <c r="H633" s="91">
        <v>0.15355760333767274</v>
      </c>
      <c r="I633" s="91">
        <v>0.15646410285867721</v>
      </c>
      <c r="J633" s="91">
        <v>0.11974582230844967</v>
      </c>
      <c r="K633" s="91">
        <v>9.1761458956000547E-2</v>
      </c>
      <c r="M633" s="43" t="str">
        <f t="shared" si="51"/>
        <v>$million</v>
      </c>
    </row>
    <row r="634" spans="1:13" s="7" customFormat="1" x14ac:dyDescent="0.25">
      <c r="A634" s="4" t="str">
        <v>OT Lin</v>
      </c>
      <c r="B634" s="91">
        <v>0.20963102010577717</v>
      </c>
      <c r="C634" s="91">
        <v>0.21061510845742465</v>
      </c>
      <c r="D634" s="91">
        <v>0.18612617864474834</v>
      </c>
      <c r="E634" s="91">
        <v>0.1885774996367319</v>
      </c>
      <c r="F634" s="91">
        <v>0.19076708890292787</v>
      </c>
      <c r="G634" s="91">
        <v>0.19263010969035357</v>
      </c>
      <c r="H634" s="91">
        <v>0.19711337145385666</v>
      </c>
      <c r="I634" s="91">
        <v>0.20076086314017405</v>
      </c>
      <c r="J634" s="91">
        <v>0.15338960247439717</v>
      </c>
      <c r="K634" s="91">
        <v>0.11741724037568742</v>
      </c>
      <c r="M634" s="43" t="str">
        <f t="shared" si="51"/>
        <v>$million</v>
      </c>
    </row>
    <row r="635" spans="1:13" s="7" customFormat="1" x14ac:dyDescent="0.25">
      <c r="A635" s="4" t="str">
        <v>EE Lin</v>
      </c>
      <c r="B635" s="91">
        <v>0.13110728114896614</v>
      </c>
      <c r="C635" s="91">
        <v>0.13192041549853012</v>
      </c>
      <c r="D635" s="91">
        <v>0.2199388240966772</v>
      </c>
      <c r="E635" s="91">
        <v>0.30923752819679468</v>
      </c>
      <c r="F635" s="91">
        <v>0.39334157305920242</v>
      </c>
      <c r="G635" s="91">
        <v>0.39592561035108664</v>
      </c>
      <c r="H635" s="91">
        <v>0.38124573052247801</v>
      </c>
      <c r="I635" s="91">
        <v>0.32693899959858497</v>
      </c>
      <c r="J635" s="91">
        <v>0.2466951407028308</v>
      </c>
      <c r="K635" s="91">
        <v>0.18678416494029165</v>
      </c>
      <c r="M635" s="43" t="str">
        <f t="shared" si="51"/>
        <v>$million</v>
      </c>
    </row>
    <row r="636" spans="1:13" s="7" customFormat="1" x14ac:dyDescent="0.25">
      <c r="A636" s="4" t="str">
        <v>CA Lin</v>
      </c>
      <c r="B636" s="91">
        <v>0.19455194118465904</v>
      </c>
      <c r="C636" s="91">
        <v>0.2003810181026239</v>
      </c>
      <c r="D636" s="91">
        <v>0.4050974223442515</v>
      </c>
      <c r="E636" s="91">
        <v>0.75899249087038978</v>
      </c>
      <c r="F636" s="91">
        <v>1.0927653548606919</v>
      </c>
      <c r="G636" s="91">
        <v>1.4440132132552295</v>
      </c>
      <c r="H636" s="91">
        <v>1.6614682896698532</v>
      </c>
      <c r="I636" s="91">
        <v>1.4586311742769404</v>
      </c>
      <c r="J636" s="91">
        <v>1.1024616649407364</v>
      </c>
      <c r="K636" s="91">
        <v>0.83621249346472126</v>
      </c>
      <c r="M636" s="43" t="str">
        <f t="shared" si="51"/>
        <v>$million</v>
      </c>
    </row>
    <row r="637" spans="1:13" s="7" customFormat="1" x14ac:dyDescent="0.25">
      <c r="A637" s="4" t="str">
        <v>IA Lin</v>
      </c>
      <c r="B637" s="91">
        <v>0.24126367991404615</v>
      </c>
      <c r="C637" s="91">
        <v>0.24850881056056043</v>
      </c>
      <c r="D637" s="91">
        <v>0.50242792617375687</v>
      </c>
      <c r="E637" s="91">
        <v>0.94141498987661842</v>
      </c>
      <c r="F637" s="91">
        <v>1.3555019776424084</v>
      </c>
      <c r="G637" s="91">
        <v>1.7913245729812901</v>
      </c>
      <c r="H637" s="91">
        <v>2.0613687906375935</v>
      </c>
      <c r="I637" s="91">
        <v>1.80996738369129</v>
      </c>
      <c r="J637" s="91">
        <v>1.3690280101638423</v>
      </c>
      <c r="K637" s="91">
        <v>1.0392422505321175</v>
      </c>
      <c r="M637" s="43" t="str">
        <f t="shared" si="51"/>
        <v>$million</v>
      </c>
    </row>
    <row r="638" spans="1:13" s="7" customFormat="1" x14ac:dyDescent="0.25">
      <c r="A638" s="4" t="str">
        <v>AF Lin</v>
      </c>
      <c r="B638" s="91">
        <v>0.24413339825739697</v>
      </c>
      <c r="C638" s="91">
        <v>0.25408728235225986</v>
      </c>
      <c r="D638" s="91">
        <v>0.5061966756607339</v>
      </c>
      <c r="E638" s="91">
        <v>0.99754879060437129</v>
      </c>
      <c r="F638" s="91">
        <v>1.4610720861996056</v>
      </c>
      <c r="G638" s="91">
        <v>1.7279007770264636</v>
      </c>
      <c r="H638" s="91">
        <v>1.8733090401676342</v>
      </c>
      <c r="I638" s="91">
        <v>1.6749832583052546</v>
      </c>
      <c r="J638" s="91">
        <v>1.266936086348726</v>
      </c>
      <c r="K638" s="91">
        <v>0.96175311377779904</v>
      </c>
      <c r="M638" s="43" t="str">
        <f t="shared" si="51"/>
        <v>$million</v>
      </c>
    </row>
    <row r="639" spans="1:13" s="7" customFormat="1" ht="13" thickBot="1" x14ac:dyDescent="0.3">
      <c r="A639" s="4" t="str">
        <v>LA Lin</v>
      </c>
      <c r="B639" s="108">
        <v>0.1360937342658802</v>
      </c>
      <c r="C639" s="108">
        <v>0.14161150005416584</v>
      </c>
      <c r="D639" s="108">
        <v>0.28205819008865701</v>
      </c>
      <c r="E639" s="108">
        <v>0.55572064111302466</v>
      </c>
      <c r="F639" s="108">
        <v>0.81375950389086649</v>
      </c>
      <c r="G639" s="108">
        <v>0.96215350282316614</v>
      </c>
      <c r="H639" s="108">
        <v>1.042640756132144</v>
      </c>
      <c r="I639" s="108">
        <v>0.93181944913086512</v>
      </c>
      <c r="J639" s="108">
        <v>0.70307836612767616</v>
      </c>
      <c r="K639" s="108">
        <v>0.5322877039534073</v>
      </c>
      <c r="M639" s="43" t="str">
        <f t="shared" si="51"/>
        <v>$million</v>
      </c>
    </row>
    <row r="640" spans="1:13" s="2" customFormat="1" ht="15.5" thickTop="1" x14ac:dyDescent="0.4">
      <c r="A640" s="2" t="s">
        <v>416</v>
      </c>
      <c r="B640" s="2" t="s">
        <v>456</v>
      </c>
    </row>
    <row r="641" spans="1:13" s="7" customFormat="1" x14ac:dyDescent="0.25">
      <c r="A641" s="4" t="str">
        <f t="array" ref="A641:A648">R_CODE</f>
        <v>EU</v>
      </c>
      <c r="B641" s="107">
        <f t="array" ref="B641:K648">tc_co2+tc_ch4+tc_n2o+tc_glin</f>
        <v>33.81403436474978</v>
      </c>
      <c r="C641" s="107">
        <v>-48000.005271326707</v>
      </c>
      <c r="D641" s="107">
        <v>-68202.535764206783</v>
      </c>
      <c r="E641" s="107">
        <v>-36386.840446964881</v>
      </c>
      <c r="F641" s="107">
        <v>49594.435950434105</v>
      </c>
      <c r="G641" s="107">
        <v>84524.153011506598</v>
      </c>
      <c r="H641" s="107">
        <v>113521.4269816373</v>
      </c>
      <c r="I641" s="107">
        <v>65517.134414029846</v>
      </c>
      <c r="J641" s="107">
        <v>34755.390268488125</v>
      </c>
      <c r="K641" s="107">
        <v>48287.305692590984</v>
      </c>
      <c r="M641" s="43" t="str">
        <f t="shared" ref="M641:M648" si="52">CURRENCY_NAME</f>
        <v>$million</v>
      </c>
    </row>
    <row r="642" spans="1:13" s="7" customFormat="1" x14ac:dyDescent="0.25">
      <c r="A642" s="4" t="str">
        <v>US</v>
      </c>
      <c r="B642" s="91">
        <v>-116092.90902970907</v>
      </c>
      <c r="C642" s="91">
        <v>-158212.26698667891</v>
      </c>
      <c r="D642" s="91">
        <v>-122934.10139769192</v>
      </c>
      <c r="E642" s="91">
        <v>-26656.88412715264</v>
      </c>
      <c r="F642" s="91">
        <v>134715.25414905374</v>
      </c>
      <c r="G642" s="91">
        <v>176227.81866380325</v>
      </c>
      <c r="H642" s="91">
        <v>216037.42246069221</v>
      </c>
      <c r="I642" s="91">
        <v>51831.992909504974</v>
      </c>
      <c r="J642" s="91">
        <v>69387.373388310531</v>
      </c>
      <c r="K642" s="91">
        <v>85842.099637604391</v>
      </c>
      <c r="M642" s="43" t="str">
        <f t="shared" si="52"/>
        <v>$million</v>
      </c>
    </row>
    <row r="643" spans="1:13" s="7" customFormat="1" x14ac:dyDescent="0.25">
      <c r="A643" s="4" t="str">
        <v>OT</v>
      </c>
      <c r="B643" s="91">
        <v>41.794276862230397</v>
      </c>
      <c r="C643" s="91">
        <v>40.530837162934176</v>
      </c>
      <c r="D643" s="91">
        <v>40.116885127676802</v>
      </c>
      <c r="E643" s="91">
        <v>37.79963883033227</v>
      </c>
      <c r="F643" s="91">
        <v>35.578155598440155</v>
      </c>
      <c r="G643" s="91">
        <v>-19289.523940075636</v>
      </c>
      <c r="H643" s="91">
        <v>-17293.069955358231</v>
      </c>
      <c r="I643" s="91">
        <v>-15149.15494776856</v>
      </c>
      <c r="J643" s="91">
        <v>19.624986117970309</v>
      </c>
      <c r="K643" s="91">
        <v>-7570.9905351005664</v>
      </c>
      <c r="M643" s="43" t="str">
        <f t="shared" si="52"/>
        <v>$million</v>
      </c>
    </row>
    <row r="644" spans="1:13" s="7" customFormat="1" x14ac:dyDescent="0.25">
      <c r="A644" s="4" t="str">
        <v>EE</v>
      </c>
      <c r="B644" s="91">
        <v>26.852620905500327</v>
      </c>
      <c r="C644" s="91">
        <v>26.257617547918617</v>
      </c>
      <c r="D644" s="91">
        <v>26.386347572314474</v>
      </c>
      <c r="E644" s="91">
        <v>25.193631452892156</v>
      </c>
      <c r="F644" s="91">
        <v>24.045140564865989</v>
      </c>
      <c r="G644" s="91">
        <v>-7779.128024862468</v>
      </c>
      <c r="H644" s="91">
        <v>-15088.267705348331</v>
      </c>
      <c r="I644" s="91">
        <v>-13116.537413219106</v>
      </c>
      <c r="J644" s="91">
        <v>12.837750127582467</v>
      </c>
      <c r="K644" s="91">
        <v>-7147.4179714111697</v>
      </c>
      <c r="M644" s="43" t="str">
        <f t="shared" si="52"/>
        <v>$million</v>
      </c>
    </row>
    <row r="645" spans="1:13" s="7" customFormat="1" x14ac:dyDescent="0.25">
      <c r="A645" s="4" t="str">
        <v>CA</v>
      </c>
      <c r="B645" s="91">
        <v>38.360610202976204</v>
      </c>
      <c r="C645" s="91">
        <v>37.397523706560861</v>
      </c>
      <c r="D645" s="91">
        <v>38.042375444236605</v>
      </c>
      <c r="E645" s="91">
        <v>-41051.971600689525</v>
      </c>
      <c r="F645" s="91">
        <v>3284.5456360885519</v>
      </c>
      <c r="G645" s="91">
        <v>54517.365746958094</v>
      </c>
      <c r="H645" s="91">
        <v>146218.14129886954</v>
      </c>
      <c r="I645" s="91">
        <v>104812.99900041221</v>
      </c>
      <c r="J645" s="91">
        <v>17933.318792609087</v>
      </c>
      <c r="K645" s="91">
        <v>64260.433724769508</v>
      </c>
      <c r="M645" s="43" t="str">
        <f t="shared" si="52"/>
        <v>$million</v>
      </c>
    </row>
    <row r="646" spans="1:13" s="7" customFormat="1" x14ac:dyDescent="0.25">
      <c r="A646" s="4" t="str">
        <v>IA</v>
      </c>
      <c r="B646" s="91">
        <v>47.375239893172747</v>
      </c>
      <c r="C646" s="91">
        <v>46.187088991147583</v>
      </c>
      <c r="D646" s="91">
        <v>46.987609175575294</v>
      </c>
      <c r="E646" s="91">
        <v>-67509.106002924644</v>
      </c>
      <c r="F646" s="91">
        <v>24219.252470072413</v>
      </c>
      <c r="G646" s="91">
        <v>125467.67223720714</v>
      </c>
      <c r="H646" s="91">
        <v>303189.56402707181</v>
      </c>
      <c r="I646" s="91">
        <v>216568.65247870833</v>
      </c>
      <c r="J646" s="91">
        <v>44653.827837630008</v>
      </c>
      <c r="K646" s="91">
        <v>131451.49901331199</v>
      </c>
      <c r="M646" s="43" t="str">
        <f t="shared" si="52"/>
        <v>$million</v>
      </c>
    </row>
    <row r="647" spans="1:13" s="7" customFormat="1" x14ac:dyDescent="0.25">
      <c r="A647" s="4" t="str">
        <v>AF</v>
      </c>
      <c r="B647" s="91">
        <v>47.224553955342181</v>
      </c>
      <c r="C647" s="91">
        <v>45.895409770429531</v>
      </c>
      <c r="D647" s="91">
        <v>46.838993106359482</v>
      </c>
      <c r="E647" s="91">
        <v>-38801.545031140908</v>
      </c>
      <c r="F647" s="91">
        <v>19905.261173523839</v>
      </c>
      <c r="G647" s="91">
        <v>95039.6542275252</v>
      </c>
      <c r="H647" s="91">
        <v>205796.80222022437</v>
      </c>
      <c r="I647" s="91">
        <v>131568.67383957398</v>
      </c>
      <c r="J647" s="91">
        <v>30190.916841284798</v>
      </c>
      <c r="K647" s="91">
        <v>82167.39115882646</v>
      </c>
      <c r="M647" s="43" t="str">
        <f t="shared" si="52"/>
        <v>$million</v>
      </c>
    </row>
    <row r="648" spans="1:13" s="7" customFormat="1" ht="13" thickBot="1" x14ac:dyDescent="0.3">
      <c r="A648" s="4" t="str">
        <v>LA</v>
      </c>
      <c r="B648" s="108">
        <v>26.685087957208228</v>
      </c>
      <c r="C648" s="108">
        <v>25.931578766123501</v>
      </c>
      <c r="D648" s="108">
        <v>26.456455991115629</v>
      </c>
      <c r="E648" s="108">
        <v>-33110.905539397412</v>
      </c>
      <c r="F648" s="108">
        <v>-6661.3637980315916</v>
      </c>
      <c r="G648" s="108">
        <v>29012.306107666827</v>
      </c>
      <c r="H648" s="108">
        <v>83197.578359037245</v>
      </c>
      <c r="I648" s="108">
        <v>49986.41530602386</v>
      </c>
      <c r="J648" s="108">
        <v>2335.6292760477941</v>
      </c>
      <c r="K648" s="108">
        <v>29513.285998304367</v>
      </c>
      <c r="M648" s="43" t="str">
        <f t="shared" si="52"/>
        <v>$million</v>
      </c>
    </row>
    <row r="649" spans="1:13" s="2" customFormat="1" ht="15.5" thickTop="1" x14ac:dyDescent="0.4">
      <c r="A649" s="2" t="s">
        <v>421</v>
      </c>
      <c r="B649" s="2" t="s">
        <v>460</v>
      </c>
    </row>
    <row r="650" spans="1:13" s="7" customFormat="1" x14ac:dyDescent="0.25">
      <c r="A650" s="4" t="str">
        <f t="array" ref="A650:A657">R_CODE</f>
        <v>EU</v>
      </c>
      <c r="B650" s="45">
        <f t="array" ref="B650:K657">tct/POP</f>
        <v>6.0846947982702577E-2</v>
      </c>
      <c r="C650" s="45">
        <v>-85.710330013257263</v>
      </c>
      <c r="D650" s="45">
        <v>-122.2414521202069</v>
      </c>
      <c r="E650" s="45">
        <v>-66.189730364939138</v>
      </c>
      <c r="F650" s="45">
        <v>92.388120173865914</v>
      </c>
      <c r="G650" s="45">
        <v>161.66760351992093</v>
      </c>
      <c r="H650" s="45">
        <v>227.44972985769041</v>
      </c>
      <c r="I650" s="45">
        <v>134.29686624052624</v>
      </c>
      <c r="J650" s="45">
        <v>74.550850103156193</v>
      </c>
      <c r="K650" s="45">
        <v>103.57701814781626</v>
      </c>
      <c r="M650" s="1" t="str">
        <f t="shared" ref="M650:M657" si="53">CURRENCY_NAME&amp;"/"&amp;POP_UNIT_NAME</f>
        <v>$million/million</v>
      </c>
    </row>
    <row r="651" spans="1:13" s="7" customFormat="1" x14ac:dyDescent="0.25">
      <c r="A651" s="4" t="str">
        <v>US</v>
      </c>
      <c r="B651" s="46">
        <v>-367.03260693254543</v>
      </c>
      <c r="C651" s="46">
        <v>-460.87487133452754</v>
      </c>
      <c r="D651" s="46">
        <v>-335.41298626657539</v>
      </c>
      <c r="E651" s="46">
        <v>-69.25190762955944</v>
      </c>
      <c r="F651" s="46">
        <v>335.76314602950833</v>
      </c>
      <c r="G651" s="46">
        <v>426.3753067879947</v>
      </c>
      <c r="H651" s="46">
        <v>498.85855057066942</v>
      </c>
      <c r="I651" s="46">
        <v>116.05694045862779</v>
      </c>
      <c r="J651" s="46">
        <v>145.35428292622416</v>
      </c>
      <c r="K651" s="46">
        <v>179.82402602095789</v>
      </c>
      <c r="M651" s="1" t="str">
        <f t="shared" si="53"/>
        <v>$million/million</v>
      </c>
    </row>
    <row r="652" spans="1:13" s="7" customFormat="1" x14ac:dyDescent="0.25">
      <c r="A652" s="4" t="str">
        <v>OT</v>
      </c>
      <c r="B652" s="46">
        <v>0.18905874896272826</v>
      </c>
      <c r="C652" s="46">
        <v>0.16394534298192653</v>
      </c>
      <c r="D652" s="46">
        <v>0.14903419805051535</v>
      </c>
      <c r="E652" s="46">
        <v>0.13183770333189834</v>
      </c>
      <c r="F652" s="46">
        <v>0.11866992150333892</v>
      </c>
      <c r="G652" s="46">
        <v>-62.418923504292636</v>
      </c>
      <c r="H652" s="46">
        <v>-54.434476849895908</v>
      </c>
      <c r="I652" s="46">
        <v>-48.016039117352761</v>
      </c>
      <c r="J652" s="46">
        <v>6.3641342299471326E-2</v>
      </c>
      <c r="K652" s="46">
        <v>-24.551762599678479</v>
      </c>
      <c r="M652" s="1" t="str">
        <f t="shared" si="53"/>
        <v>$million/million</v>
      </c>
    </row>
    <row r="653" spans="1:13" s="7" customFormat="1" x14ac:dyDescent="0.25">
      <c r="A653" s="4" t="str">
        <v>EE</v>
      </c>
      <c r="B653" s="46">
        <v>4.0489777515863218E-2</v>
      </c>
      <c r="C653" s="46">
        <v>3.5403612130983919E-2</v>
      </c>
      <c r="D653" s="46">
        <v>3.2675087122762229E-2</v>
      </c>
      <c r="E653" s="46">
        <v>2.9290143258143778E-2</v>
      </c>
      <c r="F653" s="46">
        <v>2.6733959788652832E-2</v>
      </c>
      <c r="G653" s="46">
        <v>-8.3908204719901036</v>
      </c>
      <c r="H653" s="46">
        <v>-15.831427680414659</v>
      </c>
      <c r="I653" s="46">
        <v>-13.857850502526297</v>
      </c>
      <c r="J653" s="46">
        <v>1.3877065446285546E-2</v>
      </c>
      <c r="K653" s="46">
        <v>-7.7260568226925193</v>
      </c>
      <c r="M653" s="1" t="str">
        <f t="shared" si="53"/>
        <v>$million/million</v>
      </c>
    </row>
    <row r="654" spans="1:13" s="7" customFormat="1" x14ac:dyDescent="0.25">
      <c r="A654" s="4" t="str">
        <v>CA</v>
      </c>
      <c r="B654" s="46">
        <v>2.6696363966579258E-2</v>
      </c>
      <c r="C654" s="46">
        <v>2.3272497910663371E-2</v>
      </c>
      <c r="D654" s="46">
        <v>2.1742676328948392E-2</v>
      </c>
      <c r="E654" s="46">
        <v>-22.027876946632915</v>
      </c>
      <c r="F654" s="46">
        <v>1.6854627887968248</v>
      </c>
      <c r="G654" s="46">
        <v>27.14040168432545</v>
      </c>
      <c r="H654" s="46">
        <v>70.809227654732354</v>
      </c>
      <c r="I654" s="46">
        <v>51.109274384891904</v>
      </c>
      <c r="J654" s="46">
        <v>8.9469968616330959</v>
      </c>
      <c r="K654" s="46">
        <v>32.059760132053484</v>
      </c>
      <c r="M654" s="1" t="str">
        <f t="shared" si="53"/>
        <v>$million/million</v>
      </c>
    </row>
    <row r="655" spans="1:13" s="7" customFormat="1" x14ac:dyDescent="0.25">
      <c r="A655" s="4" t="str">
        <v>IA</v>
      </c>
      <c r="B655" s="46">
        <v>2.1430454737946605E-2</v>
      </c>
      <c r="C655" s="46">
        <v>1.8682461740304891E-2</v>
      </c>
      <c r="D655" s="46">
        <v>1.7455893271638052E-2</v>
      </c>
      <c r="E655" s="46">
        <v>-23.545847962635207</v>
      </c>
      <c r="F655" s="46">
        <v>8.0782624651263522</v>
      </c>
      <c r="G655" s="46">
        <v>40.600053479625622</v>
      </c>
      <c r="H655" s="46">
        <v>95.43687353816523</v>
      </c>
      <c r="I655" s="46">
        <v>68.642567356813231</v>
      </c>
      <c r="J655" s="46">
        <v>14.480670331756579</v>
      </c>
      <c r="K655" s="46">
        <v>42.628054838848598</v>
      </c>
      <c r="M655" s="1" t="str">
        <f t="shared" si="53"/>
        <v>$million/million</v>
      </c>
    </row>
    <row r="656" spans="1:13" s="7" customFormat="1" x14ac:dyDescent="0.25">
      <c r="A656" s="4" t="str">
        <v>AF</v>
      </c>
      <c r="B656" s="46">
        <v>5.3405727777935945E-2</v>
      </c>
      <c r="C656" s="46">
        <v>4.6411197145159191E-2</v>
      </c>
      <c r="D656" s="46">
        <v>4.3501706032779384E-2</v>
      </c>
      <c r="E656" s="46">
        <v>-33.833038759949197</v>
      </c>
      <c r="F656" s="46">
        <v>16.598357483918427</v>
      </c>
      <c r="G656" s="46">
        <v>76.884646369855616</v>
      </c>
      <c r="H656" s="46">
        <v>161.9498633724134</v>
      </c>
      <c r="I656" s="46">
        <v>104.25344864912336</v>
      </c>
      <c r="J656" s="46">
        <v>24.476329072045697</v>
      </c>
      <c r="K656" s="46">
        <v>66.614608478691977</v>
      </c>
      <c r="M656" s="1" t="str">
        <f t="shared" si="53"/>
        <v>$million/million</v>
      </c>
    </row>
    <row r="657" spans="1:13" s="7" customFormat="1" ht="13" thickBot="1" x14ac:dyDescent="0.3">
      <c r="A657" s="4" t="str">
        <v>LA</v>
      </c>
      <c r="B657" s="47">
        <v>4.8284595154312895E-2</v>
      </c>
      <c r="C657" s="47">
        <v>4.1956809900416961E-2</v>
      </c>
      <c r="D657" s="47">
        <v>3.9314285636542969E-2</v>
      </c>
      <c r="E657" s="47">
        <v>-46.193729640090467</v>
      </c>
      <c r="F657" s="47">
        <v>-8.887515451219743</v>
      </c>
      <c r="G657" s="47">
        <v>37.552340249418876</v>
      </c>
      <c r="H657" s="47">
        <v>104.7544863889056</v>
      </c>
      <c r="I657" s="47">
        <v>63.373823317420623</v>
      </c>
      <c r="J657" s="47">
        <v>3.0296598702918685</v>
      </c>
      <c r="K657" s="47">
        <v>38.283138144599931</v>
      </c>
      <c r="M657" s="1" t="str">
        <f t="shared" si="53"/>
        <v>$million/million</v>
      </c>
    </row>
    <row r="658" spans="1:13" s="2" customFormat="1" ht="15.5" thickTop="1" x14ac:dyDescent="0.4">
      <c r="A658" s="2" t="s">
        <v>422</v>
      </c>
      <c r="B658" s="2" t="s">
        <v>461</v>
      </c>
    </row>
    <row r="659" spans="1:13" s="7" customFormat="1" x14ac:dyDescent="0.25">
      <c r="A659" s="4" t="str">
        <f t="array" ref="A659:A666">R_CODE</f>
        <v>EU</v>
      </c>
      <c r="B659" s="39">
        <f t="array" ref="B659:K666" xml:space="preserve"> (((CONS_PER_CAP_FOCUS_0)^EMUC)/(1-EMUC))*( (CONS_PER_CAP)^(1-EMUC) - (CONS_PER_CAP-tct_per_cap) ^(1-EMUC))</f>
        <v>6.0846947981190169E-2</v>
      </c>
      <c r="C659" s="39">
        <v>-85.710330013258499</v>
      </c>
      <c r="D659" s="39">
        <v>-122.24145212020812</v>
      </c>
      <c r="E659" s="39">
        <v>-66.189730364938441</v>
      </c>
      <c r="F659" s="39">
        <v>92.388120173869538</v>
      </c>
      <c r="G659" s="39">
        <v>161.66760351991979</v>
      </c>
      <c r="H659" s="39">
        <v>227.44972985768982</v>
      </c>
      <c r="I659" s="39">
        <v>134.29686624052556</v>
      </c>
      <c r="J659" s="39">
        <v>74.550850103143603</v>
      </c>
      <c r="K659" s="39">
        <v>103.57701814780012</v>
      </c>
      <c r="M659" s="1" t="str">
        <f t="shared" ref="M659:M666" si="54">CURRENCY_NAME&amp;"/"&amp;POP_UNIT_NAME</f>
        <v>$million/million</v>
      </c>
    </row>
    <row r="660" spans="1:13" s="7" customFormat="1" x14ac:dyDescent="0.25">
      <c r="A660" s="4" t="str">
        <v>US</v>
      </c>
      <c r="B660" s="35">
        <v>-367.0326069325456</v>
      </c>
      <c r="C660" s="35">
        <v>-460.87487133452669</v>
      </c>
      <c r="D660" s="35">
        <v>-335.41298626657226</v>
      </c>
      <c r="E660" s="35">
        <v>-69.251907629557536</v>
      </c>
      <c r="F660" s="35">
        <v>335.76314602950879</v>
      </c>
      <c r="G660" s="35">
        <v>426.37530678799521</v>
      </c>
      <c r="H660" s="35">
        <v>498.85855057067238</v>
      </c>
      <c r="I660" s="35">
        <v>116.05694045862765</v>
      </c>
      <c r="J660" s="35">
        <v>145.35428292621509</v>
      </c>
      <c r="K660" s="35">
        <v>179.82402602094226</v>
      </c>
      <c r="M660" s="1" t="str">
        <f t="shared" si="54"/>
        <v>$million/million</v>
      </c>
    </row>
    <row r="661" spans="1:13" s="7" customFormat="1" x14ac:dyDescent="0.25">
      <c r="A661" s="4" t="str">
        <v>OT</v>
      </c>
      <c r="B661" s="35">
        <v>0.18905874896154273</v>
      </c>
      <c r="C661" s="35">
        <v>0.16394534298160579</v>
      </c>
      <c r="D661" s="35">
        <v>0.14903419804977602</v>
      </c>
      <c r="E661" s="35">
        <v>0.13183770333125722</v>
      </c>
      <c r="F661" s="35">
        <v>0.11866992150316946</v>
      </c>
      <c r="G661" s="35">
        <v>-62.418923504286795</v>
      </c>
      <c r="H661" s="35">
        <v>-54.434476849899511</v>
      </c>
      <c r="I661" s="35">
        <v>-48.016039117355831</v>
      </c>
      <c r="J661" s="35">
        <v>6.364134227624163E-2</v>
      </c>
      <c r="K661" s="35">
        <v>-24.551762599730864</v>
      </c>
      <c r="M661" s="1" t="str">
        <f t="shared" si="54"/>
        <v>$million/million</v>
      </c>
    </row>
    <row r="662" spans="1:13" s="7" customFormat="1" x14ac:dyDescent="0.25">
      <c r="A662" s="4" t="str">
        <v>EE</v>
      </c>
      <c r="B662" s="35">
        <v>4.0489777516086178E-2</v>
      </c>
      <c r="C662" s="35">
        <v>3.5403612131176487E-2</v>
      </c>
      <c r="D662" s="35">
        <v>3.2675087122697732E-2</v>
      </c>
      <c r="E662" s="35">
        <v>2.9290143258549506E-2</v>
      </c>
      <c r="F662" s="35">
        <v>2.6733959788543871E-2</v>
      </c>
      <c r="G662" s="35">
        <v>-8.3908204719900823</v>
      </c>
      <c r="H662" s="35">
        <v>-15.831427680413981</v>
      </c>
      <c r="I662" s="35">
        <v>-13.857850502525253</v>
      </c>
      <c r="J662" s="35">
        <v>1.3877065444830805E-2</v>
      </c>
      <c r="K662" s="35">
        <v>-7.7260568226920441</v>
      </c>
      <c r="M662" s="1" t="str">
        <f t="shared" si="54"/>
        <v>$million/million</v>
      </c>
    </row>
    <row r="663" spans="1:13" s="7" customFormat="1" x14ac:dyDescent="0.25">
      <c r="A663" s="4" t="str">
        <v>CA</v>
      </c>
      <c r="B663" s="35">
        <v>2.6696363966493664E-2</v>
      </c>
      <c r="C663" s="35">
        <v>2.3272497910511447E-2</v>
      </c>
      <c r="D663" s="35">
        <v>2.1742676328813104E-2</v>
      </c>
      <c r="E663" s="35">
        <v>-22.027876946633114</v>
      </c>
      <c r="F663" s="35">
        <v>1.68546278879694</v>
      </c>
      <c r="G663" s="35">
        <v>27.140401684325298</v>
      </c>
      <c r="H663" s="35">
        <v>70.80922765473224</v>
      </c>
      <c r="I663" s="35">
        <v>51.10927438489307</v>
      </c>
      <c r="J663" s="35">
        <v>8.9469968616322149</v>
      </c>
      <c r="K663" s="35">
        <v>32.059760132047813</v>
      </c>
      <c r="M663" s="1" t="str">
        <f t="shared" si="54"/>
        <v>$million/million</v>
      </c>
    </row>
    <row r="664" spans="1:13" s="7" customFormat="1" x14ac:dyDescent="0.25">
      <c r="A664" s="4" t="str">
        <v>IA</v>
      </c>
      <c r="B664" s="35">
        <v>2.1430454738037952E-2</v>
      </c>
      <c r="C664" s="35">
        <v>1.8682461740354483E-2</v>
      </c>
      <c r="D664" s="35">
        <v>1.7455893271744571E-2</v>
      </c>
      <c r="E664" s="35">
        <v>-23.545847962635435</v>
      </c>
      <c r="F664" s="35">
        <v>8.0782624651264996</v>
      </c>
      <c r="G664" s="35">
        <v>40.600053479625785</v>
      </c>
      <c r="H664" s="35">
        <v>95.436873538164946</v>
      </c>
      <c r="I664" s="35">
        <v>68.642567356813743</v>
      </c>
      <c r="J664" s="35">
        <v>14.480670331755391</v>
      </c>
      <c r="K664" s="35">
        <v>42.628054838845856</v>
      </c>
      <c r="M664" s="1" t="str">
        <f t="shared" si="54"/>
        <v>$million/million</v>
      </c>
    </row>
    <row r="665" spans="1:13" s="7" customFormat="1" x14ac:dyDescent="0.25">
      <c r="A665" s="4" t="str">
        <v>AF</v>
      </c>
      <c r="B665" s="35">
        <v>5.3405727777771972E-2</v>
      </c>
      <c r="C665" s="35">
        <v>4.6411197145062033E-2</v>
      </c>
      <c r="D665" s="35">
        <v>4.3501706032657239E-2</v>
      </c>
      <c r="E665" s="35">
        <v>-33.833038759948977</v>
      </c>
      <c r="F665" s="35">
        <v>16.598357483918335</v>
      </c>
      <c r="G665" s="35">
        <v>76.884646369855545</v>
      </c>
      <c r="H665" s="35">
        <v>161.94986337241426</v>
      </c>
      <c r="I665" s="35">
        <v>104.25344864912404</v>
      </c>
      <c r="J665" s="35">
        <v>24.476329072043882</v>
      </c>
      <c r="K665" s="35">
        <v>66.614608478688751</v>
      </c>
      <c r="M665" s="1" t="str">
        <f t="shared" si="54"/>
        <v>$million/million</v>
      </c>
    </row>
    <row r="666" spans="1:13" s="7" customFormat="1" x14ac:dyDescent="0.25">
      <c r="A666" s="4" t="str">
        <v>LA</v>
      </c>
      <c r="B666" s="35">
        <v>4.828459515420036E-2</v>
      </c>
      <c r="C666" s="35">
        <v>4.1956809900511871E-2</v>
      </c>
      <c r="D666" s="35">
        <v>3.9314285636464774E-2</v>
      </c>
      <c r="E666" s="35">
        <v>-46.193729640090169</v>
      </c>
      <c r="F666" s="35">
        <v>-8.8875154512188601</v>
      </c>
      <c r="G666" s="35">
        <v>37.552340249418194</v>
      </c>
      <c r="H666" s="35">
        <v>104.75448638890521</v>
      </c>
      <c r="I666" s="35">
        <v>63.37382331741901</v>
      </c>
      <c r="J666" s="35">
        <v>3.0296598702989286</v>
      </c>
      <c r="K666" s="35">
        <v>38.283138144586701</v>
      </c>
      <c r="M666" s="1" t="str">
        <f t="shared" si="54"/>
        <v>$million/million</v>
      </c>
    </row>
    <row r="667" spans="1:13" s="2" customFormat="1" ht="15" x14ac:dyDescent="0.4">
      <c r="A667" s="2" t="s">
        <v>423</v>
      </c>
      <c r="B667" s="2" t="s">
        <v>462</v>
      </c>
    </row>
    <row r="668" spans="1:13" s="7" customFormat="1" x14ac:dyDescent="0.25">
      <c r="A668" s="4" t="str">
        <f t="array" ref="A668:A675">R_CODE</f>
        <v>EU</v>
      </c>
      <c r="B668" s="39">
        <f t="array" ref="B668:K675">IF(EQUITY_COSTS=0,tct_per_cap,(1-EQUITY_PROP)*tct_per_cap+EQUITY_PROP*wtct_per_cap)</f>
        <v>6.0846947981190169E-2</v>
      </c>
      <c r="C668" s="39">
        <v>-85.710330013258499</v>
      </c>
      <c r="D668" s="39">
        <v>-122.24145212020812</v>
      </c>
      <c r="E668" s="39">
        <v>-66.189730364938441</v>
      </c>
      <c r="F668" s="39">
        <v>92.388120173869538</v>
      </c>
      <c r="G668" s="39">
        <v>161.66760351991979</v>
      </c>
      <c r="H668" s="39">
        <v>227.44972985768982</v>
      </c>
      <c r="I668" s="39">
        <v>134.29686624052556</v>
      </c>
      <c r="J668" s="39">
        <v>74.550850103143603</v>
      </c>
      <c r="K668" s="39">
        <v>103.57701814780012</v>
      </c>
      <c r="M668" s="1" t="str">
        <f t="shared" ref="M668:M675" si="55">CURRENCY_NAME&amp;"/"&amp;POP_UNIT_NAME</f>
        <v>$million/million</v>
      </c>
    </row>
    <row r="669" spans="1:13" s="7" customFormat="1" x14ac:dyDescent="0.25">
      <c r="A669" s="4" t="str">
        <v>US</v>
      </c>
      <c r="B669" s="35">
        <v>-367.0326069325456</v>
      </c>
      <c r="C669" s="35">
        <v>-460.87487133452669</v>
      </c>
      <c r="D669" s="35">
        <v>-335.41298626657226</v>
      </c>
      <c r="E669" s="35">
        <v>-69.251907629557536</v>
      </c>
      <c r="F669" s="35">
        <v>335.76314602950879</v>
      </c>
      <c r="G669" s="35">
        <v>426.37530678799521</v>
      </c>
      <c r="H669" s="35">
        <v>498.85855057067238</v>
      </c>
      <c r="I669" s="35">
        <v>116.05694045862765</v>
      </c>
      <c r="J669" s="35">
        <v>145.35428292621509</v>
      </c>
      <c r="K669" s="35">
        <v>179.82402602094226</v>
      </c>
      <c r="M669" s="1" t="str">
        <f t="shared" si="55"/>
        <v>$million/million</v>
      </c>
    </row>
    <row r="670" spans="1:13" s="7" customFormat="1" x14ac:dyDescent="0.25">
      <c r="A670" s="4" t="str">
        <v>OT</v>
      </c>
      <c r="B670" s="35">
        <v>0.18905874896154273</v>
      </c>
      <c r="C670" s="35">
        <v>0.16394534298160579</v>
      </c>
      <c r="D670" s="35">
        <v>0.14903419804977602</v>
      </c>
      <c r="E670" s="35">
        <v>0.13183770333125722</v>
      </c>
      <c r="F670" s="35">
        <v>0.11866992150316946</v>
      </c>
      <c r="G670" s="35">
        <v>-62.418923504286795</v>
      </c>
      <c r="H670" s="35">
        <v>-54.434476849899511</v>
      </c>
      <c r="I670" s="35">
        <v>-48.016039117355831</v>
      </c>
      <c r="J670" s="35">
        <v>6.364134227624163E-2</v>
      </c>
      <c r="K670" s="35">
        <v>-24.551762599730864</v>
      </c>
      <c r="M670" s="1" t="str">
        <f t="shared" si="55"/>
        <v>$million/million</v>
      </c>
    </row>
    <row r="671" spans="1:13" s="7" customFormat="1" x14ac:dyDescent="0.25">
      <c r="A671" s="4" t="str">
        <v>EE</v>
      </c>
      <c r="B671" s="35">
        <v>4.0489777516086178E-2</v>
      </c>
      <c r="C671" s="35">
        <v>3.5403612131176487E-2</v>
      </c>
      <c r="D671" s="35">
        <v>3.2675087122697732E-2</v>
      </c>
      <c r="E671" s="35">
        <v>2.9290143258549506E-2</v>
      </c>
      <c r="F671" s="35">
        <v>2.6733959788543871E-2</v>
      </c>
      <c r="G671" s="35">
        <v>-8.3908204719900823</v>
      </c>
      <c r="H671" s="35">
        <v>-15.831427680413981</v>
      </c>
      <c r="I671" s="35">
        <v>-13.857850502525253</v>
      </c>
      <c r="J671" s="35">
        <v>1.3877065444830805E-2</v>
      </c>
      <c r="K671" s="35">
        <v>-7.7260568226920441</v>
      </c>
      <c r="M671" s="1" t="str">
        <f t="shared" si="55"/>
        <v>$million/million</v>
      </c>
    </row>
    <row r="672" spans="1:13" s="7" customFormat="1" x14ac:dyDescent="0.25">
      <c r="A672" s="4" t="str">
        <v>CA</v>
      </c>
      <c r="B672" s="35">
        <v>2.6696363966493664E-2</v>
      </c>
      <c r="C672" s="35">
        <v>2.3272497910511447E-2</v>
      </c>
      <c r="D672" s="35">
        <v>2.1742676328813104E-2</v>
      </c>
      <c r="E672" s="35">
        <v>-22.027876946633114</v>
      </c>
      <c r="F672" s="35">
        <v>1.68546278879694</v>
      </c>
      <c r="G672" s="35">
        <v>27.140401684325298</v>
      </c>
      <c r="H672" s="35">
        <v>70.80922765473224</v>
      </c>
      <c r="I672" s="35">
        <v>51.10927438489307</v>
      </c>
      <c r="J672" s="35">
        <v>8.9469968616322149</v>
      </c>
      <c r="K672" s="35">
        <v>32.059760132047813</v>
      </c>
      <c r="M672" s="1" t="str">
        <f t="shared" si="55"/>
        <v>$million/million</v>
      </c>
    </row>
    <row r="673" spans="1:13" s="7" customFormat="1" x14ac:dyDescent="0.25">
      <c r="A673" s="4" t="str">
        <v>IA</v>
      </c>
      <c r="B673" s="35">
        <v>2.1430454738037952E-2</v>
      </c>
      <c r="C673" s="35">
        <v>1.8682461740354483E-2</v>
      </c>
      <c r="D673" s="35">
        <v>1.7455893271744571E-2</v>
      </c>
      <c r="E673" s="35">
        <v>-23.545847962635435</v>
      </c>
      <c r="F673" s="35">
        <v>8.0782624651264996</v>
      </c>
      <c r="G673" s="35">
        <v>40.600053479625785</v>
      </c>
      <c r="H673" s="35">
        <v>95.436873538164946</v>
      </c>
      <c r="I673" s="35">
        <v>68.642567356813743</v>
      </c>
      <c r="J673" s="35">
        <v>14.480670331755391</v>
      </c>
      <c r="K673" s="35">
        <v>42.628054838845856</v>
      </c>
      <c r="M673" s="1" t="str">
        <f t="shared" si="55"/>
        <v>$million/million</v>
      </c>
    </row>
    <row r="674" spans="1:13" s="7" customFormat="1" x14ac:dyDescent="0.25">
      <c r="A674" s="4" t="str">
        <v>AF</v>
      </c>
      <c r="B674" s="35">
        <v>5.3405727777771972E-2</v>
      </c>
      <c r="C674" s="35">
        <v>4.6411197145062033E-2</v>
      </c>
      <c r="D674" s="35">
        <v>4.3501706032657239E-2</v>
      </c>
      <c r="E674" s="35">
        <v>-33.833038759948977</v>
      </c>
      <c r="F674" s="35">
        <v>16.598357483918335</v>
      </c>
      <c r="G674" s="35">
        <v>76.884646369855545</v>
      </c>
      <c r="H674" s="35">
        <v>161.94986337241426</v>
      </c>
      <c r="I674" s="35">
        <v>104.25344864912404</v>
      </c>
      <c r="J674" s="35">
        <v>24.476329072043882</v>
      </c>
      <c r="K674" s="35">
        <v>66.614608478688751</v>
      </c>
      <c r="M674" s="1" t="str">
        <f t="shared" si="55"/>
        <v>$million/million</v>
      </c>
    </row>
    <row r="675" spans="1:13" s="7" customFormat="1" x14ac:dyDescent="0.25">
      <c r="A675" s="4" t="str">
        <v>LA</v>
      </c>
      <c r="B675" s="35">
        <v>4.828459515420036E-2</v>
      </c>
      <c r="C675" s="35">
        <v>4.1956809900511871E-2</v>
      </c>
      <c r="D675" s="35">
        <v>3.9314285636464774E-2</v>
      </c>
      <c r="E675" s="35">
        <v>-46.193729640090169</v>
      </c>
      <c r="F675" s="35">
        <v>-8.8875154512188601</v>
      </c>
      <c r="G675" s="35">
        <v>37.552340249418194</v>
      </c>
      <c r="H675" s="35">
        <v>104.75448638890521</v>
      </c>
      <c r="I675" s="35">
        <v>63.37382331741901</v>
      </c>
      <c r="J675" s="35">
        <v>3.0296598702989286</v>
      </c>
      <c r="K675" s="35">
        <v>38.283138144586701</v>
      </c>
      <c r="M675" s="1" t="str">
        <f t="shared" si="55"/>
        <v>$million/million</v>
      </c>
    </row>
    <row r="676" spans="1:13" s="2" customFormat="1" ht="15" x14ac:dyDescent="0.4">
      <c r="A676" s="2" t="s">
        <v>55</v>
      </c>
      <c r="B676" s="2" t="s">
        <v>426</v>
      </c>
    </row>
    <row r="677" spans="1:13" x14ac:dyDescent="0.25">
      <c r="A677" s="4" t="str">
        <f t="array" ref="A677:A684">R_CODE</f>
        <v>EU</v>
      </c>
      <c r="B677" s="37">
        <f t="array" ref="B677:K684">pct_per_cap*POP</f>
        <v>33.8140343639093</v>
      </c>
      <c r="C677" s="37">
        <v>-48000.005271327405</v>
      </c>
      <c r="D677" s="37">
        <v>-68202.535764207467</v>
      </c>
      <c r="E677" s="37">
        <v>-36386.840446964496</v>
      </c>
      <c r="F677" s="37">
        <v>49594.435950436055</v>
      </c>
      <c r="G677" s="37">
        <v>84524.153011506001</v>
      </c>
      <c r="H677" s="37">
        <v>113521.42698163701</v>
      </c>
      <c r="I677" s="37">
        <v>65517.134414029519</v>
      </c>
      <c r="J677" s="37">
        <v>34755.390268482253</v>
      </c>
      <c r="K677" s="37">
        <v>48287.305692583461</v>
      </c>
      <c r="M677" s="43" t="str">
        <f t="shared" ref="M677:M685" si="56">CURRENCY_NAME</f>
        <v>$million</v>
      </c>
    </row>
    <row r="678" spans="1:13" x14ac:dyDescent="0.25">
      <c r="A678" s="4" t="str">
        <v>US</v>
      </c>
      <c r="B678" s="38">
        <v>-116092.90902970913</v>
      </c>
      <c r="C678" s="38">
        <v>-158212.26698667862</v>
      </c>
      <c r="D678" s="38">
        <v>-122934.10139769077</v>
      </c>
      <c r="E678" s="38">
        <v>-26656.884127151905</v>
      </c>
      <c r="F678" s="38">
        <v>134715.25414905392</v>
      </c>
      <c r="G678" s="38">
        <v>176227.81866380345</v>
      </c>
      <c r="H678" s="38">
        <v>216037.42246069349</v>
      </c>
      <c r="I678" s="38">
        <v>51831.992909504908</v>
      </c>
      <c r="J678" s="38">
        <v>69387.373388306209</v>
      </c>
      <c r="K678" s="38">
        <v>85842.099637596926</v>
      </c>
      <c r="M678" s="43" t="str">
        <f t="shared" si="56"/>
        <v>$million</v>
      </c>
    </row>
    <row r="679" spans="1:13" x14ac:dyDescent="0.25">
      <c r="A679" s="4" t="str">
        <v>OT</v>
      </c>
      <c r="B679" s="38">
        <v>41.794276861968314</v>
      </c>
      <c r="C679" s="38">
        <v>40.530837162854887</v>
      </c>
      <c r="D679" s="38">
        <v>40.116885127477786</v>
      </c>
      <c r="E679" s="38">
        <v>37.799638830148453</v>
      </c>
      <c r="F679" s="38">
        <v>35.578155598389351</v>
      </c>
      <c r="G679" s="38">
        <v>-19289.523940073832</v>
      </c>
      <c r="H679" s="38">
        <v>-17293.069955359377</v>
      </c>
      <c r="I679" s="38">
        <v>-15149.15494776953</v>
      </c>
      <c r="J679" s="38">
        <v>19.624986110807001</v>
      </c>
      <c r="K679" s="38">
        <v>-7570.9905351167199</v>
      </c>
      <c r="M679" s="43" t="str">
        <f t="shared" si="56"/>
        <v>$million</v>
      </c>
    </row>
    <row r="680" spans="1:13" x14ac:dyDescent="0.25">
      <c r="A680" s="4" t="str">
        <v>EE</v>
      </c>
      <c r="B680" s="38">
        <v>26.852620905648195</v>
      </c>
      <c r="C680" s="38">
        <v>26.25761754806144</v>
      </c>
      <c r="D680" s="38">
        <v>26.386347572262395</v>
      </c>
      <c r="E680" s="38">
        <v>25.193631453241139</v>
      </c>
      <c r="F680" s="38">
        <v>24.045140564767987</v>
      </c>
      <c r="G680" s="38">
        <v>-7779.1280248624471</v>
      </c>
      <c r="H680" s="38">
        <v>-15088.267705347685</v>
      </c>
      <c r="I680" s="38">
        <v>-13116.537413218119</v>
      </c>
      <c r="J680" s="38">
        <v>12.837750126236678</v>
      </c>
      <c r="K680" s="38">
        <v>-7147.4179714107304</v>
      </c>
      <c r="M680" s="43" t="str">
        <f t="shared" si="56"/>
        <v>$million</v>
      </c>
    </row>
    <row r="681" spans="1:13" x14ac:dyDescent="0.25">
      <c r="A681" s="4" t="str">
        <v>CA</v>
      </c>
      <c r="B681" s="38">
        <v>38.360610202853209</v>
      </c>
      <c r="C681" s="38">
        <v>37.397523706316726</v>
      </c>
      <c r="D681" s="38">
        <v>38.042375443999894</v>
      </c>
      <c r="E681" s="38">
        <v>-41051.971600689896</v>
      </c>
      <c r="F681" s="38">
        <v>3284.5456360887765</v>
      </c>
      <c r="G681" s="38">
        <v>54517.365746957781</v>
      </c>
      <c r="H681" s="38">
        <v>146218.1412988693</v>
      </c>
      <c r="I681" s="38">
        <v>104812.99900041461</v>
      </c>
      <c r="J681" s="38">
        <v>17933.318792607322</v>
      </c>
      <c r="K681" s="38">
        <v>64260.433724758142</v>
      </c>
      <c r="M681" s="43" t="str">
        <f t="shared" si="56"/>
        <v>$million</v>
      </c>
    </row>
    <row r="682" spans="1:13" x14ac:dyDescent="0.25">
      <c r="A682" s="4" t="str">
        <v>IA</v>
      </c>
      <c r="B682" s="38">
        <v>47.375239893374683</v>
      </c>
      <c r="C682" s="38">
        <v>46.187088991270187</v>
      </c>
      <c r="D682" s="38">
        <v>46.987609175862019</v>
      </c>
      <c r="E682" s="38">
        <v>-67509.106002925299</v>
      </c>
      <c r="F682" s="38">
        <v>24219.252470072854</v>
      </c>
      <c r="G682" s="38">
        <v>125467.67223720765</v>
      </c>
      <c r="H682" s="38">
        <v>303189.56402707094</v>
      </c>
      <c r="I682" s="38">
        <v>216568.65247870996</v>
      </c>
      <c r="J682" s="38">
        <v>44653.827837626341</v>
      </c>
      <c r="K682" s="38">
        <v>131451.49901330352</v>
      </c>
      <c r="M682" s="43" t="str">
        <f t="shared" si="56"/>
        <v>$million</v>
      </c>
    </row>
    <row r="683" spans="1:13" x14ac:dyDescent="0.25">
      <c r="A683" s="4" t="str">
        <v>AF</v>
      </c>
      <c r="B683" s="38">
        <v>47.224553955197187</v>
      </c>
      <c r="C683" s="38">
        <v>45.895409770333451</v>
      </c>
      <c r="D683" s="38">
        <v>46.83899310622796</v>
      </c>
      <c r="E683" s="38">
        <v>-38801.54503114066</v>
      </c>
      <c r="F683" s="38">
        <v>19905.261173523726</v>
      </c>
      <c r="G683" s="38">
        <v>95039.654227525112</v>
      </c>
      <c r="H683" s="38">
        <v>205796.80222022545</v>
      </c>
      <c r="I683" s="38">
        <v>131568.67383957483</v>
      </c>
      <c r="J683" s="38">
        <v>30190.916841282557</v>
      </c>
      <c r="K683" s="38">
        <v>82167.391158822487</v>
      </c>
      <c r="M683" s="43" t="str">
        <f t="shared" si="56"/>
        <v>$million</v>
      </c>
    </row>
    <row r="684" spans="1:13" x14ac:dyDescent="0.25">
      <c r="A684" s="4" t="str">
        <v>LA</v>
      </c>
      <c r="B684" s="38">
        <v>26.685087957146035</v>
      </c>
      <c r="C684" s="38">
        <v>25.931578766182163</v>
      </c>
      <c r="D684" s="38">
        <v>26.456455991063009</v>
      </c>
      <c r="E684" s="38">
        <v>-33110.905539397194</v>
      </c>
      <c r="F684" s="38">
        <v>-6661.3637980309295</v>
      </c>
      <c r="G684" s="38">
        <v>29012.306107666303</v>
      </c>
      <c r="H684" s="38">
        <v>83197.578359036925</v>
      </c>
      <c r="I684" s="38">
        <v>49986.415306022587</v>
      </c>
      <c r="J684" s="38">
        <v>2335.6292760532369</v>
      </c>
      <c r="K684" s="38">
        <v>29513.285998294166</v>
      </c>
      <c r="M684" s="43" t="str">
        <f t="shared" si="56"/>
        <v>$million</v>
      </c>
    </row>
    <row r="685" spans="1:13" ht="13.5" thickBot="1" x14ac:dyDescent="0.35">
      <c r="A685" s="2" t="s">
        <v>257</v>
      </c>
      <c r="B685" s="56">
        <f t="shared" ref="B685:K685" si="57">SUM(B677:B684)</f>
        <v>-115830.80260556904</v>
      </c>
      <c r="C685" s="56">
        <f t="shared" si="57"/>
        <v>-205990.07220206101</v>
      </c>
      <c r="D685" s="56">
        <f t="shared" si="57"/>
        <v>-190911.80849548138</v>
      </c>
      <c r="E685" s="56">
        <f t="shared" si="57"/>
        <v>-243454.25947798608</v>
      </c>
      <c r="F685" s="56">
        <f t="shared" si="57"/>
        <v>225117.00887730755</v>
      </c>
      <c r="G685" s="56">
        <f t="shared" si="57"/>
        <v>537720.31802973012</v>
      </c>
      <c r="H685" s="56">
        <f t="shared" si="57"/>
        <v>1035579.5976868261</v>
      </c>
      <c r="I685" s="56">
        <f t="shared" si="57"/>
        <v>592020.17558726878</v>
      </c>
      <c r="J685" s="56">
        <f t="shared" si="57"/>
        <v>199288.91914059495</v>
      </c>
      <c r="K685" s="56">
        <f t="shared" si="57"/>
        <v>426803.60671883129</v>
      </c>
      <c r="L685" s="1"/>
      <c r="M685" s="43" t="str">
        <f t="shared" si="56"/>
        <v>$million</v>
      </c>
    </row>
    <row r="686" spans="1:13" ht="13.5" thickTop="1" x14ac:dyDescent="0.3">
      <c r="A686" s="2" t="s">
        <v>424</v>
      </c>
    </row>
    <row r="687" spans="1:13" s="7" customFormat="1" x14ac:dyDescent="0.25">
      <c r="A687" s="7" t="str">
        <f t="array" ref="A687:A694">R_CODE</f>
        <v>EU</v>
      </c>
      <c r="B687" s="51">
        <f t="array" ref="B687:B694">(1+(DR_1/100))^(-YP_1)</f>
        <v>0.74409391489672516</v>
      </c>
      <c r="C687" s="51">
        <f t="array" ref="C687:K694">DFC*(1+(DR_NOT_1/100))^(-YP_NOT_1)</f>
        <v>0.55367575418633486</v>
      </c>
      <c r="D687" s="51">
        <v>0.41198675951590674</v>
      </c>
      <c r="E687" s="51">
        <v>0.30655684077380668</v>
      </c>
      <c r="F687" s="51">
        <v>0.22810707978975384</v>
      </c>
      <c r="G687" s="51">
        <v>0.16973309001641759</v>
      </c>
      <c r="H687" s="51">
        <v>9.3977096625217096E-2</v>
      </c>
      <c r="I687" s="51">
        <v>5.203283985020915E-2</v>
      </c>
      <c r="J687" s="51">
        <v>2.7074164228775154E-3</v>
      </c>
      <c r="K687" s="51">
        <v>1.4087456513941197E-4</v>
      </c>
    </row>
    <row r="688" spans="1:13" s="7" customFormat="1" x14ac:dyDescent="0.25">
      <c r="A688" s="7" t="str">
        <v>US</v>
      </c>
      <c r="B688" s="52">
        <v>0.74409391489672516</v>
      </c>
      <c r="C688" s="52">
        <v>0.55367575418633486</v>
      </c>
      <c r="D688" s="52">
        <v>0.41198675951590674</v>
      </c>
      <c r="E688" s="52">
        <v>0.30655684077380668</v>
      </c>
      <c r="F688" s="52">
        <v>0.22810707978975384</v>
      </c>
      <c r="G688" s="52">
        <v>0.16973309001641759</v>
      </c>
      <c r="H688" s="52">
        <v>9.3977096625217096E-2</v>
      </c>
      <c r="I688" s="52">
        <v>5.203283985020915E-2</v>
      </c>
      <c r="J688" s="52">
        <v>2.7074164228775154E-3</v>
      </c>
      <c r="K688" s="52">
        <v>1.4087456513941197E-4</v>
      </c>
    </row>
    <row r="689" spans="1:13" s="7" customFormat="1" x14ac:dyDescent="0.25">
      <c r="A689" s="7" t="str">
        <v>OT</v>
      </c>
      <c r="B689" s="52">
        <v>0.74409391489672516</v>
      </c>
      <c r="C689" s="52">
        <v>0.55367575418633486</v>
      </c>
      <c r="D689" s="52">
        <v>0.41198675951590674</v>
      </c>
      <c r="E689" s="52">
        <v>0.30655684077380668</v>
      </c>
      <c r="F689" s="52">
        <v>0.22810707978975384</v>
      </c>
      <c r="G689" s="52">
        <v>0.16973309001641759</v>
      </c>
      <c r="H689" s="52">
        <v>9.3977096625217096E-2</v>
      </c>
      <c r="I689" s="52">
        <v>5.203283985020915E-2</v>
      </c>
      <c r="J689" s="52">
        <v>2.7074164228775154E-3</v>
      </c>
      <c r="K689" s="52">
        <v>1.4087456513941197E-4</v>
      </c>
    </row>
    <row r="690" spans="1:13" s="7" customFormat="1" x14ac:dyDescent="0.25">
      <c r="A690" s="7" t="str">
        <v>EE</v>
      </c>
      <c r="B690" s="52">
        <v>0.74409391489672516</v>
      </c>
      <c r="C690" s="52">
        <v>0.55367575418633486</v>
      </c>
      <c r="D690" s="52">
        <v>0.41198675951590674</v>
      </c>
      <c r="E690" s="52">
        <v>0.30655684077380668</v>
      </c>
      <c r="F690" s="52">
        <v>0.22810707978975384</v>
      </c>
      <c r="G690" s="52">
        <v>0.16973309001641759</v>
      </c>
      <c r="H690" s="52">
        <v>9.3977096625217096E-2</v>
      </c>
      <c r="I690" s="52">
        <v>5.203283985020915E-2</v>
      </c>
      <c r="J690" s="52">
        <v>2.7074164228775154E-3</v>
      </c>
      <c r="K690" s="52">
        <v>1.4087456513941197E-4</v>
      </c>
    </row>
    <row r="691" spans="1:13" s="7" customFormat="1" x14ac:dyDescent="0.25">
      <c r="A691" s="7" t="str">
        <v>CA</v>
      </c>
      <c r="B691" s="52">
        <v>0.74409391489672516</v>
      </c>
      <c r="C691" s="52">
        <v>0.55367575418633486</v>
      </c>
      <c r="D691" s="52">
        <v>0.41198675951590674</v>
      </c>
      <c r="E691" s="52">
        <v>0.30655684077380668</v>
      </c>
      <c r="F691" s="52">
        <v>0.22810707978975384</v>
      </c>
      <c r="G691" s="52">
        <v>0.16973309001641759</v>
      </c>
      <c r="H691" s="52">
        <v>9.3977096625217096E-2</v>
      </c>
      <c r="I691" s="52">
        <v>5.203283985020915E-2</v>
      </c>
      <c r="J691" s="52">
        <v>2.7074164228775154E-3</v>
      </c>
      <c r="K691" s="52">
        <v>1.4087456513941197E-4</v>
      </c>
    </row>
    <row r="692" spans="1:13" s="7" customFormat="1" x14ac:dyDescent="0.25">
      <c r="A692" s="7" t="str">
        <v>IA</v>
      </c>
      <c r="B692" s="52">
        <v>0.74409391489672516</v>
      </c>
      <c r="C692" s="52">
        <v>0.55367575418633486</v>
      </c>
      <c r="D692" s="52">
        <v>0.41198675951590674</v>
      </c>
      <c r="E692" s="52">
        <v>0.30655684077380668</v>
      </c>
      <c r="F692" s="52">
        <v>0.22810707978975384</v>
      </c>
      <c r="G692" s="52">
        <v>0.16973309001641759</v>
      </c>
      <c r="H692" s="52">
        <v>9.3977096625217096E-2</v>
      </c>
      <c r="I692" s="52">
        <v>5.203283985020915E-2</v>
      </c>
      <c r="J692" s="52">
        <v>2.7074164228775154E-3</v>
      </c>
      <c r="K692" s="52">
        <v>1.4087456513941197E-4</v>
      </c>
    </row>
    <row r="693" spans="1:13" s="7" customFormat="1" x14ac:dyDescent="0.25">
      <c r="A693" s="7" t="str">
        <v>AF</v>
      </c>
      <c r="B693" s="52">
        <v>0.74409391489672516</v>
      </c>
      <c r="C693" s="52">
        <v>0.55367575418633486</v>
      </c>
      <c r="D693" s="52">
        <v>0.41198675951590674</v>
      </c>
      <c r="E693" s="52">
        <v>0.30655684077380668</v>
      </c>
      <c r="F693" s="52">
        <v>0.22810707978975384</v>
      </c>
      <c r="G693" s="52">
        <v>0.16973309001641759</v>
      </c>
      <c r="H693" s="52">
        <v>9.3977096625217096E-2</v>
      </c>
      <c r="I693" s="52">
        <v>5.203283985020915E-2</v>
      </c>
      <c r="J693" s="52">
        <v>2.7074164228775154E-3</v>
      </c>
      <c r="K693" s="52">
        <v>1.4087456513941197E-4</v>
      </c>
    </row>
    <row r="694" spans="1:13" s="7" customFormat="1" ht="13" thickBot="1" x14ac:dyDescent="0.3">
      <c r="A694" s="7" t="str">
        <v>LA</v>
      </c>
      <c r="B694" s="53">
        <v>0.74409391489672516</v>
      </c>
      <c r="C694" s="53">
        <v>0.55367575418633486</v>
      </c>
      <c r="D694" s="53">
        <v>0.41198675951590674</v>
      </c>
      <c r="E694" s="53">
        <v>0.30655684077380668</v>
      </c>
      <c r="F694" s="53">
        <v>0.22810707978975384</v>
      </c>
      <c r="G694" s="53">
        <v>0.16973309001641759</v>
      </c>
      <c r="H694" s="53">
        <v>9.3977096625217096E-2</v>
      </c>
      <c r="I694" s="53">
        <v>5.203283985020915E-2</v>
      </c>
      <c r="J694" s="53">
        <v>2.7074164228775154E-3</v>
      </c>
      <c r="K694" s="53">
        <v>1.4087456513941197E-4</v>
      </c>
    </row>
    <row r="695" spans="1:13" ht="15.5" thickTop="1" x14ac:dyDescent="0.4">
      <c r="A695" s="2" t="s">
        <v>147</v>
      </c>
      <c r="B695" s="73" t="s">
        <v>425</v>
      </c>
      <c r="C695" s="58"/>
      <c r="D695" s="58"/>
      <c r="E695" s="58"/>
      <c r="F695" s="58"/>
      <c r="G695" s="58"/>
      <c r="H695" s="58"/>
      <c r="I695" s="58"/>
      <c r="J695" s="58"/>
      <c r="K695" s="58"/>
      <c r="L695" s="1"/>
      <c r="M695" s="1"/>
    </row>
    <row r="696" spans="1:13" x14ac:dyDescent="0.25">
      <c r="A696" s="1" t="str">
        <f t="array" ref="A696:A703">R_CODE&amp;" total"</f>
        <v>EU total</v>
      </c>
      <c r="B696" s="37">
        <f t="array" ref="B696:K703">IF(EQUITY_COSTS=0,pct*DFC,pct*DF)</f>
        <v>25.160817208293668</v>
      </c>
      <c r="C696" s="37">
        <v>-26576.439119550254</v>
      </c>
      <c r="D696" s="37">
        <v>-28098.54170026358</v>
      </c>
      <c r="E696" s="37">
        <v>-11154.63485316201</v>
      </c>
      <c r="F696" s="37">
        <v>11312.84195847396</v>
      </c>
      <c r="G696" s="37">
        <v>14346.545671663411</v>
      </c>
      <c r="H696" s="37">
        <v>10668.414112485836</v>
      </c>
      <c r="I696" s="37">
        <v>3409.0425624098266</v>
      </c>
      <c r="J696" s="37">
        <v>94.097314396406318</v>
      </c>
      <c r="K696" s="37">
        <v>6.8024531911965553</v>
      </c>
      <c r="L696" s="1"/>
      <c r="M696" s="43" t="str">
        <f t="shared" ref="M696:M704" si="58">CURRENCY_NAME</f>
        <v>$million</v>
      </c>
    </row>
    <row r="697" spans="1:13" x14ac:dyDescent="0.25">
      <c r="A697" s="1" t="str">
        <v>US total</v>
      </c>
      <c r="B697" s="38">
        <v>-86384.027171665643</v>
      </c>
      <c r="C697" s="38">
        <v>-87598.296245379068</v>
      </c>
      <c r="D697" s="38">
        <v>-50647.222068834541</v>
      </c>
      <c r="E697" s="38">
        <v>-8171.8501828931257</v>
      </c>
      <c r="F697" s="38">
        <v>30729.503227075227</v>
      </c>
      <c r="G697" s="38">
        <v>29911.692208660286</v>
      </c>
      <c r="H697" s="38">
        <v>20302.569725251455</v>
      </c>
      <c r="I697" s="38">
        <v>2696.9657861774467</v>
      </c>
      <c r="J697" s="38">
        <v>187.86051425183467</v>
      </c>
      <c r="K697" s="38">
        <v>12.092968457100556</v>
      </c>
      <c r="L697" s="1"/>
      <c r="M697" s="43" t="str">
        <f t="shared" si="58"/>
        <v>$million</v>
      </c>
    </row>
    <row r="698" spans="1:13" x14ac:dyDescent="0.25">
      <c r="A698" s="1" t="str">
        <v>OT total</v>
      </c>
      <c r="B698" s="38">
        <v>31.098867090499621</v>
      </c>
      <c r="C698" s="38">
        <v>22.440941833947214</v>
      </c>
      <c r="D698" s="38">
        <v>16.527625505541454</v>
      </c>
      <c r="E698" s="38">
        <v>11.587737862161227</v>
      </c>
      <c r="F698" s="38">
        <v>8.1156291778540819</v>
      </c>
      <c r="G698" s="38">
        <v>-3274.0705032943961</v>
      </c>
      <c r="H698" s="38">
        <v>-1625.1525061414482</v>
      </c>
      <c r="I698" s="38">
        <v>-788.253553263296</v>
      </c>
      <c r="J698" s="38">
        <v>5.3133009695142064E-2</v>
      </c>
      <c r="K698" s="38">
        <v>-1.066559999309173</v>
      </c>
      <c r="L698" s="1"/>
      <c r="M698" s="43" t="str">
        <f t="shared" si="58"/>
        <v>$million</v>
      </c>
    </row>
    <row r="699" spans="1:13" x14ac:dyDescent="0.25">
      <c r="A699" s="1" t="str">
        <v>EE total</v>
      </c>
      <c r="B699" s="38">
        <v>19.980871814921411</v>
      </c>
      <c r="C699" s="38">
        <v>14.53820619905926</v>
      </c>
      <c r="D699" s="38">
        <v>10.870825831756802</v>
      </c>
      <c r="E699" s="38">
        <v>7.7232800659252154</v>
      </c>
      <c r="F699" s="38">
        <v>5.4848667973633809</v>
      </c>
      <c r="G699" s="38">
        <v>-1320.3754372932153</v>
      </c>
      <c r="H699" s="38">
        <v>-1417.951592052603</v>
      </c>
      <c r="I699" s="38">
        <v>-682.49069061125545</v>
      </c>
      <c r="J699" s="38">
        <v>3.475713552457111E-2</v>
      </c>
      <c r="K699" s="38">
        <v>-1.0068893985921059</v>
      </c>
      <c r="L699" s="1"/>
      <c r="M699" s="43" t="str">
        <f t="shared" si="58"/>
        <v>$million</v>
      </c>
    </row>
    <row r="700" spans="1:13" x14ac:dyDescent="0.25">
      <c r="A700" s="1" t="str">
        <v>CA total</v>
      </c>
      <c r="B700" s="38">
        <v>28.543896623668303</v>
      </c>
      <c r="C700" s="38">
        <v>20.706102142796254</v>
      </c>
      <c r="D700" s="38">
        <v>15.672954983461027</v>
      </c>
      <c r="E700" s="38">
        <v>-12584.762721443532</v>
      </c>
      <c r="F700" s="38">
        <v>749.22811348439075</v>
      </c>
      <c r="G700" s="38">
        <v>9253.4009477863528</v>
      </c>
      <c r="H700" s="38">
        <v>13741.156393203497</v>
      </c>
      <c r="I700" s="38">
        <v>5453.7179912087086</v>
      </c>
      <c r="J700" s="38">
        <v>48.552961815803087</v>
      </c>
      <c r="K700" s="38">
        <v>9.0526606566453172</v>
      </c>
      <c r="L700" s="1"/>
      <c r="M700" s="43" t="str">
        <f t="shared" si="58"/>
        <v>$million</v>
      </c>
    </row>
    <row r="701" spans="1:13" x14ac:dyDescent="0.25">
      <c r="A701" s="1" t="str">
        <v>IA total</v>
      </c>
      <c r="B701" s="38">
        <v>35.251627721432683</v>
      </c>
      <c r="C701" s="38">
        <v>25.57267133091289</v>
      </c>
      <c r="D701" s="38">
        <v>19.358272841763288</v>
      </c>
      <c r="E701" s="38">
        <v>-20695.378259720819</v>
      </c>
      <c r="F701" s="38">
        <v>5524.5829556391045</v>
      </c>
      <c r="G701" s="38">
        <v>21296.015705988357</v>
      </c>
      <c r="H701" s="38">
        <v>28492.874954329513</v>
      </c>
      <c r="I701" s="38">
        <v>11268.682011000325</v>
      </c>
      <c r="J701" s="38">
        <v>120.89650683193484</v>
      </c>
      <c r="K701" s="38">
        <v>18.518172760422996</v>
      </c>
      <c r="L701" s="1"/>
      <c r="M701" s="43" t="str">
        <f t="shared" si="58"/>
        <v>$million</v>
      </c>
    </row>
    <row r="702" spans="1:13" x14ac:dyDescent="0.25">
      <c r="A702" s="1" t="str">
        <v>AF total</v>
      </c>
      <c r="B702" s="38">
        <v>35.139503231774299</v>
      </c>
      <c r="C702" s="38">
        <v>25.411175618280261</v>
      </c>
      <c r="D702" s="38">
        <v>19.297044988822758</v>
      </c>
      <c r="E702" s="38">
        <v>-11894.879061889083</v>
      </c>
      <c r="F702" s="38">
        <v>4540.5309987448682</v>
      </c>
      <c r="G702" s="38">
        <v>16131.374186129733</v>
      </c>
      <c r="H702" s="38">
        <v>19340.185967410835</v>
      </c>
      <c r="I702" s="38">
        <v>6845.891735199004</v>
      </c>
      <c r="J702" s="38">
        <v>81.739384077817832</v>
      </c>
      <c r="K702" s="38">
        <v>11.575295498139095</v>
      </c>
      <c r="L702" s="1"/>
      <c r="M702" s="43" t="str">
        <f t="shared" si="58"/>
        <v>$million</v>
      </c>
    </row>
    <row r="703" spans="1:13" x14ac:dyDescent="0.25">
      <c r="A703" s="1" t="str">
        <v>LA total</v>
      </c>
      <c r="B703" s="38">
        <v>19.856211567396247</v>
      </c>
      <c r="C703" s="38">
        <v>14.357686430608259</v>
      </c>
      <c r="D703" s="38">
        <v>10.899709572033251</v>
      </c>
      <c r="E703" s="38">
        <v>-10150.374597317545</v>
      </c>
      <c r="F703" s="38">
        <v>-1519.5042433860199</v>
      </c>
      <c r="G703" s="38">
        <v>4924.3483641563898</v>
      </c>
      <c r="H703" s="38">
        <v>7818.6668604312899</v>
      </c>
      <c r="I703" s="38">
        <v>2600.9351423043186</v>
      </c>
      <c r="J703" s="38">
        <v>6.3235210597400613</v>
      </c>
      <c r="K703" s="38">
        <v>4.1576713308447912</v>
      </c>
      <c r="L703" s="1"/>
      <c r="M703" s="43" t="str">
        <f t="shared" si="58"/>
        <v>$million</v>
      </c>
    </row>
    <row r="704" spans="1:13" ht="13" x14ac:dyDescent="0.3">
      <c r="A704" s="2" t="s">
        <v>313</v>
      </c>
      <c r="B704" s="54">
        <f>SUM(B696:B703)</f>
        <v>-86188.995376407649</v>
      </c>
      <c r="C704" s="54">
        <f t="shared" ref="C704:K704" si="59">SUM(C696:C703)</f>
        <v>-114051.70858137372</v>
      </c>
      <c r="D704" s="54">
        <f t="shared" si="59"/>
        <v>-78653.137335374748</v>
      </c>
      <c r="E704" s="54">
        <f t="shared" si="59"/>
        <v>-74632.568658498029</v>
      </c>
      <c r="F704" s="54">
        <f t="shared" si="59"/>
        <v>51350.783506006752</v>
      </c>
      <c r="G704" s="54">
        <f t="shared" si="59"/>
        <v>91268.931143796915</v>
      </c>
      <c r="H704" s="54">
        <f t="shared" si="59"/>
        <v>97320.763914918381</v>
      </c>
      <c r="I704" s="54">
        <f t="shared" si="59"/>
        <v>30804.49098442508</v>
      </c>
      <c r="J704" s="54">
        <f t="shared" si="59"/>
        <v>539.5580925787566</v>
      </c>
      <c r="K704" s="54">
        <f t="shared" si="59"/>
        <v>60.125772496448036</v>
      </c>
      <c r="L704" s="1"/>
      <c r="M704" s="43" t="str">
        <f t="shared" si="58"/>
        <v>$million</v>
      </c>
    </row>
    <row r="705" spans="1:15" s="2" customFormat="1" ht="15" x14ac:dyDescent="0.4">
      <c r="A705" s="2" t="s">
        <v>146</v>
      </c>
      <c r="B705" s="2" t="s">
        <v>427</v>
      </c>
      <c r="L705" s="2" t="s">
        <v>118</v>
      </c>
    </row>
    <row r="706" spans="1:15" x14ac:dyDescent="0.25">
      <c r="A706" s="1" t="str">
        <f t="array" ref="A706:A713">R_CODE&amp;" total"</f>
        <v>EU total</v>
      </c>
      <c r="B706" s="37">
        <f t="array" ref="B706:K713">pcdt*YAGG</f>
        <v>377.41225812440501</v>
      </c>
      <c r="C706" s="37">
        <v>-265764.39119550254</v>
      </c>
      <c r="D706" s="37">
        <v>-280985.41700263578</v>
      </c>
      <c r="E706" s="37">
        <v>-111546.3485316201</v>
      </c>
      <c r="F706" s="37">
        <v>113128.4195847396</v>
      </c>
      <c r="G706" s="37">
        <v>215198.18507495115</v>
      </c>
      <c r="H706" s="37">
        <v>213368.28224971672</v>
      </c>
      <c r="I706" s="37">
        <v>204542.55374458959</v>
      </c>
      <c r="J706" s="37">
        <v>9409.7314396406327</v>
      </c>
      <c r="K706" s="37">
        <v>340.12265955982775</v>
      </c>
      <c r="L706" s="54">
        <f t="shared" ref="L706:L713" si="60">SUM(B706:K706)</f>
        <v>98068.550281563483</v>
      </c>
      <c r="M706" s="43" t="str">
        <f t="shared" ref="M706:M715" si="61">CURRENCY_NAME</f>
        <v>$million</v>
      </c>
    </row>
    <row r="707" spans="1:15" x14ac:dyDescent="0.25">
      <c r="A707" s="1" t="str">
        <v>US total</v>
      </c>
      <c r="B707" s="38">
        <v>-1295760.4075749847</v>
      </c>
      <c r="C707" s="38">
        <v>-875982.96245379071</v>
      </c>
      <c r="D707" s="38">
        <v>-506472.22068834538</v>
      </c>
      <c r="E707" s="38">
        <v>-81718.501828931257</v>
      </c>
      <c r="F707" s="38">
        <v>307295.03227075224</v>
      </c>
      <c r="G707" s="38">
        <v>448675.38312990428</v>
      </c>
      <c r="H707" s="38">
        <v>406051.39450502908</v>
      </c>
      <c r="I707" s="38">
        <v>161817.9471706468</v>
      </c>
      <c r="J707" s="38">
        <v>18786.051425183468</v>
      </c>
      <c r="K707" s="38">
        <v>604.64842285502777</v>
      </c>
      <c r="L707" s="54">
        <f t="shared" si="60"/>
        <v>-1416703.6356216809</v>
      </c>
      <c r="M707" s="43" t="str">
        <f t="shared" si="61"/>
        <v>$million</v>
      </c>
    </row>
    <row r="708" spans="1:15" x14ac:dyDescent="0.25">
      <c r="A708" s="1" t="str">
        <v>OT total</v>
      </c>
      <c r="B708" s="38">
        <v>466.48300635749433</v>
      </c>
      <c r="C708" s="38">
        <v>224.40941833947215</v>
      </c>
      <c r="D708" s="38">
        <v>165.27625505541454</v>
      </c>
      <c r="E708" s="38">
        <v>115.87737862161227</v>
      </c>
      <c r="F708" s="38">
        <v>81.156291778540819</v>
      </c>
      <c r="G708" s="38">
        <v>-49111.057549415942</v>
      </c>
      <c r="H708" s="38">
        <v>-32503.050122828965</v>
      </c>
      <c r="I708" s="38">
        <v>-47295.213195797762</v>
      </c>
      <c r="J708" s="38">
        <v>5.3133009695142066</v>
      </c>
      <c r="K708" s="38">
        <v>-53.327999965458652</v>
      </c>
      <c r="L708" s="54">
        <f t="shared" si="60"/>
        <v>-127904.13321688608</v>
      </c>
      <c r="M708" s="43" t="str">
        <f t="shared" si="61"/>
        <v>$million</v>
      </c>
    </row>
    <row r="709" spans="1:15" x14ac:dyDescent="0.25">
      <c r="A709" s="1" t="str">
        <v>EE total</v>
      </c>
      <c r="B709" s="38">
        <v>299.71307722382119</v>
      </c>
      <c r="C709" s="38">
        <v>145.3820619905926</v>
      </c>
      <c r="D709" s="38">
        <v>108.70825831756802</v>
      </c>
      <c r="E709" s="38">
        <v>77.232800659252149</v>
      </c>
      <c r="F709" s="38">
        <v>54.848667973633809</v>
      </c>
      <c r="G709" s="38">
        <v>-19805.631559398229</v>
      </c>
      <c r="H709" s="38">
        <v>-28359.031841052059</v>
      </c>
      <c r="I709" s="38">
        <v>-40949.441436675326</v>
      </c>
      <c r="J709" s="38">
        <v>3.475713552457111</v>
      </c>
      <c r="K709" s="38">
        <v>-50.344469929605296</v>
      </c>
      <c r="L709" s="54">
        <f t="shared" si="60"/>
        <v>-88475.088727337905</v>
      </c>
      <c r="M709" s="43" t="str">
        <f t="shared" si="61"/>
        <v>$million</v>
      </c>
    </row>
    <row r="710" spans="1:15" x14ac:dyDescent="0.25">
      <c r="A710" s="1" t="str">
        <v>CA total</v>
      </c>
      <c r="B710" s="38">
        <v>428.15844935502457</v>
      </c>
      <c r="C710" s="38">
        <v>207.06102142796254</v>
      </c>
      <c r="D710" s="38">
        <v>156.72954983461028</v>
      </c>
      <c r="E710" s="38">
        <v>-125847.62721443533</v>
      </c>
      <c r="F710" s="38">
        <v>7492.2811348439072</v>
      </c>
      <c r="G710" s="38">
        <v>138801.0142167953</v>
      </c>
      <c r="H710" s="38">
        <v>274823.12786406995</v>
      </c>
      <c r="I710" s="38">
        <v>327223.07947252248</v>
      </c>
      <c r="J710" s="38">
        <v>4855.2961815803083</v>
      </c>
      <c r="K710" s="38">
        <v>452.63303283226588</v>
      </c>
      <c r="L710" s="54">
        <f t="shared" si="60"/>
        <v>628591.75370882649</v>
      </c>
      <c r="M710" s="43" t="str">
        <f t="shared" si="61"/>
        <v>$million</v>
      </c>
    </row>
    <row r="711" spans="1:15" x14ac:dyDescent="0.25">
      <c r="A711" s="1" t="str">
        <v>IA total</v>
      </c>
      <c r="B711" s="38">
        <v>528.77441582149027</v>
      </c>
      <c r="C711" s="38">
        <v>255.72671330912891</v>
      </c>
      <c r="D711" s="38">
        <v>193.58272841763289</v>
      </c>
      <c r="E711" s="38">
        <v>-206953.78259720819</v>
      </c>
      <c r="F711" s="38">
        <v>55245.829556391043</v>
      </c>
      <c r="G711" s="38">
        <v>319440.23558982537</v>
      </c>
      <c r="H711" s="38">
        <v>569857.49908659025</v>
      </c>
      <c r="I711" s="38">
        <v>676120.9206600195</v>
      </c>
      <c r="J711" s="38">
        <v>12089.650683193484</v>
      </c>
      <c r="K711" s="38">
        <v>925.90863802114973</v>
      </c>
      <c r="L711" s="54">
        <f t="shared" si="60"/>
        <v>1427704.3454743808</v>
      </c>
      <c r="M711" s="43" t="str">
        <f t="shared" si="61"/>
        <v>$million</v>
      </c>
    </row>
    <row r="712" spans="1:15" x14ac:dyDescent="0.25">
      <c r="A712" s="1" t="str">
        <v>AF total</v>
      </c>
      <c r="B712" s="38">
        <v>527.09254847661452</v>
      </c>
      <c r="C712" s="38">
        <v>254.11175618280259</v>
      </c>
      <c r="D712" s="38">
        <v>192.97044988822759</v>
      </c>
      <c r="E712" s="38">
        <v>-118948.79061889084</v>
      </c>
      <c r="F712" s="38">
        <v>45405.30998744868</v>
      </c>
      <c r="G712" s="38">
        <v>241970.61279194598</v>
      </c>
      <c r="H712" s="38">
        <v>386803.71934821666</v>
      </c>
      <c r="I712" s="38">
        <v>410753.50411194022</v>
      </c>
      <c r="J712" s="38">
        <v>8173.9384077817831</v>
      </c>
      <c r="K712" s="38">
        <v>578.7647749069547</v>
      </c>
      <c r="L712" s="54">
        <f t="shared" si="60"/>
        <v>975711.23355789715</v>
      </c>
      <c r="M712" s="43" t="str">
        <f t="shared" si="61"/>
        <v>$million</v>
      </c>
    </row>
    <row r="713" spans="1:15" x14ac:dyDescent="0.25">
      <c r="A713" s="1" t="str">
        <v>LA total</v>
      </c>
      <c r="B713" s="38">
        <v>297.8431735109437</v>
      </c>
      <c r="C713" s="38">
        <v>143.5768643060826</v>
      </c>
      <c r="D713" s="38">
        <v>108.99709572033251</v>
      </c>
      <c r="E713" s="38">
        <v>-101503.74597317545</v>
      </c>
      <c r="F713" s="38">
        <v>-15195.042433860199</v>
      </c>
      <c r="G713" s="38">
        <v>73865.225462345843</v>
      </c>
      <c r="H713" s="38">
        <v>156373.3372086258</v>
      </c>
      <c r="I713" s="38">
        <v>156056.10853825911</v>
      </c>
      <c r="J713" s="38">
        <v>632.35210597400612</v>
      </c>
      <c r="K713" s="38">
        <v>207.88356654223955</v>
      </c>
      <c r="L713" s="54">
        <f t="shared" si="60"/>
        <v>270986.53560824867</v>
      </c>
      <c r="M713" s="43" t="str">
        <f t="shared" si="61"/>
        <v>$million</v>
      </c>
    </row>
    <row r="714" spans="1:15" ht="13" x14ac:dyDescent="0.3">
      <c r="A714" s="2" t="s">
        <v>313</v>
      </c>
      <c r="B714" s="54">
        <f t="shared" ref="B714:L714" si="62">SUM(B706:B713)</f>
        <v>-1292834.930646115</v>
      </c>
      <c r="C714" s="54">
        <f t="shared" si="62"/>
        <v>-1140517.0858137375</v>
      </c>
      <c r="D714" s="54">
        <f t="shared" si="62"/>
        <v>-786531.3733537473</v>
      </c>
      <c r="E714" s="54">
        <f t="shared" si="62"/>
        <v>-746325.68658498023</v>
      </c>
      <c r="F714" s="54">
        <f t="shared" si="62"/>
        <v>513507.83506006753</v>
      </c>
      <c r="G714" s="54">
        <f t="shared" si="62"/>
        <v>1369033.9671569536</v>
      </c>
      <c r="H714" s="54">
        <f t="shared" si="62"/>
        <v>1946415.2782983675</v>
      </c>
      <c r="I714" s="54">
        <f t="shared" si="62"/>
        <v>1848269.4590655048</v>
      </c>
      <c r="J714" s="54">
        <f t="shared" si="62"/>
        <v>53955.809257875655</v>
      </c>
      <c r="K714" s="54">
        <f t="shared" si="62"/>
        <v>3006.2886248224013</v>
      </c>
      <c r="L714" s="54">
        <f t="shared" si="62"/>
        <v>1767979.5610650117</v>
      </c>
      <c r="M714" s="43" t="str">
        <f t="shared" si="61"/>
        <v>$million</v>
      </c>
    </row>
    <row r="715" spans="1:15" ht="13.5" thickBot="1" x14ac:dyDescent="0.35">
      <c r="A715" s="2" t="s">
        <v>428</v>
      </c>
      <c r="L715" s="56">
        <f>SUM(B714:K714)</f>
        <v>1767979.5610650117</v>
      </c>
      <c r="M715" s="43" t="str">
        <f t="shared" si="61"/>
        <v>$million</v>
      </c>
      <c r="O715" s="83"/>
    </row>
    <row r="716" spans="1:15" ht="13" thickTop="1" x14ac:dyDescent="0.25"/>
  </sheetData>
  <pageMargins left="0.75" right="0.75" top="1" bottom="1" header="0.5" footer="0.5"/>
  <pageSetup paperSize="9" orientation="portrait" horizontalDpi="4294967293"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716"/>
  <sheetViews>
    <sheetView workbookViewId="0"/>
  </sheetViews>
  <sheetFormatPr defaultRowHeight="12.5" x14ac:dyDescent="0.25"/>
  <cols>
    <col min="1" max="1" width="21.54296875" bestFit="1" customWidth="1"/>
    <col min="2" max="6" width="10.1796875" bestFit="1" customWidth="1"/>
    <col min="7" max="7" width="9" customWidth="1"/>
    <col min="8" max="11" width="10.1796875" bestFit="1" customWidth="1"/>
    <col min="12" max="12" width="10.7265625" customWidth="1"/>
    <col min="13" max="13" width="7.26953125" bestFit="1" customWidth="1"/>
  </cols>
  <sheetData>
    <row r="1" spans="1:5" ht="13" x14ac:dyDescent="0.3">
      <c r="A1" s="2" t="str">
        <f>MODEL_NAME</f>
        <v>PAGE09</v>
      </c>
      <c r="B1" t="s">
        <v>44</v>
      </c>
      <c r="C1" s="71">
        <f>VERSION</f>
        <v>1.7</v>
      </c>
    </row>
    <row r="2" spans="1:5" s="79" customFormat="1" x14ac:dyDescent="0.25">
      <c r="A2" s="43" t="str">
        <f>"Uncertainty in BAU emissions in "&amp;Y_LAST</f>
        <v>Uncertainty in BAU emissions in 2300</v>
      </c>
      <c r="B2" s="43"/>
      <c r="C2" s="43"/>
      <c r="D2" s="43"/>
      <c r="E2" s="43"/>
    </row>
    <row r="3" spans="1:5" s="12" customFormat="1" x14ac:dyDescent="0.25">
      <c r="A3" s="43"/>
      <c r="B3" s="99" t="s">
        <v>14</v>
      </c>
      <c r="C3" s="99" t="s">
        <v>15</v>
      </c>
      <c r="D3" s="99" t="s">
        <v>182</v>
      </c>
      <c r="E3" s="43" t="str">
        <f>GLIN_NAME</f>
        <v>Lin</v>
      </c>
    </row>
    <row r="4" spans="1:5" s="12" customFormat="1" ht="15.5" x14ac:dyDescent="0.4">
      <c r="A4" s="43"/>
      <c r="B4" s="43" t="s">
        <v>129</v>
      </c>
      <c r="C4" s="43" t="s">
        <v>130</v>
      </c>
      <c r="D4" s="43" t="s">
        <v>130</v>
      </c>
      <c r="E4" s="43" t="s">
        <v>160</v>
      </c>
    </row>
    <row r="5" spans="1:5" s="12" customFormat="1" x14ac:dyDescent="0.25">
      <c r="A5" s="22" t="str">
        <f t="array" ref="A5:A12">R_CODE</f>
        <v>EU</v>
      </c>
      <c r="B5" s="35">
        <f>'Preventative costs A'!B5-'Preventative costs B'!B5</f>
        <v>0</v>
      </c>
      <c r="C5" s="35">
        <f>'Preventative costs A'!C5-'Preventative costs B'!C5</f>
        <v>0</v>
      </c>
      <c r="D5" s="35">
        <f>'Preventative costs A'!D5-'Preventative costs B'!D5</f>
        <v>0</v>
      </c>
      <c r="E5" s="35">
        <f>'Preventative costs A'!E5-'Preventative costs B'!E5</f>
        <v>0</v>
      </c>
    </row>
    <row r="6" spans="1:5" s="12" customFormat="1" x14ac:dyDescent="0.25">
      <c r="A6" s="22" t="str">
        <v>US</v>
      </c>
      <c r="B6" s="35">
        <f>'Preventative costs A'!B6-'Preventative costs B'!B6</f>
        <v>0</v>
      </c>
      <c r="C6" s="35">
        <f>'Preventative costs A'!C6-'Preventative costs B'!C6</f>
        <v>0</v>
      </c>
      <c r="D6" s="35">
        <f>'Preventative costs A'!D6-'Preventative costs B'!D6</f>
        <v>0</v>
      </c>
      <c r="E6" s="35">
        <f>'Preventative costs A'!E6-'Preventative costs B'!E6</f>
        <v>0</v>
      </c>
    </row>
    <row r="7" spans="1:5" s="12" customFormat="1" x14ac:dyDescent="0.25">
      <c r="A7" s="22" t="str">
        <v>OT</v>
      </c>
      <c r="B7" s="35">
        <f>'Preventative costs A'!B7-'Preventative costs B'!B7</f>
        <v>0</v>
      </c>
      <c r="C7" s="35">
        <f>'Preventative costs A'!C7-'Preventative costs B'!C7</f>
        <v>0</v>
      </c>
      <c r="D7" s="35">
        <f>'Preventative costs A'!D7-'Preventative costs B'!D7</f>
        <v>0</v>
      </c>
      <c r="E7" s="35">
        <f>'Preventative costs A'!E7-'Preventative costs B'!E7</f>
        <v>0</v>
      </c>
    </row>
    <row r="8" spans="1:5" s="12" customFormat="1" x14ac:dyDescent="0.25">
      <c r="A8" s="22" t="str">
        <v>EE</v>
      </c>
      <c r="B8" s="35">
        <f>'Preventative costs A'!B8-'Preventative costs B'!B8</f>
        <v>0</v>
      </c>
      <c r="C8" s="35">
        <f>'Preventative costs A'!C8-'Preventative costs B'!C8</f>
        <v>0</v>
      </c>
      <c r="D8" s="35">
        <f>'Preventative costs A'!D8-'Preventative costs B'!D8</f>
        <v>0</v>
      </c>
      <c r="E8" s="35">
        <f>'Preventative costs A'!E8-'Preventative costs B'!E8</f>
        <v>0</v>
      </c>
    </row>
    <row r="9" spans="1:5" s="12" customFormat="1" x14ac:dyDescent="0.25">
      <c r="A9" s="22" t="str">
        <v>CA</v>
      </c>
      <c r="B9" s="35">
        <f>'Preventative costs A'!B9-'Preventative costs B'!B9</f>
        <v>0</v>
      </c>
      <c r="C9" s="35">
        <f>'Preventative costs A'!C9-'Preventative costs B'!C9</f>
        <v>0</v>
      </c>
      <c r="D9" s="35">
        <f>'Preventative costs A'!D9-'Preventative costs B'!D9</f>
        <v>0</v>
      </c>
      <c r="E9" s="35">
        <f>'Preventative costs A'!E9-'Preventative costs B'!E9</f>
        <v>0</v>
      </c>
    </row>
    <row r="10" spans="1:5" s="12" customFormat="1" x14ac:dyDescent="0.25">
      <c r="A10" s="22" t="str">
        <v>IA</v>
      </c>
      <c r="B10" s="35">
        <f>'Preventative costs A'!B10-'Preventative costs B'!B10</f>
        <v>0</v>
      </c>
      <c r="C10" s="35">
        <f>'Preventative costs A'!C10-'Preventative costs B'!C10</f>
        <v>0</v>
      </c>
      <c r="D10" s="35">
        <f>'Preventative costs A'!D10-'Preventative costs B'!D10</f>
        <v>0</v>
      </c>
      <c r="E10" s="35">
        <f>'Preventative costs A'!E10-'Preventative costs B'!E10</f>
        <v>0</v>
      </c>
    </row>
    <row r="11" spans="1:5" s="12" customFormat="1" x14ac:dyDescent="0.25">
      <c r="A11" s="22" t="str">
        <v>AF</v>
      </c>
      <c r="B11" s="35">
        <f>'Preventative costs A'!B11-'Preventative costs B'!B11</f>
        <v>0</v>
      </c>
      <c r="C11" s="35">
        <f>'Preventative costs A'!C11-'Preventative costs B'!C11</f>
        <v>0</v>
      </c>
      <c r="D11" s="35">
        <f>'Preventative costs A'!D11-'Preventative costs B'!D11</f>
        <v>0</v>
      </c>
      <c r="E11" s="35">
        <f>'Preventative costs A'!E11-'Preventative costs B'!E11</f>
        <v>0</v>
      </c>
    </row>
    <row r="12" spans="1:5" s="12" customFormat="1" x14ac:dyDescent="0.25">
      <c r="A12" s="22" t="str">
        <v>LA</v>
      </c>
      <c r="B12" s="35">
        <f>'Preventative costs A'!B12-'Preventative costs B'!B12</f>
        <v>0</v>
      </c>
      <c r="C12" s="35">
        <f>'Preventative costs A'!C12-'Preventative costs B'!C12</f>
        <v>0</v>
      </c>
      <c r="D12" s="35">
        <f>'Preventative costs A'!D12-'Preventative costs B'!D12</f>
        <v>0</v>
      </c>
      <c r="E12" s="35">
        <f>'Preventative costs A'!E12-'Preventative costs B'!E12</f>
        <v>0</v>
      </c>
    </row>
    <row r="13" spans="1:5" s="12" customFormat="1" x14ac:dyDescent="0.25">
      <c r="A13" s="43"/>
      <c r="B13" s="43" t="str">
        <f>'Library data'!$G$70</f>
        <v>%</v>
      </c>
      <c r="C13" s="43" t="str">
        <f>'Library data'!$G$77</f>
        <v>%</v>
      </c>
      <c r="D13" s="43" t="str">
        <f>'Library data'!$G$77</f>
        <v>%</v>
      </c>
      <c r="E13" s="43" t="str">
        <f>'Library data'!$G$77</f>
        <v>%</v>
      </c>
    </row>
    <row r="14" spans="1:5" x14ac:dyDescent="0.25">
      <c r="A14" s="12"/>
      <c r="B14" s="12"/>
      <c r="C14" s="12"/>
      <c r="D14" s="12"/>
      <c r="E14" s="12"/>
    </row>
    <row r="15" spans="1:5" s="79" customFormat="1" x14ac:dyDescent="0.25">
      <c r="A15" s="99" t="s">
        <v>337</v>
      </c>
      <c r="B15" s="43"/>
      <c r="C15" s="43"/>
      <c r="D15" s="43"/>
      <c r="E15" s="43"/>
    </row>
    <row r="16" spans="1:5" s="12" customFormat="1" x14ac:dyDescent="0.25">
      <c r="A16" s="43"/>
      <c r="B16" s="99" t="s">
        <v>14</v>
      </c>
      <c r="C16" s="99" t="s">
        <v>15</v>
      </c>
      <c r="D16" s="99" t="s">
        <v>182</v>
      </c>
      <c r="E16" s="43" t="str">
        <f>GLIN_NAME</f>
        <v>Lin</v>
      </c>
    </row>
    <row r="17" spans="1:5" s="12" customFormat="1" ht="13" x14ac:dyDescent="0.3">
      <c r="A17" s="43"/>
      <c r="B17" s="100" t="s">
        <v>343</v>
      </c>
      <c r="C17" s="100" t="s">
        <v>344</v>
      </c>
      <c r="D17" s="100" t="s">
        <v>345</v>
      </c>
      <c r="E17" s="100" t="s">
        <v>346</v>
      </c>
    </row>
    <row r="18" spans="1:5" s="12" customFormat="1" x14ac:dyDescent="0.25">
      <c r="A18" s="22" t="str">
        <f t="array" ref="A18:A25">R_CODE</f>
        <v>EU</v>
      </c>
      <c r="B18" s="35">
        <f>'Preventative costs A'!B18-'Preventative costs B'!B18</f>
        <v>0</v>
      </c>
      <c r="C18" s="35">
        <f>'Preventative costs A'!C18-'Preventative costs B'!C18</f>
        <v>0</v>
      </c>
      <c r="D18" s="35">
        <f>'Preventative costs A'!D18-'Preventative costs B'!D18</f>
        <v>0</v>
      </c>
      <c r="E18" s="35">
        <f>'Preventative costs A'!E18-'Preventative costs B'!E18</f>
        <v>0</v>
      </c>
    </row>
    <row r="19" spans="1:5" s="12" customFormat="1" x14ac:dyDescent="0.25">
      <c r="A19" s="22" t="str">
        <v>US</v>
      </c>
      <c r="B19" s="35">
        <f>'Preventative costs A'!B19-'Preventative costs B'!B19</f>
        <v>0</v>
      </c>
      <c r="C19" s="35">
        <f>'Preventative costs A'!C19-'Preventative costs B'!C19</f>
        <v>0</v>
      </c>
      <c r="D19" s="35">
        <f>'Preventative costs A'!D19-'Preventative costs B'!D19</f>
        <v>0</v>
      </c>
      <c r="E19" s="35">
        <f>'Preventative costs A'!E19-'Preventative costs B'!E19</f>
        <v>0</v>
      </c>
    </row>
    <row r="20" spans="1:5" s="12" customFormat="1" x14ac:dyDescent="0.25">
      <c r="A20" s="22" t="str">
        <v>OT</v>
      </c>
      <c r="B20" s="35">
        <f>'Preventative costs A'!B20-'Preventative costs B'!B20</f>
        <v>0</v>
      </c>
      <c r="C20" s="35">
        <f>'Preventative costs A'!C20-'Preventative costs B'!C20</f>
        <v>0</v>
      </c>
      <c r="D20" s="35">
        <f>'Preventative costs A'!D20-'Preventative costs B'!D20</f>
        <v>0</v>
      </c>
      <c r="E20" s="35">
        <f>'Preventative costs A'!E20-'Preventative costs B'!E20</f>
        <v>0</v>
      </c>
    </row>
    <row r="21" spans="1:5" s="12" customFormat="1" x14ac:dyDescent="0.25">
      <c r="A21" s="22" t="str">
        <v>EE</v>
      </c>
      <c r="B21" s="35">
        <f>'Preventative costs A'!B21-'Preventative costs B'!B21</f>
        <v>0</v>
      </c>
      <c r="C21" s="35">
        <f>'Preventative costs A'!C21-'Preventative costs B'!C21</f>
        <v>0</v>
      </c>
      <c r="D21" s="35">
        <f>'Preventative costs A'!D21-'Preventative costs B'!D21</f>
        <v>0</v>
      </c>
      <c r="E21" s="35">
        <f>'Preventative costs A'!E21-'Preventative costs B'!E21</f>
        <v>0</v>
      </c>
    </row>
    <row r="22" spans="1:5" s="12" customFormat="1" x14ac:dyDescent="0.25">
      <c r="A22" s="22" t="str">
        <v>CA</v>
      </c>
      <c r="B22" s="35">
        <f>'Preventative costs A'!B22-'Preventative costs B'!B22</f>
        <v>0</v>
      </c>
      <c r="C22" s="35">
        <f>'Preventative costs A'!C22-'Preventative costs B'!C22</f>
        <v>0</v>
      </c>
      <c r="D22" s="35">
        <f>'Preventative costs A'!D22-'Preventative costs B'!D22</f>
        <v>0</v>
      </c>
      <c r="E22" s="35">
        <f>'Preventative costs A'!E22-'Preventative costs B'!E22</f>
        <v>0</v>
      </c>
    </row>
    <row r="23" spans="1:5" s="12" customFormat="1" x14ac:dyDescent="0.25">
      <c r="A23" s="22" t="str">
        <v>IA</v>
      </c>
      <c r="B23" s="35">
        <f>'Preventative costs A'!B23-'Preventative costs B'!B23</f>
        <v>0</v>
      </c>
      <c r="C23" s="35">
        <f>'Preventative costs A'!C23-'Preventative costs B'!C23</f>
        <v>0</v>
      </c>
      <c r="D23" s="35">
        <f>'Preventative costs A'!D23-'Preventative costs B'!D23</f>
        <v>0</v>
      </c>
      <c r="E23" s="35">
        <f>'Preventative costs A'!E23-'Preventative costs B'!E23</f>
        <v>0</v>
      </c>
    </row>
    <row r="24" spans="1:5" s="12" customFormat="1" x14ac:dyDescent="0.25">
      <c r="A24" s="22" t="str">
        <v>AF</v>
      </c>
      <c r="B24" s="35">
        <f>'Preventative costs A'!B24-'Preventative costs B'!B24</f>
        <v>0</v>
      </c>
      <c r="C24" s="35">
        <f>'Preventative costs A'!C24-'Preventative costs B'!C24</f>
        <v>0</v>
      </c>
      <c r="D24" s="35">
        <f>'Preventative costs A'!D24-'Preventative costs B'!D24</f>
        <v>0</v>
      </c>
      <c r="E24" s="35">
        <f>'Preventative costs A'!E24-'Preventative costs B'!E24</f>
        <v>0</v>
      </c>
    </row>
    <row r="25" spans="1:5" s="12" customFormat="1" x14ac:dyDescent="0.25">
      <c r="A25" s="22" t="str">
        <v>LA</v>
      </c>
      <c r="B25" s="35">
        <f>'Preventative costs A'!B25-'Preventative costs B'!B25</f>
        <v>0</v>
      </c>
      <c r="C25" s="35">
        <f>'Preventative costs A'!C25-'Preventative costs B'!C25</f>
        <v>0</v>
      </c>
      <c r="D25" s="35">
        <f>'Preventative costs A'!D25-'Preventative costs B'!D25</f>
        <v>0</v>
      </c>
      <c r="E25" s="35">
        <f>'Preventative costs A'!E25-'Preventative costs B'!E25</f>
        <v>0</v>
      </c>
    </row>
    <row r="26" spans="1:5" s="12" customFormat="1" x14ac:dyDescent="0.25">
      <c r="A26" s="43"/>
      <c r="B26" s="43" t="str">
        <f>'Library data'!$G$70</f>
        <v>%</v>
      </c>
      <c r="C26" s="43" t="str">
        <f>'Library data'!$G$77</f>
        <v>%</v>
      </c>
      <c r="D26" s="43" t="str">
        <f>'Library data'!$G$77</f>
        <v>%</v>
      </c>
      <c r="E26" s="43" t="str">
        <f>'Library data'!$G$77</f>
        <v>%</v>
      </c>
    </row>
    <row r="27" spans="1:5" x14ac:dyDescent="0.25">
      <c r="A27" s="12"/>
      <c r="B27" s="12"/>
      <c r="C27" s="12"/>
      <c r="D27" s="12"/>
      <c r="E27" s="12"/>
    </row>
    <row r="28" spans="1:5" s="79" customFormat="1" x14ac:dyDescent="0.25">
      <c r="A28" s="99" t="s">
        <v>338</v>
      </c>
      <c r="B28" s="43"/>
      <c r="C28" s="43"/>
      <c r="D28" s="43"/>
      <c r="E28" s="43"/>
    </row>
    <row r="29" spans="1:5" s="12" customFormat="1" x14ac:dyDescent="0.25">
      <c r="A29" s="43"/>
      <c r="B29" s="99" t="s">
        <v>14</v>
      </c>
      <c r="C29" s="99" t="s">
        <v>15</v>
      </c>
      <c r="D29" s="99" t="s">
        <v>182</v>
      </c>
      <c r="E29" s="43" t="str">
        <f>GLIN_NAME</f>
        <v>Lin</v>
      </c>
    </row>
    <row r="30" spans="1:5" s="12" customFormat="1" ht="13.5" x14ac:dyDescent="0.35">
      <c r="A30" s="43"/>
      <c r="B30" s="101" t="s">
        <v>339</v>
      </c>
      <c r="C30" s="101" t="s">
        <v>340</v>
      </c>
      <c r="D30" s="101" t="s">
        <v>341</v>
      </c>
      <c r="E30" s="101" t="s">
        <v>342</v>
      </c>
    </row>
    <row r="31" spans="1:5" s="12" customFormat="1" x14ac:dyDescent="0.25">
      <c r="A31" s="22" t="str">
        <f t="array" ref="A31:A38">R_CODE</f>
        <v>EU</v>
      </c>
      <c r="B31" s="35">
        <f>'Preventative costs A'!B31-'Preventative costs B'!B31</f>
        <v>0</v>
      </c>
      <c r="C31" s="35">
        <f>'Preventative costs A'!C31-'Preventative costs B'!C31</f>
        <v>0</v>
      </c>
      <c r="D31" s="35">
        <f>'Preventative costs A'!D31-'Preventative costs B'!D31</f>
        <v>0</v>
      </c>
      <c r="E31" s="35">
        <f>'Preventative costs A'!E31-'Preventative costs B'!E31</f>
        <v>0</v>
      </c>
    </row>
    <row r="32" spans="1:5" s="12" customFormat="1" x14ac:dyDescent="0.25">
      <c r="A32" s="22" t="str">
        <v>US</v>
      </c>
      <c r="B32" s="35">
        <f>'Preventative costs A'!B32-'Preventative costs B'!B32</f>
        <v>0</v>
      </c>
      <c r="C32" s="35">
        <f>'Preventative costs A'!C32-'Preventative costs B'!C32</f>
        <v>0</v>
      </c>
      <c r="D32" s="35">
        <f>'Preventative costs A'!D32-'Preventative costs B'!D32</f>
        <v>0</v>
      </c>
      <c r="E32" s="35">
        <f>'Preventative costs A'!E32-'Preventative costs B'!E32</f>
        <v>0</v>
      </c>
    </row>
    <row r="33" spans="1:13" s="12" customFormat="1" x14ac:dyDescent="0.25">
      <c r="A33" s="22" t="str">
        <v>OT</v>
      </c>
      <c r="B33" s="35">
        <f>'Preventative costs A'!B33-'Preventative costs B'!B33</f>
        <v>0</v>
      </c>
      <c r="C33" s="35">
        <f>'Preventative costs A'!C33-'Preventative costs B'!C33</f>
        <v>0</v>
      </c>
      <c r="D33" s="35">
        <f>'Preventative costs A'!D33-'Preventative costs B'!D33</f>
        <v>0</v>
      </c>
      <c r="E33" s="35">
        <f>'Preventative costs A'!E33-'Preventative costs B'!E33</f>
        <v>0</v>
      </c>
    </row>
    <row r="34" spans="1:13" s="12" customFormat="1" x14ac:dyDescent="0.25">
      <c r="A34" s="22" t="str">
        <v>EE</v>
      </c>
      <c r="B34" s="35">
        <f>'Preventative costs A'!B34-'Preventative costs B'!B34</f>
        <v>0</v>
      </c>
      <c r="C34" s="35">
        <f>'Preventative costs A'!C34-'Preventative costs B'!C34</f>
        <v>0</v>
      </c>
      <c r="D34" s="35">
        <f>'Preventative costs A'!D34-'Preventative costs B'!D34</f>
        <v>0</v>
      </c>
      <c r="E34" s="35">
        <f>'Preventative costs A'!E34-'Preventative costs B'!E34</f>
        <v>0</v>
      </c>
    </row>
    <row r="35" spans="1:13" s="12" customFormat="1" x14ac:dyDescent="0.25">
      <c r="A35" s="22" t="str">
        <v>CA</v>
      </c>
      <c r="B35" s="35">
        <f>'Preventative costs A'!B35-'Preventative costs B'!B35</f>
        <v>0</v>
      </c>
      <c r="C35" s="35">
        <f>'Preventative costs A'!C35-'Preventative costs B'!C35</f>
        <v>0</v>
      </c>
      <c r="D35" s="35">
        <f>'Preventative costs A'!D35-'Preventative costs B'!D35</f>
        <v>0</v>
      </c>
      <c r="E35" s="35">
        <f>'Preventative costs A'!E35-'Preventative costs B'!E35</f>
        <v>0</v>
      </c>
    </row>
    <row r="36" spans="1:13" s="12" customFormat="1" x14ac:dyDescent="0.25">
      <c r="A36" s="22" t="str">
        <v>IA</v>
      </c>
      <c r="B36" s="35">
        <f>'Preventative costs A'!B36-'Preventative costs B'!B36</f>
        <v>0</v>
      </c>
      <c r="C36" s="35">
        <f>'Preventative costs A'!C36-'Preventative costs B'!C36</f>
        <v>0</v>
      </c>
      <c r="D36" s="35">
        <f>'Preventative costs A'!D36-'Preventative costs B'!D36</f>
        <v>0</v>
      </c>
      <c r="E36" s="35">
        <f>'Preventative costs A'!E36-'Preventative costs B'!E36</f>
        <v>0</v>
      </c>
    </row>
    <row r="37" spans="1:13" s="12" customFormat="1" x14ac:dyDescent="0.25">
      <c r="A37" s="22" t="str">
        <v>AF</v>
      </c>
      <c r="B37" s="35">
        <f>'Preventative costs A'!B37-'Preventative costs B'!B37</f>
        <v>0</v>
      </c>
      <c r="C37" s="35">
        <f>'Preventative costs A'!C37-'Preventative costs B'!C37</f>
        <v>0</v>
      </c>
      <c r="D37" s="35">
        <f>'Preventative costs A'!D37-'Preventative costs B'!D37</f>
        <v>0</v>
      </c>
      <c r="E37" s="35">
        <f>'Preventative costs A'!E37-'Preventative costs B'!E37</f>
        <v>0</v>
      </c>
    </row>
    <row r="38" spans="1:13" s="12" customFormat="1" x14ac:dyDescent="0.25">
      <c r="A38" s="22" t="str">
        <v>LA</v>
      </c>
      <c r="B38" s="35">
        <f>'Preventative costs A'!B38-'Preventative costs B'!B38</f>
        <v>0</v>
      </c>
      <c r="C38" s="35">
        <f>'Preventative costs A'!C38-'Preventative costs B'!C38</f>
        <v>0</v>
      </c>
      <c r="D38" s="35">
        <f>'Preventative costs A'!D38-'Preventative costs B'!D38</f>
        <v>0</v>
      </c>
      <c r="E38" s="35">
        <f>'Preventative costs A'!E38-'Preventative costs B'!E38</f>
        <v>0</v>
      </c>
    </row>
    <row r="39" spans="1:13" s="12" customFormat="1" x14ac:dyDescent="0.25">
      <c r="A39" s="43"/>
      <c r="B39" s="43" t="str">
        <f>CURRENCY_NAME&amp;" per "&amp;EMIT_NAME</f>
        <v>$million per Mtonne</v>
      </c>
      <c r="C39" s="43" t="str">
        <f>CURRENCY_NAME&amp;" per "&amp;EMIT_NAME</f>
        <v>$million per Mtonne</v>
      </c>
      <c r="D39" s="43" t="str">
        <f>CURRENCY_NAME&amp;" per "&amp;EMIT_NAME</f>
        <v>$million per Mtonne</v>
      </c>
      <c r="E39" s="43" t="str">
        <f>CURRENCY_NAME&amp;" per "&amp;EMIT_NAME</f>
        <v>$million per Mtonne</v>
      </c>
    </row>
    <row r="40" spans="1:13" s="12" customFormat="1" x14ac:dyDescent="0.25">
      <c r="A40" s="43"/>
      <c r="B40" s="43"/>
      <c r="C40" s="43"/>
      <c r="D40" s="43"/>
      <c r="E40" s="43"/>
    </row>
    <row r="41" spans="1:13" x14ac:dyDescent="0.25">
      <c r="B41">
        <f t="array" ref="B41:K41">Y</f>
        <v>2010</v>
      </c>
      <c r="C41">
        <v>2020</v>
      </c>
      <c r="D41">
        <v>2030</v>
      </c>
      <c r="E41">
        <v>2040</v>
      </c>
      <c r="F41">
        <v>2050</v>
      </c>
      <c r="G41">
        <v>2060</v>
      </c>
      <c r="H41">
        <v>2080</v>
      </c>
      <c r="I41">
        <v>2100</v>
      </c>
      <c r="J41">
        <v>2200</v>
      </c>
      <c r="K41">
        <v>2300</v>
      </c>
    </row>
    <row r="42" spans="1:13" s="4" customFormat="1" x14ac:dyDescent="0.25">
      <c r="A42" s="4" t="s">
        <v>71</v>
      </c>
      <c r="B42" s="20">
        <f>'Preventative costs A'!B42-'Preventative costs B'!B42</f>
        <v>0</v>
      </c>
      <c r="C42" s="20">
        <f>'Preventative costs A'!C42-'Preventative costs B'!C42</f>
        <v>0</v>
      </c>
      <c r="D42" s="20">
        <f>'Preventative costs A'!D42-'Preventative costs B'!D42</f>
        <v>0</v>
      </c>
      <c r="E42" s="20">
        <f>'Preventative costs A'!E42-'Preventative costs B'!E42</f>
        <v>0</v>
      </c>
      <c r="F42" s="20">
        <f>'Preventative costs A'!F42-'Preventative costs B'!F42</f>
        <v>0</v>
      </c>
      <c r="G42" s="20">
        <f>'Preventative costs A'!G42-'Preventative costs B'!G42</f>
        <v>0</v>
      </c>
      <c r="H42" s="20">
        <f>'Preventative costs A'!H42-'Preventative costs B'!H42</f>
        <v>0</v>
      </c>
      <c r="I42" s="20">
        <f>'Preventative costs A'!I42-'Preventative costs B'!I42</f>
        <v>0</v>
      </c>
      <c r="J42" s="20">
        <f>'Preventative costs A'!J42-'Preventative costs B'!J42</f>
        <v>0</v>
      </c>
      <c r="K42" s="20">
        <f>'Preventative costs A'!K42-'Preventative costs B'!K42</f>
        <v>0</v>
      </c>
      <c r="M42" s="4" t="s">
        <v>47</v>
      </c>
    </row>
    <row r="43" spans="1:13" s="4" customFormat="1" x14ac:dyDescent="0.25">
      <c r="A43" s="4" t="s">
        <v>113</v>
      </c>
      <c r="B43" s="22">
        <f>'Preventative costs A'!B43-'Preventative costs B'!B43</f>
        <v>0</v>
      </c>
      <c r="C43" s="22">
        <f>'Preventative costs A'!C43-'Preventative costs B'!C43</f>
        <v>0</v>
      </c>
      <c r="D43" s="22">
        <f>'Preventative costs A'!D43-'Preventative costs B'!D43</f>
        <v>0</v>
      </c>
      <c r="E43" s="22">
        <f>'Preventative costs A'!E43-'Preventative costs B'!E43</f>
        <v>0</v>
      </c>
      <c r="F43" s="22">
        <f>'Preventative costs A'!F43-'Preventative costs B'!F43</f>
        <v>0</v>
      </c>
      <c r="G43" s="22">
        <f>'Preventative costs A'!G43-'Preventative costs B'!G43</f>
        <v>0</v>
      </c>
      <c r="H43" s="22">
        <f>'Preventative costs A'!H43-'Preventative costs B'!H43</f>
        <v>0</v>
      </c>
      <c r="I43" s="22">
        <f>'Preventative costs A'!I43-'Preventative costs B'!I43</f>
        <v>0</v>
      </c>
      <c r="J43" s="22">
        <f>'Preventative costs A'!J43-'Preventative costs B'!J43</f>
        <v>0</v>
      </c>
      <c r="K43" s="22">
        <f>'Preventative costs A'!K43-'Preventative costs B'!K43</f>
        <v>0</v>
      </c>
    </row>
    <row r="44" spans="1:13" s="4" customFormat="1" x14ac:dyDescent="0.25">
      <c r="A44" s="4" t="s">
        <v>114</v>
      </c>
      <c r="B44" s="22">
        <f>'Preventative costs A'!B44-'Preventative costs B'!B44</f>
        <v>0</v>
      </c>
      <c r="C44" s="22">
        <f>'Preventative costs A'!C44-'Preventative costs B'!C44</f>
        <v>0</v>
      </c>
      <c r="D44" s="22">
        <f>'Preventative costs A'!D44-'Preventative costs B'!D44</f>
        <v>0</v>
      </c>
      <c r="E44" s="22">
        <f>'Preventative costs A'!E44-'Preventative costs B'!E44</f>
        <v>0</v>
      </c>
      <c r="F44" s="22">
        <f>'Preventative costs A'!F44-'Preventative costs B'!F44</f>
        <v>0</v>
      </c>
      <c r="G44" s="22">
        <f>'Preventative costs A'!G44-'Preventative costs B'!G44</f>
        <v>0</v>
      </c>
      <c r="H44" s="22">
        <f>'Preventative costs A'!H44-'Preventative costs B'!H44</f>
        <v>0</v>
      </c>
      <c r="I44" s="22">
        <f>'Preventative costs A'!I44-'Preventative costs B'!I44</f>
        <v>0</v>
      </c>
      <c r="J44" s="22">
        <f>'Preventative costs A'!J44-'Preventative costs B'!J44</f>
        <v>0</v>
      </c>
      <c r="K44" s="22">
        <f>'Preventative costs A'!K44-'Preventative costs B'!K44</f>
        <v>0</v>
      </c>
    </row>
    <row r="45" spans="1:13" s="4" customFormat="1" x14ac:dyDescent="0.25">
      <c r="A45" s="4" t="s">
        <v>112</v>
      </c>
      <c r="B45" s="91">
        <f>'Preventative costs A'!B45-'Preventative costs B'!B45</f>
        <v>0</v>
      </c>
      <c r="C45" s="91">
        <f>'Preventative costs A'!C45-'Preventative costs B'!C45</f>
        <v>0</v>
      </c>
      <c r="D45" s="91">
        <f>'Preventative costs A'!D45-'Preventative costs B'!D45</f>
        <v>0</v>
      </c>
      <c r="E45" s="91">
        <f>'Preventative costs A'!E45-'Preventative costs B'!E45</f>
        <v>0</v>
      </c>
      <c r="F45" s="91">
        <f>'Preventative costs A'!F45-'Preventative costs B'!F45</f>
        <v>0</v>
      </c>
      <c r="G45" s="91">
        <f>'Preventative costs A'!G45-'Preventative costs B'!G45</f>
        <v>0</v>
      </c>
      <c r="H45" s="91">
        <f>'Preventative costs A'!H45-'Preventative costs B'!H45</f>
        <v>0</v>
      </c>
      <c r="I45" s="91">
        <f>'Preventative costs A'!I45-'Preventative costs B'!I45</f>
        <v>0</v>
      </c>
      <c r="J45" s="91">
        <f>'Preventative costs A'!J45-'Preventative costs B'!J45</f>
        <v>0</v>
      </c>
      <c r="K45" s="91">
        <f>'Preventative costs A'!K45-'Preventative costs B'!K45</f>
        <v>0</v>
      </c>
      <c r="M45" s="4" t="s">
        <v>47</v>
      </c>
    </row>
    <row r="46" spans="1:13" ht="16" thickBot="1" x14ac:dyDescent="0.45">
      <c r="A46" t="s">
        <v>131</v>
      </c>
      <c r="B46" s="23">
        <f>'Preventative costs A'!B46-'Preventative costs B'!B46</f>
        <v>0</v>
      </c>
      <c r="C46" s="23">
        <f>'Preventative costs A'!C46-'Preventative costs B'!C46</f>
        <v>0</v>
      </c>
      <c r="D46" s="23">
        <f>'Preventative costs A'!D46-'Preventative costs B'!D46</f>
        <v>0</v>
      </c>
      <c r="E46" s="23">
        <f>'Preventative costs A'!E46-'Preventative costs B'!E46</f>
        <v>0</v>
      </c>
      <c r="F46" s="23">
        <f>'Preventative costs A'!F46-'Preventative costs B'!F46</f>
        <v>0</v>
      </c>
      <c r="G46" s="23">
        <f>'Preventative costs A'!G46-'Preventative costs B'!G46</f>
        <v>0</v>
      </c>
      <c r="H46" s="23">
        <f>'Preventative costs A'!H46-'Preventative costs B'!H46</f>
        <v>0</v>
      </c>
      <c r="I46" s="23">
        <f>'Preventative costs A'!I46-'Preventative costs B'!I46</f>
        <v>0</v>
      </c>
      <c r="J46" s="23">
        <f>'Preventative costs A'!J46-'Preventative costs B'!J46</f>
        <v>0</v>
      </c>
      <c r="K46" s="23">
        <f>'Preventative costs A'!K46-'Preventative costs B'!K46</f>
        <v>0</v>
      </c>
      <c r="M46" t="s">
        <v>47</v>
      </c>
    </row>
    <row r="47" spans="1:13" ht="13" thickTop="1" x14ac:dyDescent="0.25"/>
    <row r="48" spans="1:13" s="2" customFormat="1" ht="15" x14ac:dyDescent="0.4">
      <c r="A48" s="2" t="s">
        <v>132</v>
      </c>
      <c r="B48" s="5" t="s">
        <v>133</v>
      </c>
    </row>
    <row r="49" spans="1:13" s="4" customFormat="1" x14ac:dyDescent="0.25">
      <c r="A49" s="4" t="str">
        <f t="array" ref="A49:A56">R_CODE&amp;" "&amp;'Base data'!$B$11</f>
        <v>EU CO2</v>
      </c>
      <c r="B49" s="20">
        <f>'Preventative costs A'!B49-'Preventative costs B'!B49</f>
        <v>0</v>
      </c>
      <c r="C49" s="20">
        <f>'Preventative costs A'!C49-'Preventative costs B'!C49</f>
        <v>0</v>
      </c>
      <c r="D49" s="20">
        <f>'Preventative costs A'!D49-'Preventative costs B'!D49</f>
        <v>0</v>
      </c>
      <c r="E49" s="20">
        <f>'Preventative costs A'!E49-'Preventative costs B'!E49</f>
        <v>0</v>
      </c>
      <c r="F49" s="20">
        <f>'Preventative costs A'!F49-'Preventative costs B'!F49</f>
        <v>0</v>
      </c>
      <c r="G49" s="20">
        <f>'Preventative costs A'!G49-'Preventative costs B'!G49</f>
        <v>0</v>
      </c>
      <c r="H49" s="20">
        <f>'Preventative costs A'!H49-'Preventative costs B'!H49</f>
        <v>0</v>
      </c>
      <c r="I49" s="20">
        <f>'Preventative costs A'!I49-'Preventative costs B'!I49</f>
        <v>0</v>
      </c>
      <c r="J49" s="20">
        <f>'Preventative costs A'!J49-'Preventative costs B'!J49</f>
        <v>0</v>
      </c>
      <c r="K49" s="20">
        <f>'Preventative costs A'!K49-'Preventative costs B'!K49</f>
        <v>0</v>
      </c>
      <c r="M49" s="4" t="str">
        <f>'Library data'!$G$70</f>
        <v>%</v>
      </c>
    </row>
    <row r="50" spans="1:13" s="4" customFormat="1" x14ac:dyDescent="0.25">
      <c r="A50" s="4" t="str">
        <v>US CO2</v>
      </c>
      <c r="B50" s="22">
        <f>'Preventative costs A'!B50-'Preventative costs B'!B50</f>
        <v>0</v>
      </c>
      <c r="C50" s="22">
        <f>'Preventative costs A'!C50-'Preventative costs B'!C50</f>
        <v>0</v>
      </c>
      <c r="D50" s="22">
        <f>'Preventative costs A'!D50-'Preventative costs B'!D50</f>
        <v>0</v>
      </c>
      <c r="E50" s="22">
        <f>'Preventative costs A'!E50-'Preventative costs B'!E50</f>
        <v>0</v>
      </c>
      <c r="F50" s="22">
        <f>'Preventative costs A'!F50-'Preventative costs B'!F50</f>
        <v>0</v>
      </c>
      <c r="G50" s="22">
        <f>'Preventative costs A'!G50-'Preventative costs B'!G50</f>
        <v>0</v>
      </c>
      <c r="H50" s="22">
        <f>'Preventative costs A'!H50-'Preventative costs B'!H50</f>
        <v>0</v>
      </c>
      <c r="I50" s="22">
        <f>'Preventative costs A'!I50-'Preventative costs B'!I50</f>
        <v>0</v>
      </c>
      <c r="J50" s="22">
        <f>'Preventative costs A'!J50-'Preventative costs B'!J50</f>
        <v>0</v>
      </c>
      <c r="K50" s="22">
        <f>'Preventative costs A'!K50-'Preventative costs B'!K50</f>
        <v>0</v>
      </c>
      <c r="M50" s="4" t="str">
        <f>'Library data'!$G$70</f>
        <v>%</v>
      </c>
    </row>
    <row r="51" spans="1:13" s="4" customFormat="1" x14ac:dyDescent="0.25">
      <c r="A51" s="4" t="str">
        <v>OT CO2</v>
      </c>
      <c r="B51" s="22">
        <f>'Preventative costs A'!B51-'Preventative costs B'!B51</f>
        <v>0</v>
      </c>
      <c r="C51" s="22">
        <f>'Preventative costs A'!C51-'Preventative costs B'!C51</f>
        <v>0</v>
      </c>
      <c r="D51" s="22">
        <f>'Preventative costs A'!D51-'Preventative costs B'!D51</f>
        <v>0</v>
      </c>
      <c r="E51" s="22">
        <f>'Preventative costs A'!E51-'Preventative costs B'!E51</f>
        <v>0</v>
      </c>
      <c r="F51" s="22">
        <f>'Preventative costs A'!F51-'Preventative costs B'!F51</f>
        <v>0</v>
      </c>
      <c r="G51" s="22">
        <f>'Preventative costs A'!G51-'Preventative costs B'!G51</f>
        <v>0</v>
      </c>
      <c r="H51" s="22">
        <f>'Preventative costs A'!H51-'Preventative costs B'!H51</f>
        <v>0</v>
      </c>
      <c r="I51" s="22">
        <f>'Preventative costs A'!I51-'Preventative costs B'!I51</f>
        <v>0</v>
      </c>
      <c r="J51" s="22">
        <f>'Preventative costs A'!J51-'Preventative costs B'!J51</f>
        <v>0</v>
      </c>
      <c r="K51" s="22">
        <f>'Preventative costs A'!K51-'Preventative costs B'!K51</f>
        <v>0</v>
      </c>
      <c r="M51" s="4" t="str">
        <f>'Library data'!$G$70</f>
        <v>%</v>
      </c>
    </row>
    <row r="52" spans="1:13" s="4" customFormat="1" x14ac:dyDescent="0.25">
      <c r="A52" s="4" t="str">
        <v>EE CO2</v>
      </c>
      <c r="B52" s="22">
        <f>'Preventative costs A'!B52-'Preventative costs B'!B52</f>
        <v>0</v>
      </c>
      <c r="C52" s="22">
        <f>'Preventative costs A'!C52-'Preventative costs B'!C52</f>
        <v>0</v>
      </c>
      <c r="D52" s="22">
        <f>'Preventative costs A'!D52-'Preventative costs B'!D52</f>
        <v>0</v>
      </c>
      <c r="E52" s="22">
        <f>'Preventative costs A'!E52-'Preventative costs B'!E52</f>
        <v>0</v>
      </c>
      <c r="F52" s="22">
        <f>'Preventative costs A'!F52-'Preventative costs B'!F52</f>
        <v>0</v>
      </c>
      <c r="G52" s="22">
        <f>'Preventative costs A'!G52-'Preventative costs B'!G52</f>
        <v>0</v>
      </c>
      <c r="H52" s="22">
        <f>'Preventative costs A'!H52-'Preventative costs B'!H52</f>
        <v>0</v>
      </c>
      <c r="I52" s="22">
        <f>'Preventative costs A'!I52-'Preventative costs B'!I52</f>
        <v>0</v>
      </c>
      <c r="J52" s="22">
        <f>'Preventative costs A'!J52-'Preventative costs B'!J52</f>
        <v>0</v>
      </c>
      <c r="K52" s="22">
        <f>'Preventative costs A'!K52-'Preventative costs B'!K52</f>
        <v>0</v>
      </c>
      <c r="M52" s="4" t="str">
        <f>'Library data'!$G$70</f>
        <v>%</v>
      </c>
    </row>
    <row r="53" spans="1:13" s="4" customFormat="1" x14ac:dyDescent="0.25">
      <c r="A53" s="4" t="str">
        <v>CA CO2</v>
      </c>
      <c r="B53" s="22">
        <f>'Preventative costs A'!B53-'Preventative costs B'!B53</f>
        <v>0</v>
      </c>
      <c r="C53" s="22">
        <f>'Preventative costs A'!C53-'Preventative costs B'!C53</f>
        <v>0</v>
      </c>
      <c r="D53" s="22">
        <f>'Preventative costs A'!D53-'Preventative costs B'!D53</f>
        <v>0</v>
      </c>
      <c r="E53" s="22">
        <f>'Preventative costs A'!E53-'Preventative costs B'!E53</f>
        <v>0</v>
      </c>
      <c r="F53" s="22">
        <f>'Preventative costs A'!F53-'Preventative costs B'!F53</f>
        <v>0</v>
      </c>
      <c r="G53" s="22">
        <f>'Preventative costs A'!G53-'Preventative costs B'!G53</f>
        <v>0</v>
      </c>
      <c r="H53" s="22">
        <f>'Preventative costs A'!H53-'Preventative costs B'!H53</f>
        <v>0</v>
      </c>
      <c r="I53" s="22">
        <f>'Preventative costs A'!I53-'Preventative costs B'!I53</f>
        <v>0</v>
      </c>
      <c r="J53" s="22">
        <f>'Preventative costs A'!J53-'Preventative costs B'!J53</f>
        <v>0</v>
      </c>
      <c r="K53" s="22">
        <f>'Preventative costs A'!K53-'Preventative costs B'!K53</f>
        <v>0</v>
      </c>
      <c r="M53" s="4" t="str">
        <f>'Library data'!$G$70</f>
        <v>%</v>
      </c>
    </row>
    <row r="54" spans="1:13" s="4" customFormat="1" x14ac:dyDescent="0.25">
      <c r="A54" s="4" t="str">
        <v>IA CO2</v>
      </c>
      <c r="B54" s="22">
        <f>'Preventative costs A'!B54-'Preventative costs B'!B54</f>
        <v>0</v>
      </c>
      <c r="C54" s="22">
        <f>'Preventative costs A'!C54-'Preventative costs B'!C54</f>
        <v>0</v>
      </c>
      <c r="D54" s="22">
        <f>'Preventative costs A'!D54-'Preventative costs B'!D54</f>
        <v>0</v>
      </c>
      <c r="E54" s="22">
        <f>'Preventative costs A'!E54-'Preventative costs B'!E54</f>
        <v>0</v>
      </c>
      <c r="F54" s="22">
        <f>'Preventative costs A'!F54-'Preventative costs B'!F54</f>
        <v>0</v>
      </c>
      <c r="G54" s="22">
        <f>'Preventative costs A'!G54-'Preventative costs B'!G54</f>
        <v>0</v>
      </c>
      <c r="H54" s="22">
        <f>'Preventative costs A'!H54-'Preventative costs B'!H54</f>
        <v>0</v>
      </c>
      <c r="I54" s="22">
        <f>'Preventative costs A'!I54-'Preventative costs B'!I54</f>
        <v>0</v>
      </c>
      <c r="J54" s="22">
        <f>'Preventative costs A'!J54-'Preventative costs B'!J54</f>
        <v>0</v>
      </c>
      <c r="K54" s="22">
        <f>'Preventative costs A'!K54-'Preventative costs B'!K54</f>
        <v>0</v>
      </c>
      <c r="M54" s="4" t="str">
        <f>'Library data'!$G$70</f>
        <v>%</v>
      </c>
    </row>
    <row r="55" spans="1:13" s="4" customFormat="1" x14ac:dyDescent="0.25">
      <c r="A55" s="4" t="str">
        <v>AF CO2</v>
      </c>
      <c r="B55" s="22">
        <f>'Preventative costs A'!B55-'Preventative costs B'!B55</f>
        <v>0</v>
      </c>
      <c r="C55" s="22">
        <f>'Preventative costs A'!C55-'Preventative costs B'!C55</f>
        <v>0</v>
      </c>
      <c r="D55" s="22">
        <f>'Preventative costs A'!D55-'Preventative costs B'!D55</f>
        <v>0</v>
      </c>
      <c r="E55" s="22">
        <f>'Preventative costs A'!E55-'Preventative costs B'!E55</f>
        <v>0</v>
      </c>
      <c r="F55" s="22">
        <f>'Preventative costs A'!F55-'Preventative costs B'!F55</f>
        <v>0</v>
      </c>
      <c r="G55" s="22">
        <f>'Preventative costs A'!G55-'Preventative costs B'!G55</f>
        <v>0</v>
      </c>
      <c r="H55" s="22">
        <f>'Preventative costs A'!H55-'Preventative costs B'!H55</f>
        <v>0</v>
      </c>
      <c r="I55" s="22">
        <f>'Preventative costs A'!I55-'Preventative costs B'!I55</f>
        <v>0</v>
      </c>
      <c r="J55" s="22">
        <f>'Preventative costs A'!J55-'Preventative costs B'!J55</f>
        <v>0</v>
      </c>
      <c r="K55" s="22">
        <f>'Preventative costs A'!K55-'Preventative costs B'!K55</f>
        <v>0</v>
      </c>
      <c r="M55" s="4" t="str">
        <f>'Library data'!$G$70</f>
        <v>%</v>
      </c>
    </row>
    <row r="56" spans="1:13" s="4" customFormat="1" ht="13" thickBot="1" x14ac:dyDescent="0.3">
      <c r="A56" s="4" t="str">
        <v>LA CO2</v>
      </c>
      <c r="B56" s="24">
        <f>'Preventative costs A'!B56-'Preventative costs B'!B56</f>
        <v>0</v>
      </c>
      <c r="C56" s="24">
        <f>'Preventative costs A'!C56-'Preventative costs B'!C56</f>
        <v>0</v>
      </c>
      <c r="D56" s="24">
        <f>'Preventative costs A'!D56-'Preventative costs B'!D56</f>
        <v>0</v>
      </c>
      <c r="E56" s="24">
        <f>'Preventative costs A'!E56-'Preventative costs B'!E56</f>
        <v>0</v>
      </c>
      <c r="F56" s="24">
        <f>'Preventative costs A'!F56-'Preventative costs B'!F56</f>
        <v>0</v>
      </c>
      <c r="G56" s="24">
        <f>'Preventative costs A'!G56-'Preventative costs B'!G56</f>
        <v>0</v>
      </c>
      <c r="H56" s="24">
        <f>'Preventative costs A'!H56-'Preventative costs B'!H56</f>
        <v>0</v>
      </c>
      <c r="I56" s="24">
        <f>'Preventative costs A'!I56-'Preventative costs B'!I56</f>
        <v>0</v>
      </c>
      <c r="J56" s="24">
        <f>'Preventative costs A'!J56-'Preventative costs B'!J56</f>
        <v>0</v>
      </c>
      <c r="K56" s="24">
        <f>'Preventative costs A'!K56-'Preventative costs B'!K56</f>
        <v>0</v>
      </c>
      <c r="M56" s="4" t="str">
        <f>'Library data'!$G$70</f>
        <v>%</v>
      </c>
    </row>
    <row r="57" spans="1:13" s="5" customFormat="1" ht="15.5" thickTop="1" x14ac:dyDescent="0.4">
      <c r="A57" s="5" t="s">
        <v>132</v>
      </c>
      <c r="B57" s="5" t="s">
        <v>134</v>
      </c>
    </row>
    <row r="58" spans="1:13" s="4" customFormat="1" x14ac:dyDescent="0.25">
      <c r="A58" s="4" t="str">
        <f t="array" ref="A58:A65">R_CODE&amp;" "&amp;'Base data'!$C$11</f>
        <v>EU CH4</v>
      </c>
      <c r="B58" s="20">
        <f>'Preventative costs A'!B58-'Preventative costs B'!B58</f>
        <v>0</v>
      </c>
      <c r="C58" s="20">
        <f>'Preventative costs A'!C58-'Preventative costs B'!C58</f>
        <v>0</v>
      </c>
      <c r="D58" s="20">
        <f>'Preventative costs A'!D58-'Preventative costs B'!D58</f>
        <v>0</v>
      </c>
      <c r="E58" s="20">
        <f>'Preventative costs A'!E58-'Preventative costs B'!E58</f>
        <v>0</v>
      </c>
      <c r="F58" s="20">
        <f>'Preventative costs A'!F58-'Preventative costs B'!F58</f>
        <v>0</v>
      </c>
      <c r="G58" s="20">
        <f>'Preventative costs A'!G58-'Preventative costs B'!G58</f>
        <v>0</v>
      </c>
      <c r="H58" s="20">
        <f>'Preventative costs A'!H58-'Preventative costs B'!H58</f>
        <v>0</v>
      </c>
      <c r="I58" s="20">
        <f>'Preventative costs A'!I58-'Preventative costs B'!I58</f>
        <v>0</v>
      </c>
      <c r="J58" s="20">
        <f>'Preventative costs A'!J58-'Preventative costs B'!J58</f>
        <v>0</v>
      </c>
      <c r="K58" s="20">
        <f>'Preventative costs A'!K58-'Preventative costs B'!K58</f>
        <v>0</v>
      </c>
      <c r="M58" s="4" t="str">
        <f>'Library data'!$G$77</f>
        <v>%</v>
      </c>
    </row>
    <row r="59" spans="1:13" s="4" customFormat="1" x14ac:dyDescent="0.25">
      <c r="A59" s="4" t="str">
        <v>US CH4</v>
      </c>
      <c r="B59" s="22">
        <f>'Preventative costs A'!B59-'Preventative costs B'!B59</f>
        <v>0</v>
      </c>
      <c r="C59" s="22">
        <f>'Preventative costs A'!C59-'Preventative costs B'!C59</f>
        <v>0</v>
      </c>
      <c r="D59" s="22">
        <f>'Preventative costs A'!D59-'Preventative costs B'!D59</f>
        <v>0</v>
      </c>
      <c r="E59" s="22">
        <f>'Preventative costs A'!E59-'Preventative costs B'!E59</f>
        <v>0</v>
      </c>
      <c r="F59" s="22">
        <f>'Preventative costs A'!F59-'Preventative costs B'!F59</f>
        <v>0</v>
      </c>
      <c r="G59" s="22">
        <f>'Preventative costs A'!G59-'Preventative costs B'!G59</f>
        <v>0</v>
      </c>
      <c r="H59" s="22">
        <f>'Preventative costs A'!H59-'Preventative costs B'!H59</f>
        <v>0</v>
      </c>
      <c r="I59" s="22">
        <f>'Preventative costs A'!I59-'Preventative costs B'!I59</f>
        <v>0</v>
      </c>
      <c r="J59" s="22">
        <f>'Preventative costs A'!J59-'Preventative costs B'!J59</f>
        <v>0</v>
      </c>
      <c r="K59" s="22">
        <f>'Preventative costs A'!K59-'Preventative costs B'!K59</f>
        <v>0</v>
      </c>
      <c r="M59" s="4" t="str">
        <f>'Library data'!$G$77</f>
        <v>%</v>
      </c>
    </row>
    <row r="60" spans="1:13" s="4" customFormat="1" x14ac:dyDescent="0.25">
      <c r="A60" s="4" t="str">
        <v>OT CH4</v>
      </c>
      <c r="B60" s="22">
        <f>'Preventative costs A'!B60-'Preventative costs B'!B60</f>
        <v>0</v>
      </c>
      <c r="C60" s="22">
        <f>'Preventative costs A'!C60-'Preventative costs B'!C60</f>
        <v>0</v>
      </c>
      <c r="D60" s="22">
        <f>'Preventative costs A'!D60-'Preventative costs B'!D60</f>
        <v>0</v>
      </c>
      <c r="E60" s="22">
        <f>'Preventative costs A'!E60-'Preventative costs B'!E60</f>
        <v>0</v>
      </c>
      <c r="F60" s="22">
        <f>'Preventative costs A'!F60-'Preventative costs B'!F60</f>
        <v>0</v>
      </c>
      <c r="G60" s="22">
        <f>'Preventative costs A'!G60-'Preventative costs B'!G60</f>
        <v>0</v>
      </c>
      <c r="H60" s="22">
        <f>'Preventative costs A'!H60-'Preventative costs B'!H60</f>
        <v>0</v>
      </c>
      <c r="I60" s="22">
        <f>'Preventative costs A'!I60-'Preventative costs B'!I60</f>
        <v>0</v>
      </c>
      <c r="J60" s="22">
        <f>'Preventative costs A'!J60-'Preventative costs B'!J60</f>
        <v>0</v>
      </c>
      <c r="K60" s="22">
        <f>'Preventative costs A'!K60-'Preventative costs B'!K60</f>
        <v>0</v>
      </c>
      <c r="M60" s="4" t="str">
        <f>'Library data'!$G$77</f>
        <v>%</v>
      </c>
    </row>
    <row r="61" spans="1:13" s="4" customFormat="1" x14ac:dyDescent="0.25">
      <c r="A61" s="4" t="str">
        <v>EE CH4</v>
      </c>
      <c r="B61" s="22">
        <f>'Preventative costs A'!B61-'Preventative costs B'!B61</f>
        <v>0</v>
      </c>
      <c r="C61" s="22">
        <f>'Preventative costs A'!C61-'Preventative costs B'!C61</f>
        <v>0</v>
      </c>
      <c r="D61" s="22">
        <f>'Preventative costs A'!D61-'Preventative costs B'!D61</f>
        <v>0</v>
      </c>
      <c r="E61" s="22">
        <f>'Preventative costs A'!E61-'Preventative costs B'!E61</f>
        <v>0</v>
      </c>
      <c r="F61" s="22">
        <f>'Preventative costs A'!F61-'Preventative costs B'!F61</f>
        <v>0</v>
      </c>
      <c r="G61" s="22">
        <f>'Preventative costs A'!G61-'Preventative costs B'!G61</f>
        <v>0</v>
      </c>
      <c r="H61" s="22">
        <f>'Preventative costs A'!H61-'Preventative costs B'!H61</f>
        <v>0</v>
      </c>
      <c r="I61" s="22">
        <f>'Preventative costs A'!I61-'Preventative costs B'!I61</f>
        <v>0</v>
      </c>
      <c r="J61" s="22">
        <f>'Preventative costs A'!J61-'Preventative costs B'!J61</f>
        <v>0</v>
      </c>
      <c r="K61" s="22">
        <f>'Preventative costs A'!K61-'Preventative costs B'!K61</f>
        <v>0</v>
      </c>
      <c r="M61" s="4" t="str">
        <f>'Library data'!$G$77</f>
        <v>%</v>
      </c>
    </row>
    <row r="62" spans="1:13" s="4" customFormat="1" x14ac:dyDescent="0.25">
      <c r="A62" s="4" t="str">
        <v>CA CH4</v>
      </c>
      <c r="B62" s="22">
        <f>'Preventative costs A'!B62-'Preventative costs B'!B62</f>
        <v>0</v>
      </c>
      <c r="C62" s="22">
        <f>'Preventative costs A'!C62-'Preventative costs B'!C62</f>
        <v>0</v>
      </c>
      <c r="D62" s="22">
        <f>'Preventative costs A'!D62-'Preventative costs B'!D62</f>
        <v>0</v>
      </c>
      <c r="E62" s="22">
        <f>'Preventative costs A'!E62-'Preventative costs B'!E62</f>
        <v>0</v>
      </c>
      <c r="F62" s="22">
        <f>'Preventative costs A'!F62-'Preventative costs B'!F62</f>
        <v>0</v>
      </c>
      <c r="G62" s="22">
        <f>'Preventative costs A'!G62-'Preventative costs B'!G62</f>
        <v>0</v>
      </c>
      <c r="H62" s="22">
        <f>'Preventative costs A'!H62-'Preventative costs B'!H62</f>
        <v>0</v>
      </c>
      <c r="I62" s="22">
        <f>'Preventative costs A'!I62-'Preventative costs B'!I62</f>
        <v>0</v>
      </c>
      <c r="J62" s="22">
        <f>'Preventative costs A'!J62-'Preventative costs B'!J62</f>
        <v>0</v>
      </c>
      <c r="K62" s="22">
        <f>'Preventative costs A'!K62-'Preventative costs B'!K62</f>
        <v>0</v>
      </c>
      <c r="M62" s="4" t="str">
        <f>'Library data'!$G$77</f>
        <v>%</v>
      </c>
    </row>
    <row r="63" spans="1:13" s="4" customFormat="1" x14ac:dyDescent="0.25">
      <c r="A63" s="4" t="str">
        <v>IA CH4</v>
      </c>
      <c r="B63" s="22">
        <f>'Preventative costs A'!B63-'Preventative costs B'!B63</f>
        <v>0</v>
      </c>
      <c r="C63" s="22">
        <f>'Preventative costs A'!C63-'Preventative costs B'!C63</f>
        <v>0</v>
      </c>
      <c r="D63" s="22">
        <f>'Preventative costs A'!D63-'Preventative costs B'!D63</f>
        <v>0</v>
      </c>
      <c r="E63" s="22">
        <f>'Preventative costs A'!E63-'Preventative costs B'!E63</f>
        <v>0</v>
      </c>
      <c r="F63" s="22">
        <f>'Preventative costs A'!F63-'Preventative costs B'!F63</f>
        <v>0</v>
      </c>
      <c r="G63" s="22">
        <f>'Preventative costs A'!G63-'Preventative costs B'!G63</f>
        <v>0</v>
      </c>
      <c r="H63" s="22">
        <f>'Preventative costs A'!H63-'Preventative costs B'!H63</f>
        <v>0</v>
      </c>
      <c r="I63" s="22">
        <f>'Preventative costs A'!I63-'Preventative costs B'!I63</f>
        <v>0</v>
      </c>
      <c r="J63" s="22">
        <f>'Preventative costs A'!J63-'Preventative costs B'!J63</f>
        <v>0</v>
      </c>
      <c r="K63" s="22">
        <f>'Preventative costs A'!K63-'Preventative costs B'!K63</f>
        <v>0</v>
      </c>
      <c r="M63" s="4" t="str">
        <f>'Library data'!$G$77</f>
        <v>%</v>
      </c>
    </row>
    <row r="64" spans="1:13" s="4" customFormat="1" x14ac:dyDescent="0.25">
      <c r="A64" s="4" t="str">
        <v>AF CH4</v>
      </c>
      <c r="B64" s="22">
        <f>'Preventative costs A'!B64-'Preventative costs B'!B64</f>
        <v>0</v>
      </c>
      <c r="C64" s="22">
        <f>'Preventative costs A'!C64-'Preventative costs B'!C64</f>
        <v>0</v>
      </c>
      <c r="D64" s="22">
        <f>'Preventative costs A'!D64-'Preventative costs B'!D64</f>
        <v>0</v>
      </c>
      <c r="E64" s="22">
        <f>'Preventative costs A'!E64-'Preventative costs B'!E64</f>
        <v>0</v>
      </c>
      <c r="F64" s="22">
        <f>'Preventative costs A'!F64-'Preventative costs B'!F64</f>
        <v>0</v>
      </c>
      <c r="G64" s="22">
        <f>'Preventative costs A'!G64-'Preventative costs B'!G64</f>
        <v>0</v>
      </c>
      <c r="H64" s="22">
        <f>'Preventative costs A'!H64-'Preventative costs B'!H64</f>
        <v>0</v>
      </c>
      <c r="I64" s="22">
        <f>'Preventative costs A'!I64-'Preventative costs B'!I64</f>
        <v>0</v>
      </c>
      <c r="J64" s="22">
        <f>'Preventative costs A'!J64-'Preventative costs B'!J64</f>
        <v>0</v>
      </c>
      <c r="K64" s="22">
        <f>'Preventative costs A'!K64-'Preventative costs B'!K64</f>
        <v>0</v>
      </c>
      <c r="M64" s="4" t="str">
        <f>'Library data'!$G$77</f>
        <v>%</v>
      </c>
    </row>
    <row r="65" spans="1:13" s="4" customFormat="1" ht="13" thickBot="1" x14ac:dyDescent="0.3">
      <c r="A65" s="4" t="str">
        <v>LA CH4</v>
      </c>
      <c r="B65" s="24">
        <f>'Preventative costs A'!B65-'Preventative costs B'!B65</f>
        <v>0</v>
      </c>
      <c r="C65" s="24">
        <f>'Preventative costs A'!C65-'Preventative costs B'!C65</f>
        <v>0</v>
      </c>
      <c r="D65" s="24">
        <f>'Preventative costs A'!D65-'Preventative costs B'!D65</f>
        <v>0</v>
      </c>
      <c r="E65" s="24">
        <f>'Preventative costs A'!E65-'Preventative costs B'!E65</f>
        <v>0</v>
      </c>
      <c r="F65" s="24">
        <f>'Preventative costs A'!F65-'Preventative costs B'!F65</f>
        <v>0</v>
      </c>
      <c r="G65" s="24">
        <f>'Preventative costs A'!G65-'Preventative costs B'!G65</f>
        <v>0</v>
      </c>
      <c r="H65" s="24">
        <f>'Preventative costs A'!H65-'Preventative costs B'!H65</f>
        <v>0</v>
      </c>
      <c r="I65" s="24">
        <f>'Preventative costs A'!I65-'Preventative costs B'!I65</f>
        <v>0</v>
      </c>
      <c r="J65" s="24">
        <f>'Preventative costs A'!J65-'Preventative costs B'!J65</f>
        <v>0</v>
      </c>
      <c r="K65" s="24">
        <f>'Preventative costs A'!K65-'Preventative costs B'!K65</f>
        <v>0</v>
      </c>
      <c r="M65" s="4" t="str">
        <f>'Library data'!$G$77</f>
        <v>%</v>
      </c>
    </row>
    <row r="66" spans="1:13" s="5" customFormat="1" ht="15.5" thickTop="1" x14ac:dyDescent="0.4">
      <c r="A66" s="5" t="s">
        <v>132</v>
      </c>
      <c r="B66" s="5" t="s">
        <v>161</v>
      </c>
    </row>
    <row r="67" spans="1:13" s="4" customFormat="1" x14ac:dyDescent="0.25">
      <c r="A67" s="4" t="str">
        <f t="array" ref="A67:A74">R_CODE&amp;" "&amp;'Base data'!$D$11</f>
        <v>EU N2O</v>
      </c>
      <c r="B67" s="20">
        <f>'Preventative costs A'!B67-'Preventative costs B'!B67</f>
        <v>0</v>
      </c>
      <c r="C67" s="20">
        <f>'Preventative costs A'!C67-'Preventative costs B'!C67</f>
        <v>0</v>
      </c>
      <c r="D67" s="20">
        <f>'Preventative costs A'!D67-'Preventative costs B'!D67</f>
        <v>0</v>
      </c>
      <c r="E67" s="20">
        <f>'Preventative costs A'!E67-'Preventative costs B'!E67</f>
        <v>0</v>
      </c>
      <c r="F67" s="20">
        <f>'Preventative costs A'!F67-'Preventative costs B'!F67</f>
        <v>0</v>
      </c>
      <c r="G67" s="20">
        <f>'Preventative costs A'!G67-'Preventative costs B'!G67</f>
        <v>0</v>
      </c>
      <c r="H67" s="20">
        <f>'Preventative costs A'!H67-'Preventative costs B'!H67</f>
        <v>0</v>
      </c>
      <c r="I67" s="20">
        <f>'Preventative costs A'!I67-'Preventative costs B'!I67</f>
        <v>0</v>
      </c>
      <c r="J67" s="20">
        <f>'Preventative costs A'!J67-'Preventative costs B'!J67</f>
        <v>0</v>
      </c>
      <c r="K67" s="20">
        <f>'Preventative costs A'!K67-'Preventative costs B'!K67</f>
        <v>0</v>
      </c>
      <c r="M67" s="4" t="str">
        <f>'Library data'!$G$77</f>
        <v>%</v>
      </c>
    </row>
    <row r="68" spans="1:13" s="4" customFormat="1" x14ac:dyDescent="0.25">
      <c r="A68" s="4" t="str">
        <v>US N2O</v>
      </c>
      <c r="B68" s="22">
        <f>'Preventative costs A'!B68-'Preventative costs B'!B68</f>
        <v>0</v>
      </c>
      <c r="C68" s="22">
        <f>'Preventative costs A'!C68-'Preventative costs B'!C68</f>
        <v>0</v>
      </c>
      <c r="D68" s="22">
        <f>'Preventative costs A'!D68-'Preventative costs B'!D68</f>
        <v>0</v>
      </c>
      <c r="E68" s="22">
        <f>'Preventative costs A'!E68-'Preventative costs B'!E68</f>
        <v>0</v>
      </c>
      <c r="F68" s="22">
        <f>'Preventative costs A'!F68-'Preventative costs B'!F68</f>
        <v>0</v>
      </c>
      <c r="G68" s="22">
        <f>'Preventative costs A'!G68-'Preventative costs B'!G68</f>
        <v>0</v>
      </c>
      <c r="H68" s="22">
        <f>'Preventative costs A'!H68-'Preventative costs B'!H68</f>
        <v>0</v>
      </c>
      <c r="I68" s="22">
        <f>'Preventative costs A'!I68-'Preventative costs B'!I68</f>
        <v>0</v>
      </c>
      <c r="J68" s="22">
        <f>'Preventative costs A'!J68-'Preventative costs B'!J68</f>
        <v>0</v>
      </c>
      <c r="K68" s="22">
        <f>'Preventative costs A'!K68-'Preventative costs B'!K68</f>
        <v>0</v>
      </c>
      <c r="M68" s="4" t="str">
        <f>'Library data'!$G$77</f>
        <v>%</v>
      </c>
    </row>
    <row r="69" spans="1:13" s="4" customFormat="1" x14ac:dyDescent="0.25">
      <c r="A69" s="4" t="str">
        <v>OT N2O</v>
      </c>
      <c r="B69" s="22">
        <f>'Preventative costs A'!B69-'Preventative costs B'!B69</f>
        <v>0</v>
      </c>
      <c r="C69" s="22">
        <f>'Preventative costs A'!C69-'Preventative costs B'!C69</f>
        <v>0</v>
      </c>
      <c r="D69" s="22">
        <f>'Preventative costs A'!D69-'Preventative costs B'!D69</f>
        <v>0</v>
      </c>
      <c r="E69" s="22">
        <f>'Preventative costs A'!E69-'Preventative costs B'!E69</f>
        <v>0</v>
      </c>
      <c r="F69" s="22">
        <f>'Preventative costs A'!F69-'Preventative costs B'!F69</f>
        <v>0</v>
      </c>
      <c r="G69" s="22">
        <f>'Preventative costs A'!G69-'Preventative costs B'!G69</f>
        <v>0</v>
      </c>
      <c r="H69" s="22">
        <f>'Preventative costs A'!H69-'Preventative costs B'!H69</f>
        <v>0</v>
      </c>
      <c r="I69" s="22">
        <f>'Preventative costs A'!I69-'Preventative costs B'!I69</f>
        <v>0</v>
      </c>
      <c r="J69" s="22">
        <f>'Preventative costs A'!J69-'Preventative costs B'!J69</f>
        <v>0</v>
      </c>
      <c r="K69" s="22">
        <f>'Preventative costs A'!K69-'Preventative costs B'!K69</f>
        <v>0</v>
      </c>
      <c r="M69" s="4" t="str">
        <f>'Library data'!$G$77</f>
        <v>%</v>
      </c>
    </row>
    <row r="70" spans="1:13" s="4" customFormat="1" x14ac:dyDescent="0.25">
      <c r="A70" s="4" t="str">
        <v>EE N2O</v>
      </c>
      <c r="B70" s="22">
        <f>'Preventative costs A'!B70-'Preventative costs B'!B70</f>
        <v>0</v>
      </c>
      <c r="C70" s="22">
        <f>'Preventative costs A'!C70-'Preventative costs B'!C70</f>
        <v>0</v>
      </c>
      <c r="D70" s="22">
        <f>'Preventative costs A'!D70-'Preventative costs B'!D70</f>
        <v>0</v>
      </c>
      <c r="E70" s="22">
        <f>'Preventative costs A'!E70-'Preventative costs B'!E70</f>
        <v>0</v>
      </c>
      <c r="F70" s="22">
        <f>'Preventative costs A'!F70-'Preventative costs B'!F70</f>
        <v>0</v>
      </c>
      <c r="G70" s="22">
        <f>'Preventative costs A'!G70-'Preventative costs B'!G70</f>
        <v>0</v>
      </c>
      <c r="H70" s="22">
        <f>'Preventative costs A'!H70-'Preventative costs B'!H70</f>
        <v>0</v>
      </c>
      <c r="I70" s="22">
        <f>'Preventative costs A'!I70-'Preventative costs B'!I70</f>
        <v>0</v>
      </c>
      <c r="J70" s="22">
        <f>'Preventative costs A'!J70-'Preventative costs B'!J70</f>
        <v>0</v>
      </c>
      <c r="K70" s="22">
        <f>'Preventative costs A'!K70-'Preventative costs B'!K70</f>
        <v>0</v>
      </c>
      <c r="M70" s="4" t="str">
        <f>'Library data'!$G$77</f>
        <v>%</v>
      </c>
    </row>
    <row r="71" spans="1:13" s="4" customFormat="1" x14ac:dyDescent="0.25">
      <c r="A71" s="4" t="str">
        <v>CA N2O</v>
      </c>
      <c r="B71" s="22">
        <f>'Preventative costs A'!B71-'Preventative costs B'!B71</f>
        <v>0</v>
      </c>
      <c r="C71" s="22">
        <f>'Preventative costs A'!C71-'Preventative costs B'!C71</f>
        <v>0</v>
      </c>
      <c r="D71" s="22">
        <f>'Preventative costs A'!D71-'Preventative costs B'!D71</f>
        <v>0</v>
      </c>
      <c r="E71" s="22">
        <f>'Preventative costs A'!E71-'Preventative costs B'!E71</f>
        <v>0</v>
      </c>
      <c r="F71" s="22">
        <f>'Preventative costs A'!F71-'Preventative costs B'!F71</f>
        <v>0</v>
      </c>
      <c r="G71" s="22">
        <f>'Preventative costs A'!G71-'Preventative costs B'!G71</f>
        <v>0</v>
      </c>
      <c r="H71" s="22">
        <f>'Preventative costs A'!H71-'Preventative costs B'!H71</f>
        <v>0</v>
      </c>
      <c r="I71" s="22">
        <f>'Preventative costs A'!I71-'Preventative costs B'!I71</f>
        <v>0</v>
      </c>
      <c r="J71" s="22">
        <f>'Preventative costs A'!J71-'Preventative costs B'!J71</f>
        <v>0</v>
      </c>
      <c r="K71" s="22">
        <f>'Preventative costs A'!K71-'Preventative costs B'!K71</f>
        <v>0</v>
      </c>
      <c r="M71" s="4" t="str">
        <f>'Library data'!$G$77</f>
        <v>%</v>
      </c>
    </row>
    <row r="72" spans="1:13" s="4" customFormat="1" x14ac:dyDescent="0.25">
      <c r="A72" s="4" t="str">
        <v>IA N2O</v>
      </c>
      <c r="B72" s="22">
        <f>'Preventative costs A'!B72-'Preventative costs B'!B72</f>
        <v>0</v>
      </c>
      <c r="C72" s="22">
        <f>'Preventative costs A'!C72-'Preventative costs B'!C72</f>
        <v>0</v>
      </c>
      <c r="D72" s="22">
        <f>'Preventative costs A'!D72-'Preventative costs B'!D72</f>
        <v>0</v>
      </c>
      <c r="E72" s="22">
        <f>'Preventative costs A'!E72-'Preventative costs B'!E72</f>
        <v>0</v>
      </c>
      <c r="F72" s="22">
        <f>'Preventative costs A'!F72-'Preventative costs B'!F72</f>
        <v>0</v>
      </c>
      <c r="G72" s="22">
        <f>'Preventative costs A'!G72-'Preventative costs B'!G72</f>
        <v>0</v>
      </c>
      <c r="H72" s="22">
        <f>'Preventative costs A'!H72-'Preventative costs B'!H72</f>
        <v>0</v>
      </c>
      <c r="I72" s="22">
        <f>'Preventative costs A'!I72-'Preventative costs B'!I72</f>
        <v>0</v>
      </c>
      <c r="J72" s="22">
        <f>'Preventative costs A'!J72-'Preventative costs B'!J72</f>
        <v>0</v>
      </c>
      <c r="K72" s="22">
        <f>'Preventative costs A'!K72-'Preventative costs B'!K72</f>
        <v>0</v>
      </c>
      <c r="M72" s="4" t="str">
        <f>'Library data'!$G$77</f>
        <v>%</v>
      </c>
    </row>
    <row r="73" spans="1:13" s="4" customFormat="1" x14ac:dyDescent="0.25">
      <c r="A73" s="4" t="str">
        <v>AF N2O</v>
      </c>
      <c r="B73" s="22">
        <f>'Preventative costs A'!B73-'Preventative costs B'!B73</f>
        <v>0</v>
      </c>
      <c r="C73" s="22">
        <f>'Preventative costs A'!C73-'Preventative costs B'!C73</f>
        <v>0</v>
      </c>
      <c r="D73" s="22">
        <f>'Preventative costs A'!D73-'Preventative costs B'!D73</f>
        <v>0</v>
      </c>
      <c r="E73" s="22">
        <f>'Preventative costs A'!E73-'Preventative costs B'!E73</f>
        <v>0</v>
      </c>
      <c r="F73" s="22">
        <f>'Preventative costs A'!F73-'Preventative costs B'!F73</f>
        <v>0</v>
      </c>
      <c r="G73" s="22">
        <f>'Preventative costs A'!G73-'Preventative costs B'!G73</f>
        <v>0</v>
      </c>
      <c r="H73" s="22">
        <f>'Preventative costs A'!H73-'Preventative costs B'!H73</f>
        <v>0</v>
      </c>
      <c r="I73" s="22">
        <f>'Preventative costs A'!I73-'Preventative costs B'!I73</f>
        <v>0</v>
      </c>
      <c r="J73" s="22">
        <f>'Preventative costs A'!J73-'Preventative costs B'!J73</f>
        <v>0</v>
      </c>
      <c r="K73" s="22">
        <f>'Preventative costs A'!K73-'Preventative costs B'!K73</f>
        <v>0</v>
      </c>
      <c r="M73" s="4" t="str">
        <f>'Library data'!$G$77</f>
        <v>%</v>
      </c>
    </row>
    <row r="74" spans="1:13" s="4" customFormat="1" ht="13" thickBot="1" x14ac:dyDescent="0.3">
      <c r="A74" s="4" t="str">
        <v>LA N2O</v>
      </c>
      <c r="B74" s="24">
        <f>'Preventative costs A'!B74-'Preventative costs B'!B74</f>
        <v>0</v>
      </c>
      <c r="C74" s="24">
        <f>'Preventative costs A'!C74-'Preventative costs B'!C74</f>
        <v>0</v>
      </c>
      <c r="D74" s="24">
        <f>'Preventative costs A'!D74-'Preventative costs B'!D74</f>
        <v>0</v>
      </c>
      <c r="E74" s="24">
        <f>'Preventative costs A'!E74-'Preventative costs B'!E74</f>
        <v>0</v>
      </c>
      <c r="F74" s="24">
        <f>'Preventative costs A'!F74-'Preventative costs B'!F74</f>
        <v>0</v>
      </c>
      <c r="G74" s="24">
        <f>'Preventative costs A'!G74-'Preventative costs B'!G74</f>
        <v>0</v>
      </c>
      <c r="H74" s="24">
        <f>'Preventative costs A'!H74-'Preventative costs B'!H74</f>
        <v>0</v>
      </c>
      <c r="I74" s="24">
        <f>'Preventative costs A'!I74-'Preventative costs B'!I74</f>
        <v>0</v>
      </c>
      <c r="J74" s="24">
        <f>'Preventative costs A'!J74-'Preventative costs B'!J74</f>
        <v>0</v>
      </c>
      <c r="K74" s="24">
        <f>'Preventative costs A'!K74-'Preventative costs B'!K74</f>
        <v>0</v>
      </c>
      <c r="M74" s="4" t="str">
        <f>'Library data'!$G$77</f>
        <v>%</v>
      </c>
    </row>
    <row r="75" spans="1:13" s="5" customFormat="1" ht="15.5" thickTop="1" x14ac:dyDescent="0.4">
      <c r="A75" s="5" t="s">
        <v>132</v>
      </c>
      <c r="B75" s="5" t="s">
        <v>318</v>
      </c>
    </row>
    <row r="76" spans="1:13" s="4" customFormat="1" x14ac:dyDescent="0.25">
      <c r="A76" s="4" t="str">
        <f t="array" ref="A76:A83">R_CODE&amp;" "&amp;GLIN_NAME</f>
        <v>EU Lin</v>
      </c>
      <c r="B76" s="20">
        <f>'Preventative costs A'!B76-'Preventative costs B'!B76</f>
        <v>0</v>
      </c>
      <c r="C76" s="20">
        <f>'Preventative costs A'!C76-'Preventative costs B'!C76</f>
        <v>0</v>
      </c>
      <c r="D76" s="20">
        <f>'Preventative costs A'!D76-'Preventative costs B'!D76</f>
        <v>0</v>
      </c>
      <c r="E76" s="20">
        <f>'Preventative costs A'!E76-'Preventative costs B'!E76</f>
        <v>0</v>
      </c>
      <c r="F76" s="20">
        <f>'Preventative costs A'!F76-'Preventative costs B'!F76</f>
        <v>0</v>
      </c>
      <c r="G76" s="20">
        <f>'Preventative costs A'!G76-'Preventative costs B'!G76</f>
        <v>0</v>
      </c>
      <c r="H76" s="20">
        <f>'Preventative costs A'!H76-'Preventative costs B'!H76</f>
        <v>0</v>
      </c>
      <c r="I76" s="20">
        <f>'Preventative costs A'!I76-'Preventative costs B'!I76</f>
        <v>0</v>
      </c>
      <c r="J76" s="20">
        <f>'Preventative costs A'!J76-'Preventative costs B'!J76</f>
        <v>0</v>
      </c>
      <c r="K76" s="20">
        <f>'Preventative costs A'!K76-'Preventative costs B'!K76</f>
        <v>0</v>
      </c>
      <c r="M76" s="4" t="str">
        <f>'Library data'!$G$77</f>
        <v>%</v>
      </c>
    </row>
    <row r="77" spans="1:13" s="4" customFormat="1" x14ac:dyDescent="0.25">
      <c r="A77" s="4" t="str">
        <v>US Lin</v>
      </c>
      <c r="B77" s="22">
        <f>'Preventative costs A'!B77-'Preventative costs B'!B77</f>
        <v>0</v>
      </c>
      <c r="C77" s="22">
        <f>'Preventative costs A'!C77-'Preventative costs B'!C77</f>
        <v>0</v>
      </c>
      <c r="D77" s="22">
        <f>'Preventative costs A'!D77-'Preventative costs B'!D77</f>
        <v>0</v>
      </c>
      <c r="E77" s="22">
        <f>'Preventative costs A'!E77-'Preventative costs B'!E77</f>
        <v>0</v>
      </c>
      <c r="F77" s="22">
        <f>'Preventative costs A'!F77-'Preventative costs B'!F77</f>
        <v>0</v>
      </c>
      <c r="G77" s="22">
        <f>'Preventative costs A'!G77-'Preventative costs B'!G77</f>
        <v>0</v>
      </c>
      <c r="H77" s="22">
        <f>'Preventative costs A'!H77-'Preventative costs B'!H77</f>
        <v>0</v>
      </c>
      <c r="I77" s="22">
        <f>'Preventative costs A'!I77-'Preventative costs B'!I77</f>
        <v>0</v>
      </c>
      <c r="J77" s="22">
        <f>'Preventative costs A'!J77-'Preventative costs B'!J77</f>
        <v>0</v>
      </c>
      <c r="K77" s="22">
        <f>'Preventative costs A'!K77-'Preventative costs B'!K77</f>
        <v>0</v>
      </c>
      <c r="M77" s="4" t="str">
        <f>'Library data'!$G$77</f>
        <v>%</v>
      </c>
    </row>
    <row r="78" spans="1:13" s="4" customFormat="1" x14ac:dyDescent="0.25">
      <c r="A78" s="4" t="str">
        <v>OT Lin</v>
      </c>
      <c r="B78" s="22">
        <f>'Preventative costs A'!B78-'Preventative costs B'!B78</f>
        <v>0</v>
      </c>
      <c r="C78" s="22">
        <f>'Preventative costs A'!C78-'Preventative costs B'!C78</f>
        <v>0</v>
      </c>
      <c r="D78" s="22">
        <f>'Preventative costs A'!D78-'Preventative costs B'!D78</f>
        <v>0</v>
      </c>
      <c r="E78" s="22">
        <f>'Preventative costs A'!E78-'Preventative costs B'!E78</f>
        <v>0</v>
      </c>
      <c r="F78" s="22">
        <f>'Preventative costs A'!F78-'Preventative costs B'!F78</f>
        <v>0</v>
      </c>
      <c r="G78" s="22">
        <f>'Preventative costs A'!G78-'Preventative costs B'!G78</f>
        <v>0</v>
      </c>
      <c r="H78" s="22">
        <f>'Preventative costs A'!H78-'Preventative costs B'!H78</f>
        <v>0</v>
      </c>
      <c r="I78" s="22">
        <f>'Preventative costs A'!I78-'Preventative costs B'!I78</f>
        <v>0</v>
      </c>
      <c r="J78" s="22">
        <f>'Preventative costs A'!J78-'Preventative costs B'!J78</f>
        <v>0</v>
      </c>
      <c r="K78" s="22">
        <f>'Preventative costs A'!K78-'Preventative costs B'!K78</f>
        <v>0</v>
      </c>
      <c r="M78" s="4" t="str">
        <f>'Library data'!$G$77</f>
        <v>%</v>
      </c>
    </row>
    <row r="79" spans="1:13" s="4" customFormat="1" x14ac:dyDescent="0.25">
      <c r="A79" s="4" t="str">
        <v>EE Lin</v>
      </c>
      <c r="B79" s="22">
        <f>'Preventative costs A'!B79-'Preventative costs B'!B79</f>
        <v>0</v>
      </c>
      <c r="C79" s="22">
        <f>'Preventative costs A'!C79-'Preventative costs B'!C79</f>
        <v>0</v>
      </c>
      <c r="D79" s="22">
        <f>'Preventative costs A'!D79-'Preventative costs B'!D79</f>
        <v>0</v>
      </c>
      <c r="E79" s="22">
        <f>'Preventative costs A'!E79-'Preventative costs B'!E79</f>
        <v>0</v>
      </c>
      <c r="F79" s="22">
        <f>'Preventative costs A'!F79-'Preventative costs B'!F79</f>
        <v>0</v>
      </c>
      <c r="G79" s="22">
        <f>'Preventative costs A'!G79-'Preventative costs B'!G79</f>
        <v>0</v>
      </c>
      <c r="H79" s="22">
        <f>'Preventative costs A'!H79-'Preventative costs B'!H79</f>
        <v>0</v>
      </c>
      <c r="I79" s="22">
        <f>'Preventative costs A'!I79-'Preventative costs B'!I79</f>
        <v>0</v>
      </c>
      <c r="J79" s="22">
        <f>'Preventative costs A'!J79-'Preventative costs B'!J79</f>
        <v>0</v>
      </c>
      <c r="K79" s="22">
        <f>'Preventative costs A'!K79-'Preventative costs B'!K79</f>
        <v>0</v>
      </c>
      <c r="M79" s="4" t="str">
        <f>'Library data'!$G$77</f>
        <v>%</v>
      </c>
    </row>
    <row r="80" spans="1:13" s="4" customFormat="1" x14ac:dyDescent="0.25">
      <c r="A80" s="4" t="str">
        <v>CA Lin</v>
      </c>
      <c r="B80" s="22">
        <f>'Preventative costs A'!B80-'Preventative costs B'!B80</f>
        <v>0</v>
      </c>
      <c r="C80" s="22">
        <f>'Preventative costs A'!C80-'Preventative costs B'!C80</f>
        <v>0</v>
      </c>
      <c r="D80" s="22">
        <f>'Preventative costs A'!D80-'Preventative costs B'!D80</f>
        <v>0</v>
      </c>
      <c r="E80" s="22">
        <f>'Preventative costs A'!E80-'Preventative costs B'!E80</f>
        <v>0</v>
      </c>
      <c r="F80" s="22">
        <f>'Preventative costs A'!F80-'Preventative costs B'!F80</f>
        <v>0</v>
      </c>
      <c r="G80" s="22">
        <f>'Preventative costs A'!G80-'Preventative costs B'!G80</f>
        <v>0</v>
      </c>
      <c r="H80" s="22">
        <f>'Preventative costs A'!H80-'Preventative costs B'!H80</f>
        <v>0</v>
      </c>
      <c r="I80" s="22">
        <f>'Preventative costs A'!I80-'Preventative costs B'!I80</f>
        <v>0</v>
      </c>
      <c r="J80" s="22">
        <f>'Preventative costs A'!J80-'Preventative costs B'!J80</f>
        <v>0</v>
      </c>
      <c r="K80" s="22">
        <f>'Preventative costs A'!K80-'Preventative costs B'!K80</f>
        <v>0</v>
      </c>
      <c r="M80" s="4" t="str">
        <f>'Library data'!$G$77</f>
        <v>%</v>
      </c>
    </row>
    <row r="81" spans="1:13" s="4" customFormat="1" x14ac:dyDescent="0.25">
      <c r="A81" s="4" t="str">
        <v>IA Lin</v>
      </c>
      <c r="B81" s="22">
        <f>'Preventative costs A'!B81-'Preventative costs B'!B81</f>
        <v>0</v>
      </c>
      <c r="C81" s="22">
        <f>'Preventative costs A'!C81-'Preventative costs B'!C81</f>
        <v>0</v>
      </c>
      <c r="D81" s="22">
        <f>'Preventative costs A'!D81-'Preventative costs B'!D81</f>
        <v>0</v>
      </c>
      <c r="E81" s="22">
        <f>'Preventative costs A'!E81-'Preventative costs B'!E81</f>
        <v>0</v>
      </c>
      <c r="F81" s="22">
        <f>'Preventative costs A'!F81-'Preventative costs B'!F81</f>
        <v>0</v>
      </c>
      <c r="G81" s="22">
        <f>'Preventative costs A'!G81-'Preventative costs B'!G81</f>
        <v>0</v>
      </c>
      <c r="H81" s="22">
        <f>'Preventative costs A'!H81-'Preventative costs B'!H81</f>
        <v>0</v>
      </c>
      <c r="I81" s="22">
        <f>'Preventative costs A'!I81-'Preventative costs B'!I81</f>
        <v>0</v>
      </c>
      <c r="J81" s="22">
        <f>'Preventative costs A'!J81-'Preventative costs B'!J81</f>
        <v>0</v>
      </c>
      <c r="K81" s="22">
        <f>'Preventative costs A'!K81-'Preventative costs B'!K81</f>
        <v>0</v>
      </c>
      <c r="M81" s="4" t="str">
        <f>'Library data'!$G$77</f>
        <v>%</v>
      </c>
    </row>
    <row r="82" spans="1:13" s="4" customFormat="1" x14ac:dyDescent="0.25">
      <c r="A82" s="4" t="str">
        <v>AF Lin</v>
      </c>
      <c r="B82" s="22">
        <f>'Preventative costs A'!B82-'Preventative costs B'!B82</f>
        <v>0</v>
      </c>
      <c r="C82" s="22">
        <f>'Preventative costs A'!C82-'Preventative costs B'!C82</f>
        <v>0</v>
      </c>
      <c r="D82" s="22">
        <f>'Preventative costs A'!D82-'Preventative costs B'!D82</f>
        <v>0</v>
      </c>
      <c r="E82" s="22">
        <f>'Preventative costs A'!E82-'Preventative costs B'!E82</f>
        <v>0</v>
      </c>
      <c r="F82" s="22">
        <f>'Preventative costs A'!F82-'Preventative costs B'!F82</f>
        <v>0</v>
      </c>
      <c r="G82" s="22">
        <f>'Preventative costs A'!G82-'Preventative costs B'!G82</f>
        <v>0</v>
      </c>
      <c r="H82" s="22">
        <f>'Preventative costs A'!H82-'Preventative costs B'!H82</f>
        <v>0</v>
      </c>
      <c r="I82" s="22">
        <f>'Preventative costs A'!I82-'Preventative costs B'!I82</f>
        <v>0</v>
      </c>
      <c r="J82" s="22">
        <f>'Preventative costs A'!J82-'Preventative costs B'!J82</f>
        <v>0</v>
      </c>
      <c r="K82" s="22">
        <f>'Preventative costs A'!K82-'Preventative costs B'!K82</f>
        <v>0</v>
      </c>
      <c r="M82" s="4" t="str">
        <f>'Library data'!$G$77</f>
        <v>%</v>
      </c>
    </row>
    <row r="83" spans="1:13" s="4" customFormat="1" ht="13" thickBot="1" x14ac:dyDescent="0.3">
      <c r="A83" s="4" t="str">
        <v>LA Lin</v>
      </c>
      <c r="B83" s="24">
        <f>'Preventative costs A'!B83-'Preventative costs B'!B83</f>
        <v>0</v>
      </c>
      <c r="C83" s="24">
        <f>'Preventative costs A'!C83-'Preventative costs B'!C83</f>
        <v>0</v>
      </c>
      <c r="D83" s="24">
        <f>'Preventative costs A'!D83-'Preventative costs B'!D83</f>
        <v>0</v>
      </c>
      <c r="E83" s="24">
        <f>'Preventative costs A'!E83-'Preventative costs B'!E83</f>
        <v>0</v>
      </c>
      <c r="F83" s="24">
        <f>'Preventative costs A'!F83-'Preventative costs B'!F83</f>
        <v>0</v>
      </c>
      <c r="G83" s="24">
        <f>'Preventative costs A'!G83-'Preventative costs B'!G83</f>
        <v>0</v>
      </c>
      <c r="H83" s="24">
        <f>'Preventative costs A'!H83-'Preventative costs B'!H83</f>
        <v>0</v>
      </c>
      <c r="I83" s="24">
        <f>'Preventative costs A'!I83-'Preventative costs B'!I83</f>
        <v>0</v>
      </c>
      <c r="J83" s="24">
        <f>'Preventative costs A'!J83-'Preventative costs B'!J83</f>
        <v>0</v>
      </c>
      <c r="K83" s="24">
        <f>'Preventative costs A'!K83-'Preventative costs B'!K83</f>
        <v>0</v>
      </c>
      <c r="M83" s="4" t="str">
        <f>'Library data'!$G$77</f>
        <v>%</v>
      </c>
    </row>
    <row r="84" spans="1:13" s="2" customFormat="1" ht="15.5" thickTop="1" x14ac:dyDescent="0.4">
      <c r="A84" s="2" t="s">
        <v>135</v>
      </c>
      <c r="B84" s="2" t="s">
        <v>136</v>
      </c>
    </row>
    <row r="85" spans="1:13" s="6" customFormat="1" x14ac:dyDescent="0.25">
      <c r="A85" s="4" t="str">
        <f t="array" ref="A85:A92">R_CODE&amp;" "&amp;'Base data'!$B$11</f>
        <v>EU CO2</v>
      </c>
      <c r="B85" s="20">
        <f>'Preventative costs A'!B85-'Preventative costs B'!B85</f>
        <v>0</v>
      </c>
      <c r="C85" s="20">
        <f>'Preventative costs A'!C85-'Preventative costs B'!C85</f>
        <v>0</v>
      </c>
      <c r="D85" s="20">
        <f>'Preventative costs A'!D85-'Preventative costs B'!D85</f>
        <v>0</v>
      </c>
      <c r="E85" s="20">
        <f>'Preventative costs A'!E85-'Preventative costs B'!E85</f>
        <v>0</v>
      </c>
      <c r="F85" s="20">
        <f>'Preventative costs A'!F85-'Preventative costs B'!F85</f>
        <v>0</v>
      </c>
      <c r="G85" s="20">
        <f>'Preventative costs A'!G85-'Preventative costs B'!G85</f>
        <v>0</v>
      </c>
      <c r="H85" s="20">
        <f>'Preventative costs A'!H85-'Preventative costs B'!H85</f>
        <v>0</v>
      </c>
      <c r="I85" s="20">
        <f>'Preventative costs A'!I85-'Preventative costs B'!I85</f>
        <v>0</v>
      </c>
      <c r="J85" s="20">
        <f>'Preventative costs A'!J85-'Preventative costs B'!J85</f>
        <v>0</v>
      </c>
      <c r="K85" s="20">
        <f>'Preventative costs A'!K85-'Preventative costs B'!K85</f>
        <v>0</v>
      </c>
      <c r="M85" s="4" t="str">
        <f>'Library data'!$G$77</f>
        <v>%</v>
      </c>
    </row>
    <row r="86" spans="1:13" s="6" customFormat="1" x14ac:dyDescent="0.25">
      <c r="A86" s="4" t="str">
        <v>US CO2</v>
      </c>
      <c r="B86" s="22">
        <f>'Preventative costs A'!B86-'Preventative costs B'!B86</f>
        <v>0</v>
      </c>
      <c r="C86" s="22">
        <f>'Preventative costs A'!C86-'Preventative costs B'!C86</f>
        <v>0</v>
      </c>
      <c r="D86" s="22">
        <f>'Preventative costs A'!D86-'Preventative costs B'!D86</f>
        <v>0</v>
      </c>
      <c r="E86" s="22">
        <f>'Preventative costs A'!E86-'Preventative costs B'!E86</f>
        <v>0</v>
      </c>
      <c r="F86" s="22">
        <f>'Preventative costs A'!F86-'Preventative costs B'!F86</f>
        <v>0</v>
      </c>
      <c r="G86" s="22">
        <f>'Preventative costs A'!G86-'Preventative costs B'!G86</f>
        <v>0</v>
      </c>
      <c r="H86" s="22">
        <f>'Preventative costs A'!H86-'Preventative costs B'!H86</f>
        <v>0</v>
      </c>
      <c r="I86" s="22">
        <f>'Preventative costs A'!I86-'Preventative costs B'!I86</f>
        <v>0</v>
      </c>
      <c r="J86" s="22">
        <f>'Preventative costs A'!J86-'Preventative costs B'!J86</f>
        <v>0</v>
      </c>
      <c r="K86" s="22">
        <f>'Preventative costs A'!K86-'Preventative costs B'!K86</f>
        <v>0</v>
      </c>
      <c r="M86" s="4" t="str">
        <f>'Library data'!$G$77</f>
        <v>%</v>
      </c>
    </row>
    <row r="87" spans="1:13" s="6" customFormat="1" x14ac:dyDescent="0.25">
      <c r="A87" s="4" t="str">
        <v>OT CO2</v>
      </c>
      <c r="B87" s="22">
        <f>'Preventative costs A'!B87-'Preventative costs B'!B87</f>
        <v>0</v>
      </c>
      <c r="C87" s="22">
        <f>'Preventative costs A'!C87-'Preventative costs B'!C87</f>
        <v>0</v>
      </c>
      <c r="D87" s="22">
        <f>'Preventative costs A'!D87-'Preventative costs B'!D87</f>
        <v>0</v>
      </c>
      <c r="E87" s="22">
        <f>'Preventative costs A'!E87-'Preventative costs B'!E87</f>
        <v>0</v>
      </c>
      <c r="F87" s="22">
        <f>'Preventative costs A'!F87-'Preventative costs B'!F87</f>
        <v>0</v>
      </c>
      <c r="G87" s="22">
        <f>'Preventative costs A'!G87-'Preventative costs B'!G87</f>
        <v>0</v>
      </c>
      <c r="H87" s="22">
        <f>'Preventative costs A'!H87-'Preventative costs B'!H87</f>
        <v>0</v>
      </c>
      <c r="I87" s="22">
        <f>'Preventative costs A'!I87-'Preventative costs B'!I87</f>
        <v>0</v>
      </c>
      <c r="J87" s="22">
        <f>'Preventative costs A'!J87-'Preventative costs B'!J87</f>
        <v>0</v>
      </c>
      <c r="K87" s="22">
        <f>'Preventative costs A'!K87-'Preventative costs B'!K87</f>
        <v>0</v>
      </c>
      <c r="M87" s="4" t="str">
        <f>'Library data'!$G$77</f>
        <v>%</v>
      </c>
    </row>
    <row r="88" spans="1:13" s="6" customFormat="1" x14ac:dyDescent="0.25">
      <c r="A88" s="4" t="str">
        <v>EE CO2</v>
      </c>
      <c r="B88" s="22">
        <f>'Preventative costs A'!B88-'Preventative costs B'!B88</f>
        <v>0</v>
      </c>
      <c r="C88" s="22">
        <f>'Preventative costs A'!C88-'Preventative costs B'!C88</f>
        <v>0</v>
      </c>
      <c r="D88" s="22">
        <f>'Preventative costs A'!D88-'Preventative costs B'!D88</f>
        <v>0</v>
      </c>
      <c r="E88" s="22">
        <f>'Preventative costs A'!E88-'Preventative costs B'!E88</f>
        <v>0</v>
      </c>
      <c r="F88" s="22">
        <f>'Preventative costs A'!F88-'Preventative costs B'!F88</f>
        <v>0</v>
      </c>
      <c r="G88" s="22">
        <f>'Preventative costs A'!G88-'Preventative costs B'!G88</f>
        <v>0</v>
      </c>
      <c r="H88" s="22">
        <f>'Preventative costs A'!H88-'Preventative costs B'!H88</f>
        <v>0</v>
      </c>
      <c r="I88" s="22">
        <f>'Preventative costs A'!I88-'Preventative costs B'!I88</f>
        <v>0</v>
      </c>
      <c r="J88" s="22">
        <f>'Preventative costs A'!J88-'Preventative costs B'!J88</f>
        <v>0</v>
      </c>
      <c r="K88" s="22">
        <f>'Preventative costs A'!K88-'Preventative costs B'!K88</f>
        <v>0</v>
      </c>
      <c r="M88" s="4" t="str">
        <f>'Library data'!$G$77</f>
        <v>%</v>
      </c>
    </row>
    <row r="89" spans="1:13" s="6" customFormat="1" x14ac:dyDescent="0.25">
      <c r="A89" s="4" t="str">
        <v>CA CO2</v>
      </c>
      <c r="B89" s="22">
        <f>'Preventative costs A'!B89-'Preventative costs B'!B89</f>
        <v>0</v>
      </c>
      <c r="C89" s="22">
        <f>'Preventative costs A'!C89-'Preventative costs B'!C89</f>
        <v>0</v>
      </c>
      <c r="D89" s="22">
        <f>'Preventative costs A'!D89-'Preventative costs B'!D89</f>
        <v>0</v>
      </c>
      <c r="E89" s="22">
        <f>'Preventative costs A'!E89-'Preventative costs B'!E89</f>
        <v>0</v>
      </c>
      <c r="F89" s="22">
        <f>'Preventative costs A'!F89-'Preventative costs B'!F89</f>
        <v>0</v>
      </c>
      <c r="G89" s="22">
        <f>'Preventative costs A'!G89-'Preventative costs B'!G89</f>
        <v>0</v>
      </c>
      <c r="H89" s="22">
        <f>'Preventative costs A'!H89-'Preventative costs B'!H89</f>
        <v>0</v>
      </c>
      <c r="I89" s="22">
        <f>'Preventative costs A'!I89-'Preventative costs B'!I89</f>
        <v>0</v>
      </c>
      <c r="J89" s="22">
        <f>'Preventative costs A'!J89-'Preventative costs B'!J89</f>
        <v>0</v>
      </c>
      <c r="K89" s="22">
        <f>'Preventative costs A'!K89-'Preventative costs B'!K89</f>
        <v>0</v>
      </c>
      <c r="M89" s="4" t="str">
        <f>'Library data'!$G$77</f>
        <v>%</v>
      </c>
    </row>
    <row r="90" spans="1:13" s="6" customFormat="1" x14ac:dyDescent="0.25">
      <c r="A90" s="4" t="str">
        <v>IA CO2</v>
      </c>
      <c r="B90" s="22">
        <f>'Preventative costs A'!B90-'Preventative costs B'!B90</f>
        <v>0</v>
      </c>
      <c r="C90" s="22">
        <f>'Preventative costs A'!C90-'Preventative costs B'!C90</f>
        <v>0</v>
      </c>
      <c r="D90" s="22">
        <f>'Preventative costs A'!D90-'Preventative costs B'!D90</f>
        <v>0</v>
      </c>
      <c r="E90" s="22">
        <f>'Preventative costs A'!E90-'Preventative costs B'!E90</f>
        <v>0</v>
      </c>
      <c r="F90" s="22">
        <f>'Preventative costs A'!F90-'Preventative costs B'!F90</f>
        <v>0</v>
      </c>
      <c r="G90" s="22">
        <f>'Preventative costs A'!G90-'Preventative costs B'!G90</f>
        <v>0</v>
      </c>
      <c r="H90" s="22">
        <f>'Preventative costs A'!H90-'Preventative costs B'!H90</f>
        <v>0</v>
      </c>
      <c r="I90" s="22">
        <f>'Preventative costs A'!I90-'Preventative costs B'!I90</f>
        <v>0</v>
      </c>
      <c r="J90" s="22">
        <f>'Preventative costs A'!J90-'Preventative costs B'!J90</f>
        <v>0</v>
      </c>
      <c r="K90" s="22">
        <f>'Preventative costs A'!K90-'Preventative costs B'!K90</f>
        <v>0</v>
      </c>
      <c r="M90" s="4" t="str">
        <f>'Library data'!$G$77</f>
        <v>%</v>
      </c>
    </row>
    <row r="91" spans="1:13" s="6" customFormat="1" x14ac:dyDescent="0.25">
      <c r="A91" s="4" t="str">
        <v>AF CO2</v>
      </c>
      <c r="B91" s="22">
        <f>'Preventative costs A'!B91-'Preventative costs B'!B91</f>
        <v>0</v>
      </c>
      <c r="C91" s="22">
        <f>'Preventative costs A'!C91-'Preventative costs B'!C91</f>
        <v>0</v>
      </c>
      <c r="D91" s="22">
        <f>'Preventative costs A'!D91-'Preventative costs B'!D91</f>
        <v>0</v>
      </c>
      <c r="E91" s="22">
        <f>'Preventative costs A'!E91-'Preventative costs B'!E91</f>
        <v>0</v>
      </c>
      <c r="F91" s="22">
        <f>'Preventative costs A'!F91-'Preventative costs B'!F91</f>
        <v>0</v>
      </c>
      <c r="G91" s="22">
        <f>'Preventative costs A'!G91-'Preventative costs B'!G91</f>
        <v>0</v>
      </c>
      <c r="H91" s="22">
        <f>'Preventative costs A'!H91-'Preventative costs B'!H91</f>
        <v>0</v>
      </c>
      <c r="I91" s="22">
        <f>'Preventative costs A'!I91-'Preventative costs B'!I91</f>
        <v>0</v>
      </c>
      <c r="J91" s="22">
        <f>'Preventative costs A'!J91-'Preventative costs B'!J91</f>
        <v>0</v>
      </c>
      <c r="K91" s="22">
        <f>'Preventative costs A'!K91-'Preventative costs B'!K91</f>
        <v>0</v>
      </c>
      <c r="M91" s="4" t="str">
        <f>'Library data'!$G$77</f>
        <v>%</v>
      </c>
    </row>
    <row r="92" spans="1:13" s="6" customFormat="1" ht="13" thickBot="1" x14ac:dyDescent="0.3">
      <c r="A92" s="4" t="str">
        <v>LA CO2</v>
      </c>
      <c r="B92" s="24">
        <f>'Preventative costs A'!B92-'Preventative costs B'!B92</f>
        <v>0</v>
      </c>
      <c r="C92" s="24">
        <f>'Preventative costs A'!C92-'Preventative costs B'!C92</f>
        <v>0</v>
      </c>
      <c r="D92" s="24">
        <f>'Preventative costs A'!D92-'Preventative costs B'!D92</f>
        <v>0</v>
      </c>
      <c r="E92" s="24">
        <f>'Preventative costs A'!E92-'Preventative costs B'!E92</f>
        <v>0</v>
      </c>
      <c r="F92" s="24">
        <f>'Preventative costs A'!F92-'Preventative costs B'!F92</f>
        <v>0</v>
      </c>
      <c r="G92" s="24">
        <f>'Preventative costs A'!G92-'Preventative costs B'!G92</f>
        <v>0</v>
      </c>
      <c r="H92" s="24">
        <f>'Preventative costs A'!H92-'Preventative costs B'!H92</f>
        <v>0</v>
      </c>
      <c r="I92" s="24">
        <f>'Preventative costs A'!I92-'Preventative costs B'!I92</f>
        <v>0</v>
      </c>
      <c r="J92" s="24">
        <f>'Preventative costs A'!J92-'Preventative costs B'!J92</f>
        <v>0</v>
      </c>
      <c r="K92" s="24">
        <f>'Preventative costs A'!K92-'Preventative costs B'!K92</f>
        <v>0</v>
      </c>
      <c r="M92" s="4" t="str">
        <f>'Library data'!$G$77</f>
        <v>%</v>
      </c>
    </row>
    <row r="93" spans="1:13" s="8" customFormat="1" ht="15.5" thickTop="1" x14ac:dyDescent="0.4">
      <c r="A93" s="8" t="s">
        <v>135</v>
      </c>
      <c r="B93" s="8" t="s">
        <v>137</v>
      </c>
    </row>
    <row r="94" spans="1:13" s="7" customFormat="1" x14ac:dyDescent="0.25">
      <c r="A94" s="4" t="str">
        <f t="array" ref="A94:A101">R_CODE&amp;" "&amp;'Base data'!$C$11</f>
        <v>EU CH4</v>
      </c>
      <c r="B94" s="20">
        <f>'Preventative costs A'!B94-'Preventative costs B'!B94</f>
        <v>0</v>
      </c>
      <c r="C94" s="20">
        <f>'Preventative costs A'!C94-'Preventative costs B'!C94</f>
        <v>0</v>
      </c>
      <c r="D94" s="20">
        <f>'Preventative costs A'!D94-'Preventative costs B'!D94</f>
        <v>0</v>
      </c>
      <c r="E94" s="20">
        <f>'Preventative costs A'!E94-'Preventative costs B'!E94</f>
        <v>0</v>
      </c>
      <c r="F94" s="20">
        <f>'Preventative costs A'!F94-'Preventative costs B'!F94</f>
        <v>0</v>
      </c>
      <c r="G94" s="20">
        <f>'Preventative costs A'!G94-'Preventative costs B'!G94</f>
        <v>0</v>
      </c>
      <c r="H94" s="20">
        <f>'Preventative costs A'!H94-'Preventative costs B'!H94</f>
        <v>0</v>
      </c>
      <c r="I94" s="20">
        <f>'Preventative costs A'!I94-'Preventative costs B'!I94</f>
        <v>0</v>
      </c>
      <c r="J94" s="20">
        <f>'Preventative costs A'!J94-'Preventative costs B'!J94</f>
        <v>0</v>
      </c>
      <c r="K94" s="20">
        <f>'Preventative costs A'!K94-'Preventative costs B'!K94</f>
        <v>0</v>
      </c>
      <c r="M94" s="4" t="str">
        <f>'Library data'!$G$77</f>
        <v>%</v>
      </c>
    </row>
    <row r="95" spans="1:13" s="7" customFormat="1" x14ac:dyDescent="0.25">
      <c r="A95" s="4" t="str">
        <v>US CH4</v>
      </c>
      <c r="B95" s="22">
        <f>'Preventative costs A'!B95-'Preventative costs B'!B95</f>
        <v>0</v>
      </c>
      <c r="C95" s="22">
        <f>'Preventative costs A'!C95-'Preventative costs B'!C95</f>
        <v>0</v>
      </c>
      <c r="D95" s="22">
        <f>'Preventative costs A'!D95-'Preventative costs B'!D95</f>
        <v>0</v>
      </c>
      <c r="E95" s="22">
        <f>'Preventative costs A'!E95-'Preventative costs B'!E95</f>
        <v>0</v>
      </c>
      <c r="F95" s="22">
        <f>'Preventative costs A'!F95-'Preventative costs B'!F95</f>
        <v>0</v>
      </c>
      <c r="G95" s="22">
        <f>'Preventative costs A'!G95-'Preventative costs B'!G95</f>
        <v>0</v>
      </c>
      <c r="H95" s="22">
        <f>'Preventative costs A'!H95-'Preventative costs B'!H95</f>
        <v>0</v>
      </c>
      <c r="I95" s="22">
        <f>'Preventative costs A'!I95-'Preventative costs B'!I95</f>
        <v>0</v>
      </c>
      <c r="J95" s="22">
        <f>'Preventative costs A'!J95-'Preventative costs B'!J95</f>
        <v>0</v>
      </c>
      <c r="K95" s="22">
        <f>'Preventative costs A'!K95-'Preventative costs B'!K95</f>
        <v>0</v>
      </c>
      <c r="M95" s="4" t="str">
        <f>'Library data'!$G$77</f>
        <v>%</v>
      </c>
    </row>
    <row r="96" spans="1:13" s="7" customFormat="1" x14ac:dyDescent="0.25">
      <c r="A96" s="4" t="str">
        <v>OT CH4</v>
      </c>
      <c r="B96" s="22">
        <f>'Preventative costs A'!B96-'Preventative costs B'!B96</f>
        <v>0</v>
      </c>
      <c r="C96" s="22">
        <f>'Preventative costs A'!C96-'Preventative costs B'!C96</f>
        <v>0</v>
      </c>
      <c r="D96" s="22">
        <f>'Preventative costs A'!D96-'Preventative costs B'!D96</f>
        <v>0</v>
      </c>
      <c r="E96" s="22">
        <f>'Preventative costs A'!E96-'Preventative costs B'!E96</f>
        <v>0</v>
      </c>
      <c r="F96" s="22">
        <f>'Preventative costs A'!F96-'Preventative costs B'!F96</f>
        <v>0</v>
      </c>
      <c r="G96" s="22">
        <f>'Preventative costs A'!G96-'Preventative costs B'!G96</f>
        <v>0</v>
      </c>
      <c r="H96" s="22">
        <f>'Preventative costs A'!H96-'Preventative costs B'!H96</f>
        <v>0</v>
      </c>
      <c r="I96" s="22">
        <f>'Preventative costs A'!I96-'Preventative costs B'!I96</f>
        <v>0</v>
      </c>
      <c r="J96" s="22">
        <f>'Preventative costs A'!J96-'Preventative costs B'!J96</f>
        <v>0</v>
      </c>
      <c r="K96" s="22">
        <f>'Preventative costs A'!K96-'Preventative costs B'!K96</f>
        <v>0</v>
      </c>
      <c r="M96" s="4" t="str">
        <f>'Library data'!$G$77</f>
        <v>%</v>
      </c>
    </row>
    <row r="97" spans="1:13" s="7" customFormat="1" x14ac:dyDescent="0.25">
      <c r="A97" s="4" t="str">
        <v>EE CH4</v>
      </c>
      <c r="B97" s="22">
        <f>'Preventative costs A'!B97-'Preventative costs B'!B97</f>
        <v>0</v>
      </c>
      <c r="C97" s="22">
        <f>'Preventative costs A'!C97-'Preventative costs B'!C97</f>
        <v>0</v>
      </c>
      <c r="D97" s="22">
        <f>'Preventative costs A'!D97-'Preventative costs B'!D97</f>
        <v>0</v>
      </c>
      <c r="E97" s="22">
        <f>'Preventative costs A'!E97-'Preventative costs B'!E97</f>
        <v>0</v>
      </c>
      <c r="F97" s="22">
        <f>'Preventative costs A'!F97-'Preventative costs B'!F97</f>
        <v>0</v>
      </c>
      <c r="G97" s="22">
        <f>'Preventative costs A'!G97-'Preventative costs B'!G97</f>
        <v>0</v>
      </c>
      <c r="H97" s="22">
        <f>'Preventative costs A'!H97-'Preventative costs B'!H97</f>
        <v>0</v>
      </c>
      <c r="I97" s="22">
        <f>'Preventative costs A'!I97-'Preventative costs B'!I97</f>
        <v>0</v>
      </c>
      <c r="J97" s="22">
        <f>'Preventative costs A'!J97-'Preventative costs B'!J97</f>
        <v>0</v>
      </c>
      <c r="K97" s="22">
        <f>'Preventative costs A'!K97-'Preventative costs B'!K97</f>
        <v>0</v>
      </c>
      <c r="M97" s="4" t="str">
        <f>'Library data'!$G$77</f>
        <v>%</v>
      </c>
    </row>
    <row r="98" spans="1:13" s="7" customFormat="1" x14ac:dyDescent="0.25">
      <c r="A98" s="4" t="str">
        <v>CA CH4</v>
      </c>
      <c r="B98" s="22">
        <f>'Preventative costs A'!B98-'Preventative costs B'!B98</f>
        <v>0</v>
      </c>
      <c r="C98" s="22">
        <f>'Preventative costs A'!C98-'Preventative costs B'!C98</f>
        <v>0</v>
      </c>
      <c r="D98" s="22">
        <f>'Preventative costs A'!D98-'Preventative costs B'!D98</f>
        <v>0</v>
      </c>
      <c r="E98" s="22">
        <f>'Preventative costs A'!E98-'Preventative costs B'!E98</f>
        <v>0</v>
      </c>
      <c r="F98" s="22">
        <f>'Preventative costs A'!F98-'Preventative costs B'!F98</f>
        <v>0</v>
      </c>
      <c r="G98" s="22">
        <f>'Preventative costs A'!G98-'Preventative costs B'!G98</f>
        <v>0</v>
      </c>
      <c r="H98" s="22">
        <f>'Preventative costs A'!H98-'Preventative costs B'!H98</f>
        <v>0</v>
      </c>
      <c r="I98" s="22">
        <f>'Preventative costs A'!I98-'Preventative costs B'!I98</f>
        <v>0</v>
      </c>
      <c r="J98" s="22">
        <f>'Preventative costs A'!J98-'Preventative costs B'!J98</f>
        <v>0</v>
      </c>
      <c r="K98" s="22">
        <f>'Preventative costs A'!K98-'Preventative costs B'!K98</f>
        <v>0</v>
      </c>
      <c r="M98" s="4" t="str">
        <f>'Library data'!$G$77</f>
        <v>%</v>
      </c>
    </row>
    <row r="99" spans="1:13" s="7" customFormat="1" x14ac:dyDescent="0.25">
      <c r="A99" s="4" t="str">
        <v>IA CH4</v>
      </c>
      <c r="B99" s="22">
        <f>'Preventative costs A'!B99-'Preventative costs B'!B99</f>
        <v>0</v>
      </c>
      <c r="C99" s="22">
        <f>'Preventative costs A'!C99-'Preventative costs B'!C99</f>
        <v>0</v>
      </c>
      <c r="D99" s="22">
        <f>'Preventative costs A'!D99-'Preventative costs B'!D99</f>
        <v>0</v>
      </c>
      <c r="E99" s="22">
        <f>'Preventative costs A'!E99-'Preventative costs B'!E99</f>
        <v>0</v>
      </c>
      <c r="F99" s="22">
        <f>'Preventative costs A'!F99-'Preventative costs B'!F99</f>
        <v>0</v>
      </c>
      <c r="G99" s="22">
        <f>'Preventative costs A'!G99-'Preventative costs B'!G99</f>
        <v>0</v>
      </c>
      <c r="H99" s="22">
        <f>'Preventative costs A'!H99-'Preventative costs B'!H99</f>
        <v>0</v>
      </c>
      <c r="I99" s="22">
        <f>'Preventative costs A'!I99-'Preventative costs B'!I99</f>
        <v>0</v>
      </c>
      <c r="J99" s="22">
        <f>'Preventative costs A'!J99-'Preventative costs B'!J99</f>
        <v>0</v>
      </c>
      <c r="K99" s="22">
        <f>'Preventative costs A'!K99-'Preventative costs B'!K99</f>
        <v>0</v>
      </c>
      <c r="M99" s="4" t="str">
        <f>'Library data'!$G$77</f>
        <v>%</v>
      </c>
    </row>
    <row r="100" spans="1:13" s="7" customFormat="1" x14ac:dyDescent="0.25">
      <c r="A100" s="4" t="str">
        <v>AF CH4</v>
      </c>
      <c r="B100" s="22">
        <f>'Preventative costs A'!B100-'Preventative costs B'!B100</f>
        <v>0</v>
      </c>
      <c r="C100" s="22">
        <f>'Preventative costs A'!C100-'Preventative costs B'!C100</f>
        <v>0</v>
      </c>
      <c r="D100" s="22">
        <f>'Preventative costs A'!D100-'Preventative costs B'!D100</f>
        <v>0</v>
      </c>
      <c r="E100" s="22">
        <f>'Preventative costs A'!E100-'Preventative costs B'!E100</f>
        <v>0</v>
      </c>
      <c r="F100" s="22">
        <f>'Preventative costs A'!F100-'Preventative costs B'!F100</f>
        <v>0</v>
      </c>
      <c r="G100" s="22">
        <f>'Preventative costs A'!G100-'Preventative costs B'!G100</f>
        <v>0</v>
      </c>
      <c r="H100" s="22">
        <f>'Preventative costs A'!H100-'Preventative costs B'!H100</f>
        <v>0</v>
      </c>
      <c r="I100" s="22">
        <f>'Preventative costs A'!I100-'Preventative costs B'!I100</f>
        <v>0</v>
      </c>
      <c r="J100" s="22">
        <f>'Preventative costs A'!J100-'Preventative costs B'!J100</f>
        <v>0</v>
      </c>
      <c r="K100" s="22">
        <f>'Preventative costs A'!K100-'Preventative costs B'!K100</f>
        <v>0</v>
      </c>
      <c r="M100" s="4" t="str">
        <f>'Library data'!$G$77</f>
        <v>%</v>
      </c>
    </row>
    <row r="101" spans="1:13" s="7" customFormat="1" ht="13" thickBot="1" x14ac:dyDescent="0.3">
      <c r="A101" s="4" t="str">
        <v>LA CH4</v>
      </c>
      <c r="B101" s="24">
        <f>'Preventative costs A'!B101-'Preventative costs B'!B101</f>
        <v>0</v>
      </c>
      <c r="C101" s="24">
        <f>'Preventative costs A'!C101-'Preventative costs B'!C101</f>
        <v>0</v>
      </c>
      <c r="D101" s="24">
        <f>'Preventative costs A'!D101-'Preventative costs B'!D101</f>
        <v>0</v>
      </c>
      <c r="E101" s="24">
        <f>'Preventative costs A'!E101-'Preventative costs B'!E101</f>
        <v>0</v>
      </c>
      <c r="F101" s="24">
        <f>'Preventative costs A'!F101-'Preventative costs B'!F101</f>
        <v>0</v>
      </c>
      <c r="G101" s="24">
        <f>'Preventative costs A'!G101-'Preventative costs B'!G101</f>
        <v>0</v>
      </c>
      <c r="H101" s="24">
        <f>'Preventative costs A'!H101-'Preventative costs B'!H101</f>
        <v>0</v>
      </c>
      <c r="I101" s="24">
        <f>'Preventative costs A'!I101-'Preventative costs B'!I101</f>
        <v>0</v>
      </c>
      <c r="J101" s="24">
        <f>'Preventative costs A'!J101-'Preventative costs B'!J101</f>
        <v>0</v>
      </c>
      <c r="K101" s="24">
        <f>'Preventative costs A'!K101-'Preventative costs B'!K101</f>
        <v>0</v>
      </c>
      <c r="M101" s="4" t="str">
        <f>'Library data'!$G$77</f>
        <v>%</v>
      </c>
    </row>
    <row r="102" spans="1:13" s="8" customFormat="1" ht="15.5" thickTop="1" x14ac:dyDescent="0.4">
      <c r="A102" s="8" t="s">
        <v>135</v>
      </c>
      <c r="B102" s="8" t="s">
        <v>162</v>
      </c>
    </row>
    <row r="103" spans="1:13" s="7" customFormat="1" x14ac:dyDescent="0.25">
      <c r="A103" s="4" t="str">
        <f t="array" ref="A103:A110">R_CODE&amp;" "&amp;'Base data'!$D$11</f>
        <v>EU N2O</v>
      </c>
      <c r="B103" s="20">
        <f>'Preventative costs A'!B103-'Preventative costs B'!B103</f>
        <v>0</v>
      </c>
      <c r="C103" s="20">
        <f>'Preventative costs A'!C103-'Preventative costs B'!C103</f>
        <v>0</v>
      </c>
      <c r="D103" s="20">
        <f>'Preventative costs A'!D103-'Preventative costs B'!D103</f>
        <v>0</v>
      </c>
      <c r="E103" s="20">
        <f>'Preventative costs A'!E103-'Preventative costs B'!E103</f>
        <v>0</v>
      </c>
      <c r="F103" s="20">
        <f>'Preventative costs A'!F103-'Preventative costs B'!F103</f>
        <v>0</v>
      </c>
      <c r="G103" s="20">
        <f>'Preventative costs A'!G103-'Preventative costs B'!G103</f>
        <v>0</v>
      </c>
      <c r="H103" s="20">
        <f>'Preventative costs A'!H103-'Preventative costs B'!H103</f>
        <v>0</v>
      </c>
      <c r="I103" s="20">
        <f>'Preventative costs A'!I103-'Preventative costs B'!I103</f>
        <v>0</v>
      </c>
      <c r="J103" s="20">
        <f>'Preventative costs A'!J103-'Preventative costs B'!J103</f>
        <v>0</v>
      </c>
      <c r="K103" s="20">
        <f>'Preventative costs A'!K103-'Preventative costs B'!K103</f>
        <v>0</v>
      </c>
      <c r="M103" s="4" t="str">
        <f>'Library data'!$G$77</f>
        <v>%</v>
      </c>
    </row>
    <row r="104" spans="1:13" s="7" customFormat="1" x14ac:dyDescent="0.25">
      <c r="A104" s="4" t="str">
        <v>US N2O</v>
      </c>
      <c r="B104" s="22">
        <f>'Preventative costs A'!B104-'Preventative costs B'!B104</f>
        <v>0</v>
      </c>
      <c r="C104" s="22">
        <f>'Preventative costs A'!C104-'Preventative costs B'!C104</f>
        <v>0</v>
      </c>
      <c r="D104" s="22">
        <f>'Preventative costs A'!D104-'Preventative costs B'!D104</f>
        <v>0</v>
      </c>
      <c r="E104" s="22">
        <f>'Preventative costs A'!E104-'Preventative costs B'!E104</f>
        <v>0</v>
      </c>
      <c r="F104" s="22">
        <f>'Preventative costs A'!F104-'Preventative costs B'!F104</f>
        <v>0</v>
      </c>
      <c r="G104" s="22">
        <f>'Preventative costs A'!G104-'Preventative costs B'!G104</f>
        <v>0</v>
      </c>
      <c r="H104" s="22">
        <f>'Preventative costs A'!H104-'Preventative costs B'!H104</f>
        <v>0</v>
      </c>
      <c r="I104" s="22">
        <f>'Preventative costs A'!I104-'Preventative costs B'!I104</f>
        <v>0</v>
      </c>
      <c r="J104" s="22">
        <f>'Preventative costs A'!J104-'Preventative costs B'!J104</f>
        <v>0</v>
      </c>
      <c r="K104" s="22">
        <f>'Preventative costs A'!K104-'Preventative costs B'!K104</f>
        <v>0</v>
      </c>
      <c r="M104" s="4" t="str">
        <f>'Library data'!$G$77</f>
        <v>%</v>
      </c>
    </row>
    <row r="105" spans="1:13" s="7" customFormat="1" x14ac:dyDescent="0.25">
      <c r="A105" s="4" t="str">
        <v>OT N2O</v>
      </c>
      <c r="B105" s="22">
        <f>'Preventative costs A'!B105-'Preventative costs B'!B105</f>
        <v>0</v>
      </c>
      <c r="C105" s="22">
        <f>'Preventative costs A'!C105-'Preventative costs B'!C105</f>
        <v>0</v>
      </c>
      <c r="D105" s="22">
        <f>'Preventative costs A'!D105-'Preventative costs B'!D105</f>
        <v>0</v>
      </c>
      <c r="E105" s="22">
        <f>'Preventative costs A'!E105-'Preventative costs B'!E105</f>
        <v>0</v>
      </c>
      <c r="F105" s="22">
        <f>'Preventative costs A'!F105-'Preventative costs B'!F105</f>
        <v>0</v>
      </c>
      <c r="G105" s="22">
        <f>'Preventative costs A'!G105-'Preventative costs B'!G105</f>
        <v>0</v>
      </c>
      <c r="H105" s="22">
        <f>'Preventative costs A'!H105-'Preventative costs B'!H105</f>
        <v>0</v>
      </c>
      <c r="I105" s="22">
        <f>'Preventative costs A'!I105-'Preventative costs B'!I105</f>
        <v>0</v>
      </c>
      <c r="J105" s="22">
        <f>'Preventative costs A'!J105-'Preventative costs B'!J105</f>
        <v>0</v>
      </c>
      <c r="K105" s="22">
        <f>'Preventative costs A'!K105-'Preventative costs B'!K105</f>
        <v>0</v>
      </c>
      <c r="M105" s="4" t="str">
        <f>'Library data'!$G$77</f>
        <v>%</v>
      </c>
    </row>
    <row r="106" spans="1:13" s="7" customFormat="1" x14ac:dyDescent="0.25">
      <c r="A106" s="4" t="str">
        <v>EE N2O</v>
      </c>
      <c r="B106" s="22">
        <f>'Preventative costs A'!B106-'Preventative costs B'!B106</f>
        <v>0</v>
      </c>
      <c r="C106" s="22">
        <f>'Preventative costs A'!C106-'Preventative costs B'!C106</f>
        <v>0</v>
      </c>
      <c r="D106" s="22">
        <f>'Preventative costs A'!D106-'Preventative costs B'!D106</f>
        <v>0</v>
      </c>
      <c r="E106" s="22">
        <f>'Preventative costs A'!E106-'Preventative costs B'!E106</f>
        <v>0</v>
      </c>
      <c r="F106" s="22">
        <f>'Preventative costs A'!F106-'Preventative costs B'!F106</f>
        <v>0</v>
      </c>
      <c r="G106" s="22">
        <f>'Preventative costs A'!G106-'Preventative costs B'!G106</f>
        <v>0</v>
      </c>
      <c r="H106" s="22">
        <f>'Preventative costs A'!H106-'Preventative costs B'!H106</f>
        <v>0</v>
      </c>
      <c r="I106" s="22">
        <f>'Preventative costs A'!I106-'Preventative costs B'!I106</f>
        <v>0</v>
      </c>
      <c r="J106" s="22">
        <f>'Preventative costs A'!J106-'Preventative costs B'!J106</f>
        <v>0</v>
      </c>
      <c r="K106" s="22">
        <f>'Preventative costs A'!K106-'Preventative costs B'!K106</f>
        <v>0</v>
      </c>
      <c r="M106" s="4" t="str">
        <f>'Library data'!$G$77</f>
        <v>%</v>
      </c>
    </row>
    <row r="107" spans="1:13" s="7" customFormat="1" x14ac:dyDescent="0.25">
      <c r="A107" s="4" t="str">
        <v>CA N2O</v>
      </c>
      <c r="B107" s="22">
        <f>'Preventative costs A'!B107-'Preventative costs B'!B107</f>
        <v>0</v>
      </c>
      <c r="C107" s="22">
        <f>'Preventative costs A'!C107-'Preventative costs B'!C107</f>
        <v>0</v>
      </c>
      <c r="D107" s="22">
        <f>'Preventative costs A'!D107-'Preventative costs B'!D107</f>
        <v>0</v>
      </c>
      <c r="E107" s="22">
        <f>'Preventative costs A'!E107-'Preventative costs B'!E107</f>
        <v>0</v>
      </c>
      <c r="F107" s="22">
        <f>'Preventative costs A'!F107-'Preventative costs B'!F107</f>
        <v>0</v>
      </c>
      <c r="G107" s="22">
        <f>'Preventative costs A'!G107-'Preventative costs B'!G107</f>
        <v>0</v>
      </c>
      <c r="H107" s="22">
        <f>'Preventative costs A'!H107-'Preventative costs B'!H107</f>
        <v>0</v>
      </c>
      <c r="I107" s="22">
        <f>'Preventative costs A'!I107-'Preventative costs B'!I107</f>
        <v>0</v>
      </c>
      <c r="J107" s="22">
        <f>'Preventative costs A'!J107-'Preventative costs B'!J107</f>
        <v>0</v>
      </c>
      <c r="K107" s="22">
        <f>'Preventative costs A'!K107-'Preventative costs B'!K107</f>
        <v>0</v>
      </c>
      <c r="M107" s="4" t="str">
        <f>'Library data'!$G$77</f>
        <v>%</v>
      </c>
    </row>
    <row r="108" spans="1:13" s="7" customFormat="1" x14ac:dyDescent="0.25">
      <c r="A108" s="4" t="str">
        <v>IA N2O</v>
      </c>
      <c r="B108" s="22">
        <f>'Preventative costs A'!B108-'Preventative costs B'!B108</f>
        <v>0</v>
      </c>
      <c r="C108" s="22">
        <f>'Preventative costs A'!C108-'Preventative costs B'!C108</f>
        <v>0</v>
      </c>
      <c r="D108" s="22">
        <f>'Preventative costs A'!D108-'Preventative costs B'!D108</f>
        <v>0</v>
      </c>
      <c r="E108" s="22">
        <f>'Preventative costs A'!E108-'Preventative costs B'!E108</f>
        <v>0</v>
      </c>
      <c r="F108" s="22">
        <f>'Preventative costs A'!F108-'Preventative costs B'!F108</f>
        <v>0</v>
      </c>
      <c r="G108" s="22">
        <f>'Preventative costs A'!G108-'Preventative costs B'!G108</f>
        <v>0</v>
      </c>
      <c r="H108" s="22">
        <f>'Preventative costs A'!H108-'Preventative costs B'!H108</f>
        <v>0</v>
      </c>
      <c r="I108" s="22">
        <f>'Preventative costs A'!I108-'Preventative costs B'!I108</f>
        <v>0</v>
      </c>
      <c r="J108" s="22">
        <f>'Preventative costs A'!J108-'Preventative costs B'!J108</f>
        <v>0</v>
      </c>
      <c r="K108" s="22">
        <f>'Preventative costs A'!K108-'Preventative costs B'!K108</f>
        <v>0</v>
      </c>
      <c r="M108" s="4" t="str">
        <f>'Library data'!$G$77</f>
        <v>%</v>
      </c>
    </row>
    <row r="109" spans="1:13" s="7" customFormat="1" x14ac:dyDescent="0.25">
      <c r="A109" s="4" t="str">
        <v>AF N2O</v>
      </c>
      <c r="B109" s="22">
        <f>'Preventative costs A'!B109-'Preventative costs B'!B109</f>
        <v>0</v>
      </c>
      <c r="C109" s="22">
        <f>'Preventative costs A'!C109-'Preventative costs B'!C109</f>
        <v>0</v>
      </c>
      <c r="D109" s="22">
        <f>'Preventative costs A'!D109-'Preventative costs B'!D109</f>
        <v>0</v>
      </c>
      <c r="E109" s="22">
        <f>'Preventative costs A'!E109-'Preventative costs B'!E109</f>
        <v>0</v>
      </c>
      <c r="F109" s="22">
        <f>'Preventative costs A'!F109-'Preventative costs B'!F109</f>
        <v>0</v>
      </c>
      <c r="G109" s="22">
        <f>'Preventative costs A'!G109-'Preventative costs B'!G109</f>
        <v>0</v>
      </c>
      <c r="H109" s="22">
        <f>'Preventative costs A'!H109-'Preventative costs B'!H109</f>
        <v>0</v>
      </c>
      <c r="I109" s="22">
        <f>'Preventative costs A'!I109-'Preventative costs B'!I109</f>
        <v>0</v>
      </c>
      <c r="J109" s="22">
        <f>'Preventative costs A'!J109-'Preventative costs B'!J109</f>
        <v>0</v>
      </c>
      <c r="K109" s="22">
        <f>'Preventative costs A'!K109-'Preventative costs B'!K109</f>
        <v>0</v>
      </c>
      <c r="M109" s="4" t="str">
        <f>'Library data'!$G$77</f>
        <v>%</v>
      </c>
    </row>
    <row r="110" spans="1:13" s="7" customFormat="1" ht="13" thickBot="1" x14ac:dyDescent="0.3">
      <c r="A110" s="4" t="str">
        <v>LA N2O</v>
      </c>
      <c r="B110" s="24">
        <f>'Preventative costs A'!B110-'Preventative costs B'!B110</f>
        <v>0</v>
      </c>
      <c r="C110" s="24">
        <f>'Preventative costs A'!C110-'Preventative costs B'!C110</f>
        <v>0</v>
      </c>
      <c r="D110" s="24">
        <f>'Preventative costs A'!D110-'Preventative costs B'!D110</f>
        <v>0</v>
      </c>
      <c r="E110" s="24">
        <f>'Preventative costs A'!E110-'Preventative costs B'!E110</f>
        <v>0</v>
      </c>
      <c r="F110" s="24">
        <f>'Preventative costs A'!F110-'Preventative costs B'!F110</f>
        <v>0</v>
      </c>
      <c r="G110" s="24">
        <f>'Preventative costs A'!G110-'Preventative costs B'!G110</f>
        <v>0</v>
      </c>
      <c r="H110" s="24">
        <f>'Preventative costs A'!H110-'Preventative costs B'!H110</f>
        <v>0</v>
      </c>
      <c r="I110" s="24">
        <f>'Preventative costs A'!I110-'Preventative costs B'!I110</f>
        <v>0</v>
      </c>
      <c r="J110" s="24">
        <f>'Preventative costs A'!J110-'Preventative costs B'!J110</f>
        <v>0</v>
      </c>
      <c r="K110" s="24">
        <f>'Preventative costs A'!K110-'Preventative costs B'!K110</f>
        <v>0</v>
      </c>
      <c r="M110" s="4" t="str">
        <f>'Library data'!$G$77</f>
        <v>%</v>
      </c>
    </row>
    <row r="111" spans="1:13" s="8" customFormat="1" ht="15.5" thickTop="1" x14ac:dyDescent="0.4">
      <c r="A111" s="8" t="s">
        <v>135</v>
      </c>
      <c r="B111" s="8" t="s">
        <v>319</v>
      </c>
    </row>
    <row r="112" spans="1:13" s="7" customFormat="1" x14ac:dyDescent="0.25">
      <c r="A112" s="4" t="str">
        <f t="array" ref="A112:A119">R_CODE&amp;" "&amp;GLIN_NAME</f>
        <v>EU Lin</v>
      </c>
      <c r="B112" s="20">
        <f>'Preventative costs A'!B112-'Preventative costs B'!B112</f>
        <v>0</v>
      </c>
      <c r="C112" s="20">
        <f>'Preventative costs A'!C112-'Preventative costs B'!C112</f>
        <v>0</v>
      </c>
      <c r="D112" s="20">
        <f>'Preventative costs A'!D112-'Preventative costs B'!D112</f>
        <v>0</v>
      </c>
      <c r="E112" s="20">
        <f>'Preventative costs A'!E112-'Preventative costs B'!E112</f>
        <v>0</v>
      </c>
      <c r="F112" s="20">
        <f>'Preventative costs A'!F112-'Preventative costs B'!F112</f>
        <v>0</v>
      </c>
      <c r="G112" s="20">
        <f>'Preventative costs A'!G112-'Preventative costs B'!G112</f>
        <v>0</v>
      </c>
      <c r="H112" s="20">
        <f>'Preventative costs A'!H112-'Preventative costs B'!H112</f>
        <v>0</v>
      </c>
      <c r="I112" s="20">
        <f>'Preventative costs A'!I112-'Preventative costs B'!I112</f>
        <v>0</v>
      </c>
      <c r="J112" s="20">
        <f>'Preventative costs A'!J112-'Preventative costs B'!J112</f>
        <v>0</v>
      </c>
      <c r="K112" s="20">
        <f>'Preventative costs A'!K112-'Preventative costs B'!K112</f>
        <v>0</v>
      </c>
      <c r="M112" s="4" t="str">
        <f>'Library data'!$G$77</f>
        <v>%</v>
      </c>
    </row>
    <row r="113" spans="1:13" s="7" customFormat="1" x14ac:dyDescent="0.25">
      <c r="A113" s="4" t="str">
        <v>US Lin</v>
      </c>
      <c r="B113" s="22">
        <f>'Preventative costs A'!B113-'Preventative costs B'!B113</f>
        <v>0</v>
      </c>
      <c r="C113" s="22">
        <f>'Preventative costs A'!C113-'Preventative costs B'!C113</f>
        <v>0</v>
      </c>
      <c r="D113" s="22">
        <f>'Preventative costs A'!D113-'Preventative costs B'!D113</f>
        <v>0</v>
      </c>
      <c r="E113" s="22">
        <f>'Preventative costs A'!E113-'Preventative costs B'!E113</f>
        <v>0</v>
      </c>
      <c r="F113" s="22">
        <f>'Preventative costs A'!F113-'Preventative costs B'!F113</f>
        <v>0</v>
      </c>
      <c r="G113" s="22">
        <f>'Preventative costs A'!G113-'Preventative costs B'!G113</f>
        <v>0</v>
      </c>
      <c r="H113" s="22">
        <f>'Preventative costs A'!H113-'Preventative costs B'!H113</f>
        <v>0</v>
      </c>
      <c r="I113" s="22">
        <f>'Preventative costs A'!I113-'Preventative costs B'!I113</f>
        <v>0</v>
      </c>
      <c r="J113" s="22">
        <f>'Preventative costs A'!J113-'Preventative costs B'!J113</f>
        <v>0</v>
      </c>
      <c r="K113" s="22">
        <f>'Preventative costs A'!K113-'Preventative costs B'!K113</f>
        <v>0</v>
      </c>
      <c r="M113" s="4" t="str">
        <f>'Library data'!$G$77</f>
        <v>%</v>
      </c>
    </row>
    <row r="114" spans="1:13" s="7" customFormat="1" x14ac:dyDescent="0.25">
      <c r="A114" s="4" t="str">
        <v>OT Lin</v>
      </c>
      <c r="B114" s="22">
        <f>'Preventative costs A'!B114-'Preventative costs B'!B114</f>
        <v>0</v>
      </c>
      <c r="C114" s="22">
        <f>'Preventative costs A'!C114-'Preventative costs B'!C114</f>
        <v>0</v>
      </c>
      <c r="D114" s="22">
        <f>'Preventative costs A'!D114-'Preventative costs B'!D114</f>
        <v>0</v>
      </c>
      <c r="E114" s="22">
        <f>'Preventative costs A'!E114-'Preventative costs B'!E114</f>
        <v>0</v>
      </c>
      <c r="F114" s="22">
        <f>'Preventative costs A'!F114-'Preventative costs B'!F114</f>
        <v>0</v>
      </c>
      <c r="G114" s="22">
        <f>'Preventative costs A'!G114-'Preventative costs B'!G114</f>
        <v>0</v>
      </c>
      <c r="H114" s="22">
        <f>'Preventative costs A'!H114-'Preventative costs B'!H114</f>
        <v>0</v>
      </c>
      <c r="I114" s="22">
        <f>'Preventative costs A'!I114-'Preventative costs B'!I114</f>
        <v>0</v>
      </c>
      <c r="J114" s="22">
        <f>'Preventative costs A'!J114-'Preventative costs B'!J114</f>
        <v>0</v>
      </c>
      <c r="K114" s="22">
        <f>'Preventative costs A'!K114-'Preventative costs B'!K114</f>
        <v>0</v>
      </c>
      <c r="M114" s="4" t="str">
        <f>'Library data'!$G$77</f>
        <v>%</v>
      </c>
    </row>
    <row r="115" spans="1:13" s="7" customFormat="1" x14ac:dyDescent="0.25">
      <c r="A115" s="4" t="str">
        <v>EE Lin</v>
      </c>
      <c r="B115" s="22">
        <f>'Preventative costs A'!B115-'Preventative costs B'!B115</f>
        <v>0</v>
      </c>
      <c r="C115" s="22">
        <f>'Preventative costs A'!C115-'Preventative costs B'!C115</f>
        <v>0</v>
      </c>
      <c r="D115" s="22">
        <f>'Preventative costs A'!D115-'Preventative costs B'!D115</f>
        <v>0</v>
      </c>
      <c r="E115" s="22">
        <f>'Preventative costs A'!E115-'Preventative costs B'!E115</f>
        <v>0</v>
      </c>
      <c r="F115" s="22">
        <f>'Preventative costs A'!F115-'Preventative costs B'!F115</f>
        <v>0</v>
      </c>
      <c r="G115" s="22">
        <f>'Preventative costs A'!G115-'Preventative costs B'!G115</f>
        <v>0</v>
      </c>
      <c r="H115" s="22">
        <f>'Preventative costs A'!H115-'Preventative costs B'!H115</f>
        <v>0</v>
      </c>
      <c r="I115" s="22">
        <f>'Preventative costs A'!I115-'Preventative costs B'!I115</f>
        <v>0</v>
      </c>
      <c r="J115" s="22">
        <f>'Preventative costs A'!J115-'Preventative costs B'!J115</f>
        <v>0</v>
      </c>
      <c r="K115" s="22">
        <f>'Preventative costs A'!K115-'Preventative costs B'!K115</f>
        <v>0</v>
      </c>
      <c r="M115" s="4" t="str">
        <f>'Library data'!$G$77</f>
        <v>%</v>
      </c>
    </row>
    <row r="116" spans="1:13" s="7" customFormat="1" x14ac:dyDescent="0.25">
      <c r="A116" s="4" t="str">
        <v>CA Lin</v>
      </c>
      <c r="B116" s="22">
        <f>'Preventative costs A'!B116-'Preventative costs B'!B116</f>
        <v>0</v>
      </c>
      <c r="C116" s="22">
        <f>'Preventative costs A'!C116-'Preventative costs B'!C116</f>
        <v>0</v>
      </c>
      <c r="D116" s="22">
        <f>'Preventative costs A'!D116-'Preventative costs B'!D116</f>
        <v>0</v>
      </c>
      <c r="E116" s="22">
        <f>'Preventative costs A'!E116-'Preventative costs B'!E116</f>
        <v>0</v>
      </c>
      <c r="F116" s="22">
        <f>'Preventative costs A'!F116-'Preventative costs B'!F116</f>
        <v>0</v>
      </c>
      <c r="G116" s="22">
        <f>'Preventative costs A'!G116-'Preventative costs B'!G116</f>
        <v>0</v>
      </c>
      <c r="H116" s="22">
        <f>'Preventative costs A'!H116-'Preventative costs B'!H116</f>
        <v>0</v>
      </c>
      <c r="I116" s="22">
        <f>'Preventative costs A'!I116-'Preventative costs B'!I116</f>
        <v>0</v>
      </c>
      <c r="J116" s="22">
        <f>'Preventative costs A'!J116-'Preventative costs B'!J116</f>
        <v>0</v>
      </c>
      <c r="K116" s="22">
        <f>'Preventative costs A'!K116-'Preventative costs B'!K116</f>
        <v>0</v>
      </c>
      <c r="M116" s="4" t="str">
        <f>'Library data'!$G$77</f>
        <v>%</v>
      </c>
    </row>
    <row r="117" spans="1:13" s="7" customFormat="1" x14ac:dyDescent="0.25">
      <c r="A117" s="4" t="str">
        <v>IA Lin</v>
      </c>
      <c r="B117" s="22">
        <f>'Preventative costs A'!B117-'Preventative costs B'!B117</f>
        <v>0</v>
      </c>
      <c r="C117" s="22">
        <f>'Preventative costs A'!C117-'Preventative costs B'!C117</f>
        <v>0</v>
      </c>
      <c r="D117" s="22">
        <f>'Preventative costs A'!D117-'Preventative costs B'!D117</f>
        <v>0</v>
      </c>
      <c r="E117" s="22">
        <f>'Preventative costs A'!E117-'Preventative costs B'!E117</f>
        <v>0</v>
      </c>
      <c r="F117" s="22">
        <f>'Preventative costs A'!F117-'Preventative costs B'!F117</f>
        <v>0</v>
      </c>
      <c r="G117" s="22">
        <f>'Preventative costs A'!G117-'Preventative costs B'!G117</f>
        <v>0</v>
      </c>
      <c r="H117" s="22">
        <f>'Preventative costs A'!H117-'Preventative costs B'!H117</f>
        <v>0</v>
      </c>
      <c r="I117" s="22">
        <f>'Preventative costs A'!I117-'Preventative costs B'!I117</f>
        <v>0</v>
      </c>
      <c r="J117" s="22">
        <f>'Preventative costs A'!J117-'Preventative costs B'!J117</f>
        <v>0</v>
      </c>
      <c r="K117" s="22">
        <f>'Preventative costs A'!K117-'Preventative costs B'!K117</f>
        <v>0</v>
      </c>
      <c r="M117" s="4" t="str">
        <f>'Library data'!$G$77</f>
        <v>%</v>
      </c>
    </row>
    <row r="118" spans="1:13" s="7" customFormat="1" x14ac:dyDescent="0.25">
      <c r="A118" s="4" t="str">
        <v>AF Lin</v>
      </c>
      <c r="B118" s="22">
        <f>'Preventative costs A'!B118-'Preventative costs B'!B118</f>
        <v>0</v>
      </c>
      <c r="C118" s="22">
        <f>'Preventative costs A'!C118-'Preventative costs B'!C118</f>
        <v>0</v>
      </c>
      <c r="D118" s="22">
        <f>'Preventative costs A'!D118-'Preventative costs B'!D118</f>
        <v>0</v>
      </c>
      <c r="E118" s="22">
        <f>'Preventative costs A'!E118-'Preventative costs B'!E118</f>
        <v>0</v>
      </c>
      <c r="F118" s="22">
        <f>'Preventative costs A'!F118-'Preventative costs B'!F118</f>
        <v>0</v>
      </c>
      <c r="G118" s="22">
        <f>'Preventative costs A'!G118-'Preventative costs B'!G118</f>
        <v>0</v>
      </c>
      <c r="H118" s="22">
        <f>'Preventative costs A'!H118-'Preventative costs B'!H118</f>
        <v>0</v>
      </c>
      <c r="I118" s="22">
        <f>'Preventative costs A'!I118-'Preventative costs B'!I118</f>
        <v>0</v>
      </c>
      <c r="J118" s="22">
        <f>'Preventative costs A'!J118-'Preventative costs B'!J118</f>
        <v>0</v>
      </c>
      <c r="K118" s="22">
        <f>'Preventative costs A'!K118-'Preventative costs B'!K118</f>
        <v>0</v>
      </c>
      <c r="M118" s="4" t="str">
        <f>'Library data'!$G$77</f>
        <v>%</v>
      </c>
    </row>
    <row r="119" spans="1:13" s="7" customFormat="1" ht="13" thickBot="1" x14ac:dyDescent="0.3">
      <c r="A119" s="4" t="str">
        <v>LA Lin</v>
      </c>
      <c r="B119" s="24">
        <f>'Preventative costs A'!B119-'Preventative costs B'!B119</f>
        <v>0</v>
      </c>
      <c r="C119" s="24">
        <f>'Preventative costs A'!C119-'Preventative costs B'!C119</f>
        <v>0</v>
      </c>
      <c r="D119" s="24">
        <f>'Preventative costs A'!D119-'Preventative costs B'!D119</f>
        <v>0</v>
      </c>
      <c r="E119" s="24">
        <f>'Preventative costs A'!E119-'Preventative costs B'!E119</f>
        <v>0</v>
      </c>
      <c r="F119" s="24">
        <f>'Preventative costs A'!F119-'Preventative costs B'!F119</f>
        <v>0</v>
      </c>
      <c r="G119" s="24">
        <f>'Preventative costs A'!G119-'Preventative costs B'!G119</f>
        <v>0</v>
      </c>
      <c r="H119" s="24">
        <f>'Preventative costs A'!H119-'Preventative costs B'!H119</f>
        <v>0</v>
      </c>
      <c r="I119" s="24">
        <f>'Preventative costs A'!I119-'Preventative costs B'!I119</f>
        <v>0</v>
      </c>
      <c r="J119" s="24">
        <f>'Preventative costs A'!J119-'Preventative costs B'!J119</f>
        <v>0</v>
      </c>
      <c r="K119" s="24">
        <f>'Preventative costs A'!K119-'Preventative costs B'!K119</f>
        <v>0</v>
      </c>
      <c r="M119" s="4" t="str">
        <f>'Library data'!$G$77</f>
        <v>%</v>
      </c>
    </row>
    <row r="120" spans="1:13" s="2" customFormat="1" ht="15.5" thickTop="1" x14ac:dyDescent="0.4">
      <c r="A120" s="2" t="s">
        <v>135</v>
      </c>
      <c r="B120" s="2" t="s">
        <v>348</v>
      </c>
    </row>
    <row r="121" spans="1:13" s="6" customFormat="1" x14ac:dyDescent="0.25">
      <c r="A121" s="4" t="str">
        <f t="array" ref="A121:A128">R_CODE&amp;" "&amp;'Base data'!$B$11</f>
        <v>EU CO2</v>
      </c>
      <c r="B121" s="20">
        <f>'Preventative costs A'!B121-'Preventative costs B'!B121</f>
        <v>0</v>
      </c>
      <c r="C121" s="20">
        <f>'Preventative costs A'!C121-'Preventative costs B'!C121</f>
        <v>0</v>
      </c>
      <c r="D121" s="20">
        <f>'Preventative costs A'!D121-'Preventative costs B'!D121</f>
        <v>0</v>
      </c>
      <c r="E121" s="20">
        <f>'Preventative costs A'!E121-'Preventative costs B'!E121</f>
        <v>0</v>
      </c>
      <c r="F121" s="20">
        <f>'Preventative costs A'!F121-'Preventative costs B'!F121</f>
        <v>0</v>
      </c>
      <c r="G121" s="20">
        <f>'Preventative costs A'!G121-'Preventative costs B'!G121</f>
        <v>0</v>
      </c>
      <c r="H121" s="20">
        <f>'Preventative costs A'!H121-'Preventative costs B'!H121</f>
        <v>0</v>
      </c>
      <c r="I121" s="20">
        <f>'Preventative costs A'!I121-'Preventative costs B'!I121</f>
        <v>0</v>
      </c>
      <c r="J121" s="20">
        <f>'Preventative costs A'!J121-'Preventative costs B'!J121</f>
        <v>0</v>
      </c>
      <c r="K121" s="20">
        <f>'Preventative costs A'!K121-'Preventative costs B'!K121</f>
        <v>0</v>
      </c>
      <c r="M121" s="4" t="str">
        <f t="shared" ref="M121:M128" si="0">EMIT_NAME</f>
        <v>Mtonne</v>
      </c>
    </row>
    <row r="122" spans="1:13" s="6" customFormat="1" x14ac:dyDescent="0.25">
      <c r="A122" s="4" t="str">
        <v>US CO2</v>
      </c>
      <c r="B122" s="22">
        <f>'Preventative costs A'!B122-'Preventative costs B'!B122</f>
        <v>0</v>
      </c>
      <c r="C122" s="22">
        <f>'Preventative costs A'!C122-'Preventative costs B'!C122</f>
        <v>0</v>
      </c>
      <c r="D122" s="22">
        <f>'Preventative costs A'!D122-'Preventative costs B'!D122</f>
        <v>0</v>
      </c>
      <c r="E122" s="22">
        <f>'Preventative costs A'!E122-'Preventative costs B'!E122</f>
        <v>0</v>
      </c>
      <c r="F122" s="22">
        <f>'Preventative costs A'!F122-'Preventative costs B'!F122</f>
        <v>0</v>
      </c>
      <c r="G122" s="22">
        <f>'Preventative costs A'!G122-'Preventative costs B'!G122</f>
        <v>0</v>
      </c>
      <c r="H122" s="22">
        <f>'Preventative costs A'!H122-'Preventative costs B'!H122</f>
        <v>0</v>
      </c>
      <c r="I122" s="22">
        <f>'Preventative costs A'!I122-'Preventative costs B'!I122</f>
        <v>0</v>
      </c>
      <c r="J122" s="22">
        <f>'Preventative costs A'!J122-'Preventative costs B'!J122</f>
        <v>0</v>
      </c>
      <c r="K122" s="22">
        <f>'Preventative costs A'!K122-'Preventative costs B'!K122</f>
        <v>0</v>
      </c>
      <c r="M122" s="4" t="str">
        <f t="shared" si="0"/>
        <v>Mtonne</v>
      </c>
    </row>
    <row r="123" spans="1:13" s="6" customFormat="1" x14ac:dyDescent="0.25">
      <c r="A123" s="4" t="str">
        <v>OT CO2</v>
      </c>
      <c r="B123" s="22">
        <f>'Preventative costs A'!B123-'Preventative costs B'!B123</f>
        <v>0</v>
      </c>
      <c r="C123" s="22">
        <f>'Preventative costs A'!C123-'Preventative costs B'!C123</f>
        <v>0</v>
      </c>
      <c r="D123" s="22">
        <f>'Preventative costs A'!D123-'Preventative costs B'!D123</f>
        <v>0</v>
      </c>
      <c r="E123" s="22">
        <f>'Preventative costs A'!E123-'Preventative costs B'!E123</f>
        <v>0</v>
      </c>
      <c r="F123" s="22">
        <f>'Preventative costs A'!F123-'Preventative costs B'!F123</f>
        <v>0</v>
      </c>
      <c r="G123" s="22">
        <f>'Preventative costs A'!G123-'Preventative costs B'!G123</f>
        <v>0</v>
      </c>
      <c r="H123" s="22">
        <f>'Preventative costs A'!H123-'Preventative costs B'!H123</f>
        <v>0</v>
      </c>
      <c r="I123" s="22">
        <f>'Preventative costs A'!I123-'Preventative costs B'!I123</f>
        <v>0</v>
      </c>
      <c r="J123" s="22">
        <f>'Preventative costs A'!J123-'Preventative costs B'!J123</f>
        <v>0</v>
      </c>
      <c r="K123" s="22">
        <f>'Preventative costs A'!K123-'Preventative costs B'!K123</f>
        <v>0</v>
      </c>
      <c r="M123" s="4" t="str">
        <f t="shared" si="0"/>
        <v>Mtonne</v>
      </c>
    </row>
    <row r="124" spans="1:13" s="6" customFormat="1" x14ac:dyDescent="0.25">
      <c r="A124" s="4" t="str">
        <v>EE CO2</v>
      </c>
      <c r="B124" s="22">
        <f>'Preventative costs A'!B124-'Preventative costs B'!B124</f>
        <v>0</v>
      </c>
      <c r="C124" s="22">
        <f>'Preventative costs A'!C124-'Preventative costs B'!C124</f>
        <v>0</v>
      </c>
      <c r="D124" s="22">
        <f>'Preventative costs A'!D124-'Preventative costs B'!D124</f>
        <v>0</v>
      </c>
      <c r="E124" s="22">
        <f>'Preventative costs A'!E124-'Preventative costs B'!E124</f>
        <v>0</v>
      </c>
      <c r="F124" s="22">
        <f>'Preventative costs A'!F124-'Preventative costs B'!F124</f>
        <v>0</v>
      </c>
      <c r="G124" s="22">
        <f>'Preventative costs A'!G124-'Preventative costs B'!G124</f>
        <v>0</v>
      </c>
      <c r="H124" s="22">
        <f>'Preventative costs A'!H124-'Preventative costs B'!H124</f>
        <v>0</v>
      </c>
      <c r="I124" s="22">
        <f>'Preventative costs A'!I124-'Preventative costs B'!I124</f>
        <v>0</v>
      </c>
      <c r="J124" s="22">
        <f>'Preventative costs A'!J124-'Preventative costs B'!J124</f>
        <v>0</v>
      </c>
      <c r="K124" s="22">
        <f>'Preventative costs A'!K124-'Preventative costs B'!K124</f>
        <v>0</v>
      </c>
      <c r="M124" s="4" t="str">
        <f t="shared" si="0"/>
        <v>Mtonne</v>
      </c>
    </row>
    <row r="125" spans="1:13" s="6" customFormat="1" x14ac:dyDescent="0.25">
      <c r="A125" s="4" t="str">
        <v>CA CO2</v>
      </c>
      <c r="B125" s="22">
        <f>'Preventative costs A'!B125-'Preventative costs B'!B125</f>
        <v>0</v>
      </c>
      <c r="C125" s="22">
        <f>'Preventative costs A'!C125-'Preventative costs B'!C125</f>
        <v>0</v>
      </c>
      <c r="D125" s="22">
        <f>'Preventative costs A'!D125-'Preventative costs B'!D125</f>
        <v>0</v>
      </c>
      <c r="E125" s="22">
        <f>'Preventative costs A'!E125-'Preventative costs B'!E125</f>
        <v>0</v>
      </c>
      <c r="F125" s="22">
        <f>'Preventative costs A'!F125-'Preventative costs B'!F125</f>
        <v>0</v>
      </c>
      <c r="G125" s="22">
        <f>'Preventative costs A'!G125-'Preventative costs B'!G125</f>
        <v>0</v>
      </c>
      <c r="H125" s="22">
        <f>'Preventative costs A'!H125-'Preventative costs B'!H125</f>
        <v>0</v>
      </c>
      <c r="I125" s="22">
        <f>'Preventative costs A'!I125-'Preventative costs B'!I125</f>
        <v>0</v>
      </c>
      <c r="J125" s="22">
        <f>'Preventative costs A'!J125-'Preventative costs B'!J125</f>
        <v>0</v>
      </c>
      <c r="K125" s="22">
        <f>'Preventative costs A'!K125-'Preventative costs B'!K125</f>
        <v>0</v>
      </c>
      <c r="M125" s="4" t="str">
        <f t="shared" si="0"/>
        <v>Mtonne</v>
      </c>
    </row>
    <row r="126" spans="1:13" s="6" customFormat="1" x14ac:dyDescent="0.25">
      <c r="A126" s="4" t="str">
        <v>IA CO2</v>
      </c>
      <c r="B126" s="22">
        <f>'Preventative costs A'!B126-'Preventative costs B'!B126</f>
        <v>0</v>
      </c>
      <c r="C126" s="22">
        <f>'Preventative costs A'!C126-'Preventative costs B'!C126</f>
        <v>0</v>
      </c>
      <c r="D126" s="22">
        <f>'Preventative costs A'!D126-'Preventative costs B'!D126</f>
        <v>0</v>
      </c>
      <c r="E126" s="22">
        <f>'Preventative costs A'!E126-'Preventative costs B'!E126</f>
        <v>0</v>
      </c>
      <c r="F126" s="22">
        <f>'Preventative costs A'!F126-'Preventative costs B'!F126</f>
        <v>0</v>
      </c>
      <c r="G126" s="22">
        <f>'Preventative costs A'!G126-'Preventative costs B'!G126</f>
        <v>0</v>
      </c>
      <c r="H126" s="22">
        <f>'Preventative costs A'!H126-'Preventative costs B'!H126</f>
        <v>0</v>
      </c>
      <c r="I126" s="22">
        <f>'Preventative costs A'!I126-'Preventative costs B'!I126</f>
        <v>0</v>
      </c>
      <c r="J126" s="22">
        <f>'Preventative costs A'!J126-'Preventative costs B'!J126</f>
        <v>0</v>
      </c>
      <c r="K126" s="22">
        <f>'Preventative costs A'!K126-'Preventative costs B'!K126</f>
        <v>0</v>
      </c>
      <c r="M126" s="4" t="str">
        <f t="shared" si="0"/>
        <v>Mtonne</v>
      </c>
    </row>
    <row r="127" spans="1:13" s="6" customFormat="1" x14ac:dyDescent="0.25">
      <c r="A127" s="4" t="str">
        <v>AF CO2</v>
      </c>
      <c r="B127" s="22">
        <f>'Preventative costs A'!B127-'Preventative costs B'!B127</f>
        <v>0</v>
      </c>
      <c r="C127" s="22">
        <f>'Preventative costs A'!C127-'Preventative costs B'!C127</f>
        <v>0</v>
      </c>
      <c r="D127" s="22">
        <f>'Preventative costs A'!D127-'Preventative costs B'!D127</f>
        <v>0</v>
      </c>
      <c r="E127" s="22">
        <f>'Preventative costs A'!E127-'Preventative costs B'!E127</f>
        <v>0</v>
      </c>
      <c r="F127" s="22">
        <f>'Preventative costs A'!F127-'Preventative costs B'!F127</f>
        <v>0</v>
      </c>
      <c r="G127" s="22">
        <f>'Preventative costs A'!G127-'Preventative costs B'!G127</f>
        <v>0</v>
      </c>
      <c r="H127" s="22">
        <f>'Preventative costs A'!H127-'Preventative costs B'!H127</f>
        <v>0</v>
      </c>
      <c r="I127" s="22">
        <f>'Preventative costs A'!I127-'Preventative costs B'!I127</f>
        <v>0</v>
      </c>
      <c r="J127" s="22">
        <f>'Preventative costs A'!J127-'Preventative costs B'!J127</f>
        <v>0</v>
      </c>
      <c r="K127" s="22">
        <f>'Preventative costs A'!K127-'Preventative costs B'!K127</f>
        <v>0</v>
      </c>
      <c r="M127" s="4" t="str">
        <f t="shared" si="0"/>
        <v>Mtonne</v>
      </c>
    </row>
    <row r="128" spans="1:13" s="6" customFormat="1" ht="13" thickBot="1" x14ac:dyDescent="0.3">
      <c r="A128" s="4" t="str">
        <v>LA CO2</v>
      </c>
      <c r="B128" s="24">
        <f>'Preventative costs A'!B128-'Preventative costs B'!B128</f>
        <v>0</v>
      </c>
      <c r="C128" s="24">
        <f>'Preventative costs A'!C128-'Preventative costs B'!C128</f>
        <v>0</v>
      </c>
      <c r="D128" s="24">
        <f>'Preventative costs A'!D128-'Preventative costs B'!D128</f>
        <v>0</v>
      </c>
      <c r="E128" s="24">
        <f>'Preventative costs A'!E128-'Preventative costs B'!E128</f>
        <v>0</v>
      </c>
      <c r="F128" s="24">
        <f>'Preventative costs A'!F128-'Preventative costs B'!F128</f>
        <v>0</v>
      </c>
      <c r="G128" s="24">
        <f>'Preventative costs A'!G128-'Preventative costs B'!G128</f>
        <v>0</v>
      </c>
      <c r="H128" s="24">
        <f>'Preventative costs A'!H128-'Preventative costs B'!H128</f>
        <v>0</v>
      </c>
      <c r="I128" s="24">
        <f>'Preventative costs A'!I128-'Preventative costs B'!I128</f>
        <v>0</v>
      </c>
      <c r="J128" s="24">
        <f>'Preventative costs A'!J128-'Preventative costs B'!J128</f>
        <v>0</v>
      </c>
      <c r="K128" s="24">
        <f>'Preventative costs A'!K128-'Preventative costs B'!K128</f>
        <v>0</v>
      </c>
      <c r="M128" s="4" t="str">
        <f t="shared" si="0"/>
        <v>Mtonne</v>
      </c>
    </row>
    <row r="129" spans="1:13" s="8" customFormat="1" ht="15.5" thickTop="1" x14ac:dyDescent="0.4">
      <c r="A129" s="8" t="s">
        <v>135</v>
      </c>
      <c r="B129" s="2" t="s">
        <v>349</v>
      </c>
      <c r="C129" s="2"/>
      <c r="D129" s="2"/>
      <c r="E129" s="2"/>
      <c r="F129" s="2"/>
      <c r="G129" s="2"/>
      <c r="H129" s="2"/>
      <c r="I129" s="2"/>
      <c r="J129" s="2"/>
      <c r="K129" s="2"/>
    </row>
    <row r="130" spans="1:13" s="7" customFormat="1" x14ac:dyDescent="0.25">
      <c r="A130" s="4" t="str">
        <f t="array" ref="A130:A137">R_CODE&amp;" "&amp;'Base data'!$C$11</f>
        <v>EU CH4</v>
      </c>
      <c r="B130" s="20">
        <f>'Preventative costs A'!B130-'Preventative costs B'!B130</f>
        <v>0</v>
      </c>
      <c r="C130" s="20">
        <f>'Preventative costs A'!C130-'Preventative costs B'!C130</f>
        <v>0</v>
      </c>
      <c r="D130" s="20">
        <f>'Preventative costs A'!D130-'Preventative costs B'!D130</f>
        <v>0</v>
      </c>
      <c r="E130" s="20">
        <f>'Preventative costs A'!E130-'Preventative costs B'!E130</f>
        <v>0</v>
      </c>
      <c r="F130" s="20">
        <f>'Preventative costs A'!F130-'Preventative costs B'!F130</f>
        <v>0</v>
      </c>
      <c r="G130" s="20">
        <f>'Preventative costs A'!G130-'Preventative costs B'!G130</f>
        <v>0</v>
      </c>
      <c r="H130" s="20">
        <f>'Preventative costs A'!H130-'Preventative costs B'!H130</f>
        <v>0</v>
      </c>
      <c r="I130" s="20">
        <f>'Preventative costs A'!I130-'Preventative costs B'!I130</f>
        <v>0</v>
      </c>
      <c r="J130" s="20">
        <f>'Preventative costs A'!J130-'Preventative costs B'!J130</f>
        <v>0</v>
      </c>
      <c r="K130" s="20">
        <f>'Preventative costs A'!K130-'Preventative costs B'!K130</f>
        <v>0</v>
      </c>
      <c r="M130" s="4" t="str">
        <f t="shared" ref="M130:M137" si="1">EMIT_NAME</f>
        <v>Mtonne</v>
      </c>
    </row>
    <row r="131" spans="1:13" s="7" customFormat="1" x14ac:dyDescent="0.25">
      <c r="A131" s="4" t="str">
        <v>US CH4</v>
      </c>
      <c r="B131" s="22">
        <f>'Preventative costs A'!B131-'Preventative costs B'!B131</f>
        <v>0</v>
      </c>
      <c r="C131" s="22">
        <f>'Preventative costs A'!C131-'Preventative costs B'!C131</f>
        <v>0</v>
      </c>
      <c r="D131" s="22">
        <f>'Preventative costs A'!D131-'Preventative costs B'!D131</f>
        <v>0</v>
      </c>
      <c r="E131" s="22">
        <f>'Preventative costs A'!E131-'Preventative costs B'!E131</f>
        <v>0</v>
      </c>
      <c r="F131" s="22">
        <f>'Preventative costs A'!F131-'Preventative costs B'!F131</f>
        <v>0</v>
      </c>
      <c r="G131" s="22">
        <f>'Preventative costs A'!G131-'Preventative costs B'!G131</f>
        <v>0</v>
      </c>
      <c r="H131" s="22">
        <f>'Preventative costs A'!H131-'Preventative costs B'!H131</f>
        <v>0</v>
      </c>
      <c r="I131" s="22">
        <f>'Preventative costs A'!I131-'Preventative costs B'!I131</f>
        <v>0</v>
      </c>
      <c r="J131" s="22">
        <f>'Preventative costs A'!J131-'Preventative costs B'!J131</f>
        <v>0</v>
      </c>
      <c r="K131" s="22">
        <f>'Preventative costs A'!K131-'Preventative costs B'!K131</f>
        <v>0</v>
      </c>
      <c r="M131" s="4" t="str">
        <f t="shared" si="1"/>
        <v>Mtonne</v>
      </c>
    </row>
    <row r="132" spans="1:13" s="7" customFormat="1" x14ac:dyDescent="0.25">
      <c r="A132" s="4" t="str">
        <v>OT CH4</v>
      </c>
      <c r="B132" s="22">
        <f>'Preventative costs A'!B132-'Preventative costs B'!B132</f>
        <v>0</v>
      </c>
      <c r="C132" s="22">
        <f>'Preventative costs A'!C132-'Preventative costs B'!C132</f>
        <v>0</v>
      </c>
      <c r="D132" s="22">
        <f>'Preventative costs A'!D132-'Preventative costs B'!D132</f>
        <v>0</v>
      </c>
      <c r="E132" s="22">
        <f>'Preventative costs A'!E132-'Preventative costs B'!E132</f>
        <v>0</v>
      </c>
      <c r="F132" s="22">
        <f>'Preventative costs A'!F132-'Preventative costs B'!F132</f>
        <v>0</v>
      </c>
      <c r="G132" s="22">
        <f>'Preventative costs A'!G132-'Preventative costs B'!G132</f>
        <v>0</v>
      </c>
      <c r="H132" s="22">
        <f>'Preventative costs A'!H132-'Preventative costs B'!H132</f>
        <v>0</v>
      </c>
      <c r="I132" s="22">
        <f>'Preventative costs A'!I132-'Preventative costs B'!I132</f>
        <v>0</v>
      </c>
      <c r="J132" s="22">
        <f>'Preventative costs A'!J132-'Preventative costs B'!J132</f>
        <v>0</v>
      </c>
      <c r="K132" s="22">
        <f>'Preventative costs A'!K132-'Preventative costs B'!K132</f>
        <v>0</v>
      </c>
      <c r="M132" s="4" t="str">
        <f t="shared" si="1"/>
        <v>Mtonne</v>
      </c>
    </row>
    <row r="133" spans="1:13" s="7" customFormat="1" x14ac:dyDescent="0.25">
      <c r="A133" s="4" t="str">
        <v>EE CH4</v>
      </c>
      <c r="B133" s="22">
        <f>'Preventative costs A'!B133-'Preventative costs B'!B133</f>
        <v>0</v>
      </c>
      <c r="C133" s="22">
        <f>'Preventative costs A'!C133-'Preventative costs B'!C133</f>
        <v>0</v>
      </c>
      <c r="D133" s="22">
        <f>'Preventative costs A'!D133-'Preventative costs B'!D133</f>
        <v>0</v>
      </c>
      <c r="E133" s="22">
        <f>'Preventative costs A'!E133-'Preventative costs B'!E133</f>
        <v>0</v>
      </c>
      <c r="F133" s="22">
        <f>'Preventative costs A'!F133-'Preventative costs B'!F133</f>
        <v>0</v>
      </c>
      <c r="G133" s="22">
        <f>'Preventative costs A'!G133-'Preventative costs B'!G133</f>
        <v>0</v>
      </c>
      <c r="H133" s="22">
        <f>'Preventative costs A'!H133-'Preventative costs B'!H133</f>
        <v>0</v>
      </c>
      <c r="I133" s="22">
        <f>'Preventative costs A'!I133-'Preventative costs B'!I133</f>
        <v>0</v>
      </c>
      <c r="J133" s="22">
        <f>'Preventative costs A'!J133-'Preventative costs B'!J133</f>
        <v>0</v>
      </c>
      <c r="K133" s="22">
        <f>'Preventative costs A'!K133-'Preventative costs B'!K133</f>
        <v>0</v>
      </c>
      <c r="M133" s="4" t="str">
        <f t="shared" si="1"/>
        <v>Mtonne</v>
      </c>
    </row>
    <row r="134" spans="1:13" s="7" customFormat="1" x14ac:dyDescent="0.25">
      <c r="A134" s="4" t="str">
        <v>CA CH4</v>
      </c>
      <c r="B134" s="22">
        <f>'Preventative costs A'!B134-'Preventative costs B'!B134</f>
        <v>0</v>
      </c>
      <c r="C134" s="22">
        <f>'Preventative costs A'!C134-'Preventative costs B'!C134</f>
        <v>0</v>
      </c>
      <c r="D134" s="22">
        <f>'Preventative costs A'!D134-'Preventative costs B'!D134</f>
        <v>0</v>
      </c>
      <c r="E134" s="22">
        <f>'Preventative costs A'!E134-'Preventative costs B'!E134</f>
        <v>0</v>
      </c>
      <c r="F134" s="22">
        <f>'Preventative costs A'!F134-'Preventative costs B'!F134</f>
        <v>0</v>
      </c>
      <c r="G134" s="22">
        <f>'Preventative costs A'!G134-'Preventative costs B'!G134</f>
        <v>0</v>
      </c>
      <c r="H134" s="22">
        <f>'Preventative costs A'!H134-'Preventative costs B'!H134</f>
        <v>0</v>
      </c>
      <c r="I134" s="22">
        <f>'Preventative costs A'!I134-'Preventative costs B'!I134</f>
        <v>0</v>
      </c>
      <c r="J134" s="22">
        <f>'Preventative costs A'!J134-'Preventative costs B'!J134</f>
        <v>0</v>
      </c>
      <c r="K134" s="22">
        <f>'Preventative costs A'!K134-'Preventative costs B'!K134</f>
        <v>0</v>
      </c>
      <c r="M134" s="4" t="str">
        <f t="shared" si="1"/>
        <v>Mtonne</v>
      </c>
    </row>
    <row r="135" spans="1:13" s="7" customFormat="1" x14ac:dyDescent="0.25">
      <c r="A135" s="4" t="str">
        <v>IA CH4</v>
      </c>
      <c r="B135" s="22">
        <f>'Preventative costs A'!B135-'Preventative costs B'!B135</f>
        <v>0</v>
      </c>
      <c r="C135" s="22">
        <f>'Preventative costs A'!C135-'Preventative costs B'!C135</f>
        <v>0</v>
      </c>
      <c r="D135" s="22">
        <f>'Preventative costs A'!D135-'Preventative costs B'!D135</f>
        <v>0</v>
      </c>
      <c r="E135" s="22">
        <f>'Preventative costs A'!E135-'Preventative costs B'!E135</f>
        <v>0</v>
      </c>
      <c r="F135" s="22">
        <f>'Preventative costs A'!F135-'Preventative costs B'!F135</f>
        <v>0</v>
      </c>
      <c r="G135" s="22">
        <f>'Preventative costs A'!G135-'Preventative costs B'!G135</f>
        <v>0</v>
      </c>
      <c r="H135" s="22">
        <f>'Preventative costs A'!H135-'Preventative costs B'!H135</f>
        <v>0</v>
      </c>
      <c r="I135" s="22">
        <f>'Preventative costs A'!I135-'Preventative costs B'!I135</f>
        <v>0</v>
      </c>
      <c r="J135" s="22">
        <f>'Preventative costs A'!J135-'Preventative costs B'!J135</f>
        <v>0</v>
      </c>
      <c r="K135" s="22">
        <f>'Preventative costs A'!K135-'Preventative costs B'!K135</f>
        <v>0</v>
      </c>
      <c r="M135" s="4" t="str">
        <f t="shared" si="1"/>
        <v>Mtonne</v>
      </c>
    </row>
    <row r="136" spans="1:13" s="7" customFormat="1" x14ac:dyDescent="0.25">
      <c r="A136" s="4" t="str">
        <v>AF CH4</v>
      </c>
      <c r="B136" s="22">
        <f>'Preventative costs A'!B136-'Preventative costs B'!B136</f>
        <v>0</v>
      </c>
      <c r="C136" s="22">
        <f>'Preventative costs A'!C136-'Preventative costs B'!C136</f>
        <v>0</v>
      </c>
      <c r="D136" s="22">
        <f>'Preventative costs A'!D136-'Preventative costs B'!D136</f>
        <v>0</v>
      </c>
      <c r="E136" s="22">
        <f>'Preventative costs A'!E136-'Preventative costs B'!E136</f>
        <v>0</v>
      </c>
      <c r="F136" s="22">
        <f>'Preventative costs A'!F136-'Preventative costs B'!F136</f>
        <v>0</v>
      </c>
      <c r="G136" s="22">
        <f>'Preventative costs A'!G136-'Preventative costs B'!G136</f>
        <v>0</v>
      </c>
      <c r="H136" s="22">
        <f>'Preventative costs A'!H136-'Preventative costs B'!H136</f>
        <v>0</v>
      </c>
      <c r="I136" s="22">
        <f>'Preventative costs A'!I136-'Preventative costs B'!I136</f>
        <v>0</v>
      </c>
      <c r="J136" s="22">
        <f>'Preventative costs A'!J136-'Preventative costs B'!J136</f>
        <v>0</v>
      </c>
      <c r="K136" s="22">
        <f>'Preventative costs A'!K136-'Preventative costs B'!K136</f>
        <v>0</v>
      </c>
      <c r="M136" s="4" t="str">
        <f t="shared" si="1"/>
        <v>Mtonne</v>
      </c>
    </row>
    <row r="137" spans="1:13" s="7" customFormat="1" ht="13" thickBot="1" x14ac:dyDescent="0.3">
      <c r="A137" s="4" t="str">
        <v>LA CH4</v>
      </c>
      <c r="B137" s="24">
        <f>'Preventative costs A'!B137-'Preventative costs B'!B137</f>
        <v>0</v>
      </c>
      <c r="C137" s="24">
        <f>'Preventative costs A'!C137-'Preventative costs B'!C137</f>
        <v>0</v>
      </c>
      <c r="D137" s="24">
        <f>'Preventative costs A'!D137-'Preventative costs B'!D137</f>
        <v>0</v>
      </c>
      <c r="E137" s="24">
        <f>'Preventative costs A'!E137-'Preventative costs B'!E137</f>
        <v>0</v>
      </c>
      <c r="F137" s="24">
        <f>'Preventative costs A'!F137-'Preventative costs B'!F137</f>
        <v>0</v>
      </c>
      <c r="G137" s="24">
        <f>'Preventative costs A'!G137-'Preventative costs B'!G137</f>
        <v>0</v>
      </c>
      <c r="H137" s="24">
        <f>'Preventative costs A'!H137-'Preventative costs B'!H137</f>
        <v>0</v>
      </c>
      <c r="I137" s="24">
        <f>'Preventative costs A'!I137-'Preventative costs B'!I137</f>
        <v>0</v>
      </c>
      <c r="J137" s="24">
        <f>'Preventative costs A'!J137-'Preventative costs B'!J137</f>
        <v>0</v>
      </c>
      <c r="K137" s="24">
        <f>'Preventative costs A'!K137-'Preventative costs B'!K137</f>
        <v>0</v>
      </c>
      <c r="M137" s="4" t="str">
        <f t="shared" si="1"/>
        <v>Mtonne</v>
      </c>
    </row>
    <row r="138" spans="1:13" s="8" customFormat="1" ht="15.5" thickTop="1" x14ac:dyDescent="0.4">
      <c r="A138" s="8" t="s">
        <v>135</v>
      </c>
      <c r="B138" s="8" t="s">
        <v>350</v>
      </c>
    </row>
    <row r="139" spans="1:13" s="7" customFormat="1" x14ac:dyDescent="0.25">
      <c r="A139" s="4" t="str">
        <f t="array" ref="A139:A146">R_CODE&amp;" "&amp;'Base data'!$D$11</f>
        <v>EU N2O</v>
      </c>
      <c r="B139" s="20">
        <f>'Preventative costs A'!B139-'Preventative costs B'!B139</f>
        <v>0</v>
      </c>
      <c r="C139" s="20">
        <f>'Preventative costs A'!C139-'Preventative costs B'!C139</f>
        <v>0</v>
      </c>
      <c r="D139" s="20">
        <f>'Preventative costs A'!D139-'Preventative costs B'!D139</f>
        <v>0</v>
      </c>
      <c r="E139" s="20">
        <f>'Preventative costs A'!E139-'Preventative costs B'!E139</f>
        <v>0</v>
      </c>
      <c r="F139" s="20">
        <f>'Preventative costs A'!F139-'Preventative costs B'!F139</f>
        <v>0</v>
      </c>
      <c r="G139" s="20">
        <f>'Preventative costs A'!G139-'Preventative costs B'!G139</f>
        <v>0</v>
      </c>
      <c r="H139" s="20">
        <f>'Preventative costs A'!H139-'Preventative costs B'!H139</f>
        <v>0</v>
      </c>
      <c r="I139" s="20">
        <f>'Preventative costs A'!I139-'Preventative costs B'!I139</f>
        <v>0</v>
      </c>
      <c r="J139" s="20">
        <f>'Preventative costs A'!J139-'Preventative costs B'!J139</f>
        <v>0</v>
      </c>
      <c r="K139" s="20">
        <f>'Preventative costs A'!K139-'Preventative costs B'!K139</f>
        <v>0</v>
      </c>
      <c r="M139" s="4" t="str">
        <f t="shared" ref="M139:M146" si="2">EMIT_NAME</f>
        <v>Mtonne</v>
      </c>
    </row>
    <row r="140" spans="1:13" s="7" customFormat="1" x14ac:dyDescent="0.25">
      <c r="A140" s="4" t="str">
        <v>US N2O</v>
      </c>
      <c r="B140" s="22">
        <f>'Preventative costs A'!B140-'Preventative costs B'!B140</f>
        <v>0</v>
      </c>
      <c r="C140" s="22">
        <f>'Preventative costs A'!C140-'Preventative costs B'!C140</f>
        <v>0</v>
      </c>
      <c r="D140" s="22">
        <f>'Preventative costs A'!D140-'Preventative costs B'!D140</f>
        <v>0</v>
      </c>
      <c r="E140" s="22">
        <f>'Preventative costs A'!E140-'Preventative costs B'!E140</f>
        <v>0</v>
      </c>
      <c r="F140" s="22">
        <f>'Preventative costs A'!F140-'Preventative costs B'!F140</f>
        <v>0</v>
      </c>
      <c r="G140" s="22">
        <f>'Preventative costs A'!G140-'Preventative costs B'!G140</f>
        <v>0</v>
      </c>
      <c r="H140" s="22">
        <f>'Preventative costs A'!H140-'Preventative costs B'!H140</f>
        <v>0</v>
      </c>
      <c r="I140" s="22">
        <f>'Preventative costs A'!I140-'Preventative costs B'!I140</f>
        <v>0</v>
      </c>
      <c r="J140" s="22">
        <f>'Preventative costs A'!J140-'Preventative costs B'!J140</f>
        <v>0</v>
      </c>
      <c r="K140" s="22">
        <f>'Preventative costs A'!K140-'Preventative costs B'!K140</f>
        <v>0</v>
      </c>
      <c r="M140" s="4" t="str">
        <f t="shared" si="2"/>
        <v>Mtonne</v>
      </c>
    </row>
    <row r="141" spans="1:13" s="7" customFormat="1" x14ac:dyDescent="0.25">
      <c r="A141" s="4" t="str">
        <v>OT N2O</v>
      </c>
      <c r="B141" s="22">
        <f>'Preventative costs A'!B141-'Preventative costs B'!B141</f>
        <v>0</v>
      </c>
      <c r="C141" s="22">
        <f>'Preventative costs A'!C141-'Preventative costs B'!C141</f>
        <v>0</v>
      </c>
      <c r="D141" s="22">
        <f>'Preventative costs A'!D141-'Preventative costs B'!D141</f>
        <v>0</v>
      </c>
      <c r="E141" s="22">
        <f>'Preventative costs A'!E141-'Preventative costs B'!E141</f>
        <v>0</v>
      </c>
      <c r="F141" s="22">
        <f>'Preventative costs A'!F141-'Preventative costs B'!F141</f>
        <v>0</v>
      </c>
      <c r="G141" s="22">
        <f>'Preventative costs A'!G141-'Preventative costs B'!G141</f>
        <v>0</v>
      </c>
      <c r="H141" s="22">
        <f>'Preventative costs A'!H141-'Preventative costs B'!H141</f>
        <v>0</v>
      </c>
      <c r="I141" s="22">
        <f>'Preventative costs A'!I141-'Preventative costs B'!I141</f>
        <v>0</v>
      </c>
      <c r="J141" s="22">
        <f>'Preventative costs A'!J141-'Preventative costs B'!J141</f>
        <v>0</v>
      </c>
      <c r="K141" s="22">
        <f>'Preventative costs A'!K141-'Preventative costs B'!K141</f>
        <v>0</v>
      </c>
      <c r="M141" s="4" t="str">
        <f t="shared" si="2"/>
        <v>Mtonne</v>
      </c>
    </row>
    <row r="142" spans="1:13" s="7" customFormat="1" x14ac:dyDescent="0.25">
      <c r="A142" s="4" t="str">
        <v>EE N2O</v>
      </c>
      <c r="B142" s="22">
        <f>'Preventative costs A'!B142-'Preventative costs B'!B142</f>
        <v>0</v>
      </c>
      <c r="C142" s="22">
        <f>'Preventative costs A'!C142-'Preventative costs B'!C142</f>
        <v>0</v>
      </c>
      <c r="D142" s="22">
        <f>'Preventative costs A'!D142-'Preventative costs B'!D142</f>
        <v>0</v>
      </c>
      <c r="E142" s="22">
        <f>'Preventative costs A'!E142-'Preventative costs B'!E142</f>
        <v>0</v>
      </c>
      <c r="F142" s="22">
        <f>'Preventative costs A'!F142-'Preventative costs B'!F142</f>
        <v>0</v>
      </c>
      <c r="G142" s="22">
        <f>'Preventative costs A'!G142-'Preventative costs B'!G142</f>
        <v>0</v>
      </c>
      <c r="H142" s="22">
        <f>'Preventative costs A'!H142-'Preventative costs B'!H142</f>
        <v>0</v>
      </c>
      <c r="I142" s="22">
        <f>'Preventative costs A'!I142-'Preventative costs B'!I142</f>
        <v>0</v>
      </c>
      <c r="J142" s="22">
        <f>'Preventative costs A'!J142-'Preventative costs B'!J142</f>
        <v>0</v>
      </c>
      <c r="K142" s="22">
        <f>'Preventative costs A'!K142-'Preventative costs B'!K142</f>
        <v>0</v>
      </c>
      <c r="M142" s="4" t="str">
        <f t="shared" si="2"/>
        <v>Mtonne</v>
      </c>
    </row>
    <row r="143" spans="1:13" s="7" customFormat="1" x14ac:dyDescent="0.25">
      <c r="A143" s="4" t="str">
        <v>CA N2O</v>
      </c>
      <c r="B143" s="22">
        <f>'Preventative costs A'!B143-'Preventative costs B'!B143</f>
        <v>0</v>
      </c>
      <c r="C143" s="22">
        <f>'Preventative costs A'!C143-'Preventative costs B'!C143</f>
        <v>0</v>
      </c>
      <c r="D143" s="22">
        <f>'Preventative costs A'!D143-'Preventative costs B'!D143</f>
        <v>0</v>
      </c>
      <c r="E143" s="22">
        <f>'Preventative costs A'!E143-'Preventative costs B'!E143</f>
        <v>0</v>
      </c>
      <c r="F143" s="22">
        <f>'Preventative costs A'!F143-'Preventative costs B'!F143</f>
        <v>0</v>
      </c>
      <c r="G143" s="22">
        <f>'Preventative costs A'!G143-'Preventative costs B'!G143</f>
        <v>0</v>
      </c>
      <c r="H143" s="22">
        <f>'Preventative costs A'!H143-'Preventative costs B'!H143</f>
        <v>0</v>
      </c>
      <c r="I143" s="22">
        <f>'Preventative costs A'!I143-'Preventative costs B'!I143</f>
        <v>0</v>
      </c>
      <c r="J143" s="22">
        <f>'Preventative costs A'!J143-'Preventative costs B'!J143</f>
        <v>0</v>
      </c>
      <c r="K143" s="22">
        <f>'Preventative costs A'!K143-'Preventative costs B'!K143</f>
        <v>0</v>
      </c>
      <c r="M143" s="4" t="str">
        <f t="shared" si="2"/>
        <v>Mtonne</v>
      </c>
    </row>
    <row r="144" spans="1:13" s="7" customFormat="1" x14ac:dyDescent="0.25">
      <c r="A144" s="4" t="str">
        <v>IA N2O</v>
      </c>
      <c r="B144" s="22">
        <f>'Preventative costs A'!B144-'Preventative costs B'!B144</f>
        <v>0</v>
      </c>
      <c r="C144" s="22">
        <f>'Preventative costs A'!C144-'Preventative costs B'!C144</f>
        <v>0</v>
      </c>
      <c r="D144" s="22">
        <f>'Preventative costs A'!D144-'Preventative costs B'!D144</f>
        <v>0</v>
      </c>
      <c r="E144" s="22">
        <f>'Preventative costs A'!E144-'Preventative costs B'!E144</f>
        <v>0</v>
      </c>
      <c r="F144" s="22">
        <f>'Preventative costs A'!F144-'Preventative costs B'!F144</f>
        <v>0</v>
      </c>
      <c r="G144" s="22">
        <f>'Preventative costs A'!G144-'Preventative costs B'!G144</f>
        <v>0</v>
      </c>
      <c r="H144" s="22">
        <f>'Preventative costs A'!H144-'Preventative costs B'!H144</f>
        <v>0</v>
      </c>
      <c r="I144" s="22">
        <f>'Preventative costs A'!I144-'Preventative costs B'!I144</f>
        <v>0</v>
      </c>
      <c r="J144" s="22">
        <f>'Preventative costs A'!J144-'Preventative costs B'!J144</f>
        <v>0</v>
      </c>
      <c r="K144" s="22">
        <f>'Preventative costs A'!K144-'Preventative costs B'!K144</f>
        <v>0</v>
      </c>
      <c r="M144" s="4" t="str">
        <f t="shared" si="2"/>
        <v>Mtonne</v>
      </c>
    </row>
    <row r="145" spans="1:13" s="7" customFormat="1" x14ac:dyDescent="0.25">
      <c r="A145" s="4" t="str">
        <v>AF N2O</v>
      </c>
      <c r="B145" s="22">
        <f>'Preventative costs A'!B145-'Preventative costs B'!B145</f>
        <v>0</v>
      </c>
      <c r="C145" s="22">
        <f>'Preventative costs A'!C145-'Preventative costs B'!C145</f>
        <v>0</v>
      </c>
      <c r="D145" s="22">
        <f>'Preventative costs A'!D145-'Preventative costs B'!D145</f>
        <v>0</v>
      </c>
      <c r="E145" s="22">
        <f>'Preventative costs A'!E145-'Preventative costs B'!E145</f>
        <v>0</v>
      </c>
      <c r="F145" s="22">
        <f>'Preventative costs A'!F145-'Preventative costs B'!F145</f>
        <v>0</v>
      </c>
      <c r="G145" s="22">
        <f>'Preventative costs A'!G145-'Preventative costs B'!G145</f>
        <v>0</v>
      </c>
      <c r="H145" s="22">
        <f>'Preventative costs A'!H145-'Preventative costs B'!H145</f>
        <v>0</v>
      </c>
      <c r="I145" s="22">
        <f>'Preventative costs A'!I145-'Preventative costs B'!I145</f>
        <v>0</v>
      </c>
      <c r="J145" s="22">
        <f>'Preventative costs A'!J145-'Preventative costs B'!J145</f>
        <v>0</v>
      </c>
      <c r="K145" s="22">
        <f>'Preventative costs A'!K145-'Preventative costs B'!K145</f>
        <v>0</v>
      </c>
      <c r="M145" s="4" t="str">
        <f t="shared" si="2"/>
        <v>Mtonne</v>
      </c>
    </row>
    <row r="146" spans="1:13" s="7" customFormat="1" ht="13" thickBot="1" x14ac:dyDescent="0.3">
      <c r="A146" s="4" t="str">
        <v>LA N2O</v>
      </c>
      <c r="B146" s="24">
        <f>'Preventative costs A'!B146-'Preventative costs B'!B146</f>
        <v>0</v>
      </c>
      <c r="C146" s="24">
        <f>'Preventative costs A'!C146-'Preventative costs B'!C146</f>
        <v>0</v>
      </c>
      <c r="D146" s="24">
        <f>'Preventative costs A'!D146-'Preventative costs B'!D146</f>
        <v>0</v>
      </c>
      <c r="E146" s="24">
        <f>'Preventative costs A'!E146-'Preventative costs B'!E146</f>
        <v>0</v>
      </c>
      <c r="F146" s="24">
        <f>'Preventative costs A'!F146-'Preventative costs B'!F146</f>
        <v>0</v>
      </c>
      <c r="G146" s="24">
        <f>'Preventative costs A'!G146-'Preventative costs B'!G146</f>
        <v>0</v>
      </c>
      <c r="H146" s="24">
        <f>'Preventative costs A'!H146-'Preventative costs B'!H146</f>
        <v>0</v>
      </c>
      <c r="I146" s="24">
        <f>'Preventative costs A'!I146-'Preventative costs B'!I146</f>
        <v>0</v>
      </c>
      <c r="J146" s="24">
        <f>'Preventative costs A'!J146-'Preventative costs B'!J146</f>
        <v>0</v>
      </c>
      <c r="K146" s="24">
        <f>'Preventative costs A'!K146-'Preventative costs B'!K146</f>
        <v>0</v>
      </c>
      <c r="M146" s="4" t="str">
        <f t="shared" si="2"/>
        <v>Mtonne</v>
      </c>
    </row>
    <row r="147" spans="1:13" s="8" customFormat="1" ht="15.5" thickTop="1" x14ac:dyDescent="0.4">
      <c r="A147" s="8" t="s">
        <v>135</v>
      </c>
      <c r="B147" s="8" t="s">
        <v>351</v>
      </c>
    </row>
    <row r="148" spans="1:13" s="7" customFormat="1" x14ac:dyDescent="0.25">
      <c r="A148" s="4" t="str">
        <f t="array" ref="A148:A155">R_CODE&amp;" "&amp;GLIN_NAME</f>
        <v>EU Lin</v>
      </c>
      <c r="B148" s="20">
        <f>'Preventative costs A'!B148-'Preventative costs B'!B148</f>
        <v>0</v>
      </c>
      <c r="C148" s="20">
        <f>'Preventative costs A'!C148-'Preventative costs B'!C148</f>
        <v>0</v>
      </c>
      <c r="D148" s="20">
        <f>'Preventative costs A'!D148-'Preventative costs B'!D148</f>
        <v>0</v>
      </c>
      <c r="E148" s="20">
        <f>'Preventative costs A'!E148-'Preventative costs B'!E148</f>
        <v>0</v>
      </c>
      <c r="F148" s="20">
        <f>'Preventative costs A'!F148-'Preventative costs B'!F148</f>
        <v>0</v>
      </c>
      <c r="G148" s="20">
        <f>'Preventative costs A'!G148-'Preventative costs B'!G148</f>
        <v>0</v>
      </c>
      <c r="H148" s="20">
        <f>'Preventative costs A'!H148-'Preventative costs B'!H148</f>
        <v>0</v>
      </c>
      <c r="I148" s="20">
        <f>'Preventative costs A'!I148-'Preventative costs B'!I148</f>
        <v>0</v>
      </c>
      <c r="J148" s="20">
        <f>'Preventative costs A'!J148-'Preventative costs B'!J148</f>
        <v>0</v>
      </c>
      <c r="K148" s="20">
        <f>'Preventative costs A'!K148-'Preventative costs B'!K148</f>
        <v>0</v>
      </c>
      <c r="M148" s="4" t="str">
        <f t="shared" ref="M148:M155" si="3">EMIT_NAME</f>
        <v>Mtonne</v>
      </c>
    </row>
    <row r="149" spans="1:13" s="7" customFormat="1" x14ac:dyDescent="0.25">
      <c r="A149" s="4" t="str">
        <v>US Lin</v>
      </c>
      <c r="B149" s="22">
        <f>'Preventative costs A'!B149-'Preventative costs B'!B149</f>
        <v>0</v>
      </c>
      <c r="C149" s="22">
        <f>'Preventative costs A'!C149-'Preventative costs B'!C149</f>
        <v>0</v>
      </c>
      <c r="D149" s="22">
        <f>'Preventative costs A'!D149-'Preventative costs B'!D149</f>
        <v>0</v>
      </c>
      <c r="E149" s="22">
        <f>'Preventative costs A'!E149-'Preventative costs B'!E149</f>
        <v>0</v>
      </c>
      <c r="F149" s="22">
        <f>'Preventative costs A'!F149-'Preventative costs B'!F149</f>
        <v>0</v>
      </c>
      <c r="G149" s="22">
        <f>'Preventative costs A'!G149-'Preventative costs B'!G149</f>
        <v>0</v>
      </c>
      <c r="H149" s="22">
        <f>'Preventative costs A'!H149-'Preventative costs B'!H149</f>
        <v>0</v>
      </c>
      <c r="I149" s="22">
        <f>'Preventative costs A'!I149-'Preventative costs B'!I149</f>
        <v>0</v>
      </c>
      <c r="J149" s="22">
        <f>'Preventative costs A'!J149-'Preventative costs B'!J149</f>
        <v>0</v>
      </c>
      <c r="K149" s="22">
        <f>'Preventative costs A'!K149-'Preventative costs B'!K149</f>
        <v>0</v>
      </c>
      <c r="M149" s="4" t="str">
        <f t="shared" si="3"/>
        <v>Mtonne</v>
      </c>
    </row>
    <row r="150" spans="1:13" s="7" customFormat="1" x14ac:dyDescent="0.25">
      <c r="A150" s="4" t="str">
        <v>OT Lin</v>
      </c>
      <c r="B150" s="22">
        <f>'Preventative costs A'!B150-'Preventative costs B'!B150</f>
        <v>0</v>
      </c>
      <c r="C150" s="22">
        <f>'Preventative costs A'!C150-'Preventative costs B'!C150</f>
        <v>0</v>
      </c>
      <c r="D150" s="22">
        <f>'Preventative costs A'!D150-'Preventative costs B'!D150</f>
        <v>0</v>
      </c>
      <c r="E150" s="22">
        <f>'Preventative costs A'!E150-'Preventative costs B'!E150</f>
        <v>0</v>
      </c>
      <c r="F150" s="22">
        <f>'Preventative costs A'!F150-'Preventative costs B'!F150</f>
        <v>0</v>
      </c>
      <c r="G150" s="22">
        <f>'Preventative costs A'!G150-'Preventative costs B'!G150</f>
        <v>0</v>
      </c>
      <c r="H150" s="22">
        <f>'Preventative costs A'!H150-'Preventative costs B'!H150</f>
        <v>0</v>
      </c>
      <c r="I150" s="22">
        <f>'Preventative costs A'!I150-'Preventative costs B'!I150</f>
        <v>0</v>
      </c>
      <c r="J150" s="22">
        <f>'Preventative costs A'!J150-'Preventative costs B'!J150</f>
        <v>0</v>
      </c>
      <c r="K150" s="22">
        <f>'Preventative costs A'!K150-'Preventative costs B'!K150</f>
        <v>0</v>
      </c>
      <c r="M150" s="4" t="str">
        <f t="shared" si="3"/>
        <v>Mtonne</v>
      </c>
    </row>
    <row r="151" spans="1:13" s="7" customFormat="1" x14ac:dyDescent="0.25">
      <c r="A151" s="4" t="str">
        <v>EE Lin</v>
      </c>
      <c r="B151" s="22">
        <f>'Preventative costs A'!B151-'Preventative costs B'!B151</f>
        <v>0</v>
      </c>
      <c r="C151" s="22">
        <f>'Preventative costs A'!C151-'Preventative costs B'!C151</f>
        <v>0</v>
      </c>
      <c r="D151" s="22">
        <f>'Preventative costs A'!D151-'Preventative costs B'!D151</f>
        <v>0</v>
      </c>
      <c r="E151" s="22">
        <f>'Preventative costs A'!E151-'Preventative costs B'!E151</f>
        <v>0</v>
      </c>
      <c r="F151" s="22">
        <f>'Preventative costs A'!F151-'Preventative costs B'!F151</f>
        <v>0</v>
      </c>
      <c r="G151" s="22">
        <f>'Preventative costs A'!G151-'Preventative costs B'!G151</f>
        <v>0</v>
      </c>
      <c r="H151" s="22">
        <f>'Preventative costs A'!H151-'Preventative costs B'!H151</f>
        <v>0</v>
      </c>
      <c r="I151" s="22">
        <f>'Preventative costs A'!I151-'Preventative costs B'!I151</f>
        <v>0</v>
      </c>
      <c r="J151" s="22">
        <f>'Preventative costs A'!J151-'Preventative costs B'!J151</f>
        <v>0</v>
      </c>
      <c r="K151" s="22">
        <f>'Preventative costs A'!K151-'Preventative costs B'!K151</f>
        <v>0</v>
      </c>
      <c r="M151" s="4" t="str">
        <f t="shared" si="3"/>
        <v>Mtonne</v>
      </c>
    </row>
    <row r="152" spans="1:13" s="7" customFormat="1" x14ac:dyDescent="0.25">
      <c r="A152" s="4" t="str">
        <v>CA Lin</v>
      </c>
      <c r="B152" s="22">
        <f>'Preventative costs A'!B152-'Preventative costs B'!B152</f>
        <v>0</v>
      </c>
      <c r="C152" s="22">
        <f>'Preventative costs A'!C152-'Preventative costs B'!C152</f>
        <v>0</v>
      </c>
      <c r="D152" s="22">
        <f>'Preventative costs A'!D152-'Preventative costs B'!D152</f>
        <v>0</v>
      </c>
      <c r="E152" s="22">
        <f>'Preventative costs A'!E152-'Preventative costs B'!E152</f>
        <v>0</v>
      </c>
      <c r="F152" s="22">
        <f>'Preventative costs A'!F152-'Preventative costs B'!F152</f>
        <v>0</v>
      </c>
      <c r="G152" s="22">
        <f>'Preventative costs A'!G152-'Preventative costs B'!G152</f>
        <v>0</v>
      </c>
      <c r="H152" s="22">
        <f>'Preventative costs A'!H152-'Preventative costs B'!H152</f>
        <v>0</v>
      </c>
      <c r="I152" s="22">
        <f>'Preventative costs A'!I152-'Preventative costs B'!I152</f>
        <v>0</v>
      </c>
      <c r="J152" s="22">
        <f>'Preventative costs A'!J152-'Preventative costs B'!J152</f>
        <v>0</v>
      </c>
      <c r="K152" s="22">
        <f>'Preventative costs A'!K152-'Preventative costs B'!K152</f>
        <v>0</v>
      </c>
      <c r="M152" s="4" t="str">
        <f t="shared" si="3"/>
        <v>Mtonne</v>
      </c>
    </row>
    <row r="153" spans="1:13" s="7" customFormat="1" x14ac:dyDescent="0.25">
      <c r="A153" s="4" t="str">
        <v>IA Lin</v>
      </c>
      <c r="B153" s="22">
        <f>'Preventative costs A'!B153-'Preventative costs B'!B153</f>
        <v>0</v>
      </c>
      <c r="C153" s="22">
        <f>'Preventative costs A'!C153-'Preventative costs B'!C153</f>
        <v>0</v>
      </c>
      <c r="D153" s="22">
        <f>'Preventative costs A'!D153-'Preventative costs B'!D153</f>
        <v>0</v>
      </c>
      <c r="E153" s="22">
        <f>'Preventative costs A'!E153-'Preventative costs B'!E153</f>
        <v>0</v>
      </c>
      <c r="F153" s="22">
        <f>'Preventative costs A'!F153-'Preventative costs B'!F153</f>
        <v>0</v>
      </c>
      <c r="G153" s="22">
        <f>'Preventative costs A'!G153-'Preventative costs B'!G153</f>
        <v>0</v>
      </c>
      <c r="H153" s="22">
        <f>'Preventative costs A'!H153-'Preventative costs B'!H153</f>
        <v>0</v>
      </c>
      <c r="I153" s="22">
        <f>'Preventative costs A'!I153-'Preventative costs B'!I153</f>
        <v>0</v>
      </c>
      <c r="J153" s="22">
        <f>'Preventative costs A'!J153-'Preventative costs B'!J153</f>
        <v>0</v>
      </c>
      <c r="K153" s="22">
        <f>'Preventative costs A'!K153-'Preventative costs B'!K153</f>
        <v>0</v>
      </c>
      <c r="M153" s="4" t="str">
        <f t="shared" si="3"/>
        <v>Mtonne</v>
      </c>
    </row>
    <row r="154" spans="1:13" s="7" customFormat="1" x14ac:dyDescent="0.25">
      <c r="A154" s="4" t="str">
        <v>AF Lin</v>
      </c>
      <c r="B154" s="22">
        <f>'Preventative costs A'!B154-'Preventative costs B'!B154</f>
        <v>0</v>
      </c>
      <c r="C154" s="22">
        <f>'Preventative costs A'!C154-'Preventative costs B'!C154</f>
        <v>0</v>
      </c>
      <c r="D154" s="22">
        <f>'Preventative costs A'!D154-'Preventative costs B'!D154</f>
        <v>0</v>
      </c>
      <c r="E154" s="22">
        <f>'Preventative costs A'!E154-'Preventative costs B'!E154</f>
        <v>0</v>
      </c>
      <c r="F154" s="22">
        <f>'Preventative costs A'!F154-'Preventative costs B'!F154</f>
        <v>0</v>
      </c>
      <c r="G154" s="22">
        <f>'Preventative costs A'!G154-'Preventative costs B'!G154</f>
        <v>0</v>
      </c>
      <c r="H154" s="22">
        <f>'Preventative costs A'!H154-'Preventative costs B'!H154</f>
        <v>0</v>
      </c>
      <c r="I154" s="22">
        <f>'Preventative costs A'!I154-'Preventative costs B'!I154</f>
        <v>0</v>
      </c>
      <c r="J154" s="22">
        <f>'Preventative costs A'!J154-'Preventative costs B'!J154</f>
        <v>0</v>
      </c>
      <c r="K154" s="22">
        <f>'Preventative costs A'!K154-'Preventative costs B'!K154</f>
        <v>0</v>
      </c>
      <c r="M154" s="4" t="str">
        <f t="shared" si="3"/>
        <v>Mtonne</v>
      </c>
    </row>
    <row r="155" spans="1:13" s="7" customFormat="1" ht="13" thickBot="1" x14ac:dyDescent="0.3">
      <c r="A155" s="4" t="str">
        <v>LA Lin</v>
      </c>
      <c r="B155" s="24">
        <f>'Preventative costs A'!B155-'Preventative costs B'!B155</f>
        <v>0</v>
      </c>
      <c r="C155" s="24">
        <f>'Preventative costs A'!C155-'Preventative costs B'!C155</f>
        <v>0</v>
      </c>
      <c r="D155" s="24">
        <f>'Preventative costs A'!D155-'Preventative costs B'!D155</f>
        <v>0</v>
      </c>
      <c r="E155" s="24">
        <f>'Preventative costs A'!E155-'Preventative costs B'!E155</f>
        <v>0</v>
      </c>
      <c r="F155" s="24">
        <f>'Preventative costs A'!F155-'Preventative costs B'!F155</f>
        <v>0</v>
      </c>
      <c r="G155" s="24">
        <f>'Preventative costs A'!G155-'Preventative costs B'!G155</f>
        <v>0</v>
      </c>
      <c r="H155" s="24">
        <f>'Preventative costs A'!H155-'Preventative costs B'!H155</f>
        <v>0</v>
      </c>
      <c r="I155" s="24">
        <f>'Preventative costs A'!I155-'Preventative costs B'!I155</f>
        <v>0</v>
      </c>
      <c r="J155" s="24">
        <f>'Preventative costs A'!J155-'Preventative costs B'!J155</f>
        <v>0</v>
      </c>
      <c r="K155" s="24">
        <f>'Preventative costs A'!K155-'Preventative costs B'!K155</f>
        <v>0</v>
      </c>
      <c r="M155" s="4" t="str">
        <f t="shared" si="3"/>
        <v>Mtonne</v>
      </c>
    </row>
    <row r="156" spans="1:13" s="2" customFormat="1" ht="15.5" thickTop="1" x14ac:dyDescent="0.4">
      <c r="A156" s="2" t="s">
        <v>347</v>
      </c>
      <c r="B156" s="2" t="s">
        <v>352</v>
      </c>
    </row>
    <row r="157" spans="1:13" s="6" customFormat="1" x14ac:dyDescent="0.25">
      <c r="A157" s="4" t="str">
        <f t="array" ref="A157:A164">R_CODE&amp;" "&amp;'Base data'!$B$11</f>
        <v>EU CO2</v>
      </c>
      <c r="B157" s="37">
        <f>'Preventative costs A'!B157-'Preventative costs B'!B157</f>
        <v>0</v>
      </c>
      <c r="C157" s="37">
        <f>'Preventative costs A'!C157-'Preventative costs B'!C157</f>
        <v>0</v>
      </c>
      <c r="D157" s="37">
        <f>'Preventative costs A'!D157-'Preventative costs B'!D157</f>
        <v>0</v>
      </c>
      <c r="E157" s="37">
        <f>'Preventative costs A'!E157-'Preventative costs B'!E157</f>
        <v>0</v>
      </c>
      <c r="F157" s="37">
        <f>'Preventative costs A'!F157-'Preventative costs B'!F157</f>
        <v>0</v>
      </c>
      <c r="G157" s="37">
        <f>'Preventative costs A'!G157-'Preventative costs B'!G157</f>
        <v>0</v>
      </c>
      <c r="H157" s="37">
        <f>'Preventative costs A'!H157-'Preventative costs B'!H157</f>
        <v>0</v>
      </c>
      <c r="I157" s="37">
        <f>'Preventative costs A'!I157-'Preventative costs B'!I157</f>
        <v>0</v>
      </c>
      <c r="J157" s="37">
        <f>'Preventative costs A'!J157-'Preventative costs B'!J157</f>
        <v>0</v>
      </c>
      <c r="K157" s="37">
        <f>'Preventative costs A'!K157-'Preventative costs B'!K157</f>
        <v>0</v>
      </c>
      <c r="M157" s="4" t="str">
        <f t="shared" ref="M157:M165" si="4">EMIT_NAME</f>
        <v>Mtonne</v>
      </c>
    </row>
    <row r="158" spans="1:13" s="6" customFormat="1" x14ac:dyDescent="0.25">
      <c r="A158" s="4" t="str">
        <v>US CO2</v>
      </c>
      <c r="B158" s="38">
        <f>'Preventative costs A'!B158-'Preventative costs B'!B158</f>
        <v>0</v>
      </c>
      <c r="C158" s="38">
        <f>'Preventative costs A'!C158-'Preventative costs B'!C158</f>
        <v>0</v>
      </c>
      <c r="D158" s="38">
        <f>'Preventative costs A'!D158-'Preventative costs B'!D158</f>
        <v>0</v>
      </c>
      <c r="E158" s="38">
        <f>'Preventative costs A'!E158-'Preventative costs B'!E158</f>
        <v>0</v>
      </c>
      <c r="F158" s="38">
        <f>'Preventative costs A'!F158-'Preventative costs B'!F158</f>
        <v>0</v>
      </c>
      <c r="G158" s="38">
        <f>'Preventative costs A'!G158-'Preventative costs B'!G158</f>
        <v>0</v>
      </c>
      <c r="H158" s="38">
        <f>'Preventative costs A'!H158-'Preventative costs B'!H158</f>
        <v>0</v>
      </c>
      <c r="I158" s="38">
        <f>'Preventative costs A'!I158-'Preventative costs B'!I158</f>
        <v>0</v>
      </c>
      <c r="J158" s="38">
        <f>'Preventative costs A'!J158-'Preventative costs B'!J158</f>
        <v>0</v>
      </c>
      <c r="K158" s="38">
        <f>'Preventative costs A'!K158-'Preventative costs B'!K158</f>
        <v>0</v>
      </c>
      <c r="M158" s="4" t="str">
        <f t="shared" si="4"/>
        <v>Mtonne</v>
      </c>
    </row>
    <row r="159" spans="1:13" s="6" customFormat="1" x14ac:dyDescent="0.25">
      <c r="A159" s="4" t="str">
        <v>OT CO2</v>
      </c>
      <c r="B159" s="38">
        <f>'Preventative costs A'!B159-'Preventative costs B'!B159</f>
        <v>0</v>
      </c>
      <c r="C159" s="38">
        <f>'Preventative costs A'!C159-'Preventative costs B'!C159</f>
        <v>0</v>
      </c>
      <c r="D159" s="38">
        <f>'Preventative costs A'!D159-'Preventative costs B'!D159</f>
        <v>0</v>
      </c>
      <c r="E159" s="38">
        <f>'Preventative costs A'!E159-'Preventative costs B'!E159</f>
        <v>0</v>
      </c>
      <c r="F159" s="38">
        <f>'Preventative costs A'!F159-'Preventative costs B'!F159</f>
        <v>0</v>
      </c>
      <c r="G159" s="38">
        <f>'Preventative costs A'!G159-'Preventative costs B'!G159</f>
        <v>0</v>
      </c>
      <c r="H159" s="38">
        <f>'Preventative costs A'!H159-'Preventative costs B'!H159</f>
        <v>0</v>
      </c>
      <c r="I159" s="38">
        <f>'Preventative costs A'!I159-'Preventative costs B'!I159</f>
        <v>0</v>
      </c>
      <c r="J159" s="38">
        <f>'Preventative costs A'!J159-'Preventative costs B'!J159</f>
        <v>0</v>
      </c>
      <c r="K159" s="38">
        <f>'Preventative costs A'!K159-'Preventative costs B'!K159</f>
        <v>0</v>
      </c>
      <c r="M159" s="4" t="str">
        <f t="shared" si="4"/>
        <v>Mtonne</v>
      </c>
    </row>
    <row r="160" spans="1:13" s="6" customFormat="1" x14ac:dyDescent="0.25">
      <c r="A160" s="4" t="str">
        <v>EE CO2</v>
      </c>
      <c r="B160" s="38">
        <f>'Preventative costs A'!B160-'Preventative costs B'!B160</f>
        <v>0</v>
      </c>
      <c r="C160" s="38">
        <f>'Preventative costs A'!C160-'Preventative costs B'!C160</f>
        <v>0</v>
      </c>
      <c r="D160" s="38">
        <f>'Preventative costs A'!D160-'Preventative costs B'!D160</f>
        <v>0</v>
      </c>
      <c r="E160" s="38">
        <f>'Preventative costs A'!E160-'Preventative costs B'!E160</f>
        <v>0</v>
      </c>
      <c r="F160" s="38">
        <f>'Preventative costs A'!F160-'Preventative costs B'!F160</f>
        <v>0</v>
      </c>
      <c r="G160" s="38">
        <f>'Preventative costs A'!G160-'Preventative costs B'!G160</f>
        <v>0</v>
      </c>
      <c r="H160" s="38">
        <f>'Preventative costs A'!H160-'Preventative costs B'!H160</f>
        <v>0</v>
      </c>
      <c r="I160" s="38">
        <f>'Preventative costs A'!I160-'Preventative costs B'!I160</f>
        <v>0</v>
      </c>
      <c r="J160" s="38">
        <f>'Preventative costs A'!J160-'Preventative costs B'!J160</f>
        <v>0</v>
      </c>
      <c r="K160" s="38">
        <f>'Preventative costs A'!K160-'Preventative costs B'!K160</f>
        <v>0</v>
      </c>
      <c r="M160" s="4" t="str">
        <f t="shared" si="4"/>
        <v>Mtonne</v>
      </c>
    </row>
    <row r="161" spans="1:13" s="6" customFormat="1" x14ac:dyDescent="0.25">
      <c r="A161" s="4" t="str">
        <v>CA CO2</v>
      </c>
      <c r="B161" s="38">
        <f>'Preventative costs A'!B161-'Preventative costs B'!B161</f>
        <v>0</v>
      </c>
      <c r="C161" s="38">
        <f>'Preventative costs A'!C161-'Preventative costs B'!C161</f>
        <v>0</v>
      </c>
      <c r="D161" s="38">
        <f>'Preventative costs A'!D161-'Preventative costs B'!D161</f>
        <v>0</v>
      </c>
      <c r="E161" s="38">
        <f>'Preventative costs A'!E161-'Preventative costs B'!E161</f>
        <v>0</v>
      </c>
      <c r="F161" s="38">
        <f>'Preventative costs A'!F161-'Preventative costs B'!F161</f>
        <v>0</v>
      </c>
      <c r="G161" s="38">
        <f>'Preventative costs A'!G161-'Preventative costs B'!G161</f>
        <v>0</v>
      </c>
      <c r="H161" s="38">
        <f>'Preventative costs A'!H161-'Preventative costs B'!H161</f>
        <v>0</v>
      </c>
      <c r="I161" s="38">
        <f>'Preventative costs A'!I161-'Preventative costs B'!I161</f>
        <v>0</v>
      </c>
      <c r="J161" s="38">
        <f>'Preventative costs A'!J161-'Preventative costs B'!J161</f>
        <v>0</v>
      </c>
      <c r="K161" s="38">
        <f>'Preventative costs A'!K161-'Preventative costs B'!K161</f>
        <v>0</v>
      </c>
      <c r="M161" s="4" t="str">
        <f t="shared" si="4"/>
        <v>Mtonne</v>
      </c>
    </row>
    <row r="162" spans="1:13" s="6" customFormat="1" x14ac:dyDescent="0.25">
      <c r="A162" s="4" t="str">
        <v>IA CO2</v>
      </c>
      <c r="B162" s="38">
        <f>'Preventative costs A'!B162-'Preventative costs B'!B162</f>
        <v>0</v>
      </c>
      <c r="C162" s="38">
        <f>'Preventative costs A'!C162-'Preventative costs B'!C162</f>
        <v>0</v>
      </c>
      <c r="D162" s="38">
        <f>'Preventative costs A'!D162-'Preventative costs B'!D162</f>
        <v>0</v>
      </c>
      <c r="E162" s="38">
        <f>'Preventative costs A'!E162-'Preventative costs B'!E162</f>
        <v>0</v>
      </c>
      <c r="F162" s="38">
        <f>'Preventative costs A'!F162-'Preventative costs B'!F162</f>
        <v>0</v>
      </c>
      <c r="G162" s="38">
        <f>'Preventative costs A'!G162-'Preventative costs B'!G162</f>
        <v>0</v>
      </c>
      <c r="H162" s="38">
        <f>'Preventative costs A'!H162-'Preventative costs B'!H162</f>
        <v>0</v>
      </c>
      <c r="I162" s="38">
        <f>'Preventative costs A'!I162-'Preventative costs B'!I162</f>
        <v>0</v>
      </c>
      <c r="J162" s="38">
        <f>'Preventative costs A'!J162-'Preventative costs B'!J162</f>
        <v>0</v>
      </c>
      <c r="K162" s="38">
        <f>'Preventative costs A'!K162-'Preventative costs B'!K162</f>
        <v>0</v>
      </c>
      <c r="M162" s="4" t="str">
        <f t="shared" si="4"/>
        <v>Mtonne</v>
      </c>
    </row>
    <row r="163" spans="1:13" s="6" customFormat="1" x14ac:dyDescent="0.25">
      <c r="A163" s="4" t="str">
        <v>AF CO2</v>
      </c>
      <c r="B163" s="38">
        <f>'Preventative costs A'!B163-'Preventative costs B'!B163</f>
        <v>0</v>
      </c>
      <c r="C163" s="38">
        <f>'Preventative costs A'!C163-'Preventative costs B'!C163</f>
        <v>0</v>
      </c>
      <c r="D163" s="38">
        <f>'Preventative costs A'!D163-'Preventative costs B'!D163</f>
        <v>0</v>
      </c>
      <c r="E163" s="38">
        <f>'Preventative costs A'!E163-'Preventative costs B'!E163</f>
        <v>0</v>
      </c>
      <c r="F163" s="38">
        <f>'Preventative costs A'!F163-'Preventative costs B'!F163</f>
        <v>0</v>
      </c>
      <c r="G163" s="38">
        <f>'Preventative costs A'!G163-'Preventative costs B'!G163</f>
        <v>0</v>
      </c>
      <c r="H163" s="38">
        <f>'Preventative costs A'!H163-'Preventative costs B'!H163</f>
        <v>0</v>
      </c>
      <c r="I163" s="38">
        <f>'Preventative costs A'!I163-'Preventative costs B'!I163</f>
        <v>0</v>
      </c>
      <c r="J163" s="38">
        <f>'Preventative costs A'!J163-'Preventative costs B'!J163</f>
        <v>0</v>
      </c>
      <c r="K163" s="38">
        <f>'Preventative costs A'!K163-'Preventative costs B'!K163</f>
        <v>0</v>
      </c>
      <c r="M163" s="4" t="str">
        <f t="shared" si="4"/>
        <v>Mtonne</v>
      </c>
    </row>
    <row r="164" spans="1:13" s="6" customFormat="1" ht="13" thickBot="1" x14ac:dyDescent="0.3">
      <c r="A164" s="4" t="str">
        <v>LA CO2</v>
      </c>
      <c r="B164" s="50">
        <f>'Preventative costs A'!B164-'Preventative costs B'!B164</f>
        <v>0</v>
      </c>
      <c r="C164" s="50">
        <f>'Preventative costs A'!C164-'Preventative costs B'!C164</f>
        <v>0</v>
      </c>
      <c r="D164" s="50">
        <f>'Preventative costs A'!D164-'Preventative costs B'!D164</f>
        <v>0</v>
      </c>
      <c r="E164" s="50">
        <f>'Preventative costs A'!E164-'Preventative costs B'!E164</f>
        <v>0</v>
      </c>
      <c r="F164" s="50">
        <f>'Preventative costs A'!F164-'Preventative costs B'!F164</f>
        <v>0</v>
      </c>
      <c r="G164" s="50">
        <f>'Preventative costs A'!G164-'Preventative costs B'!G164</f>
        <v>0</v>
      </c>
      <c r="H164" s="50">
        <f>'Preventative costs A'!H164-'Preventative costs B'!H164</f>
        <v>0</v>
      </c>
      <c r="I164" s="50">
        <f>'Preventative costs A'!I164-'Preventative costs B'!I164</f>
        <v>0</v>
      </c>
      <c r="J164" s="50">
        <f>'Preventative costs A'!J164-'Preventative costs B'!J164</f>
        <v>0</v>
      </c>
      <c r="K164" s="50">
        <f>'Preventative costs A'!K164-'Preventative costs B'!K164</f>
        <v>0</v>
      </c>
      <c r="M164" s="4" t="str">
        <f t="shared" si="4"/>
        <v>Mtonne</v>
      </c>
    </row>
    <row r="165" spans="1:13" s="6" customFormat="1" ht="13" thickTop="1" x14ac:dyDescent="0.25">
      <c r="A165" s="80" t="s">
        <v>257</v>
      </c>
      <c r="B165" s="38">
        <f>'Preventative costs A'!B165-'Preventative costs B'!B165</f>
        <v>0</v>
      </c>
      <c r="C165" s="38">
        <f>'Preventative costs A'!C165-'Preventative costs B'!C165</f>
        <v>0</v>
      </c>
      <c r="D165" s="38">
        <f>'Preventative costs A'!D165-'Preventative costs B'!D165</f>
        <v>0</v>
      </c>
      <c r="E165" s="38">
        <f>'Preventative costs A'!E165-'Preventative costs B'!E165</f>
        <v>0</v>
      </c>
      <c r="F165" s="38">
        <f>'Preventative costs A'!F165-'Preventative costs B'!F165</f>
        <v>0</v>
      </c>
      <c r="G165" s="38">
        <f>'Preventative costs A'!G165-'Preventative costs B'!G165</f>
        <v>0</v>
      </c>
      <c r="H165" s="38">
        <f>'Preventative costs A'!H165-'Preventative costs B'!H165</f>
        <v>0</v>
      </c>
      <c r="I165" s="38">
        <f>'Preventative costs A'!I165-'Preventative costs B'!I165</f>
        <v>0</v>
      </c>
      <c r="J165" s="38">
        <f>'Preventative costs A'!J165-'Preventative costs B'!J165</f>
        <v>0</v>
      </c>
      <c r="K165" s="38">
        <f>'Preventative costs A'!K165-'Preventative costs B'!K165</f>
        <v>0</v>
      </c>
      <c r="M165" s="4" t="str">
        <f t="shared" si="4"/>
        <v>Mtonne</v>
      </c>
    </row>
    <row r="166" spans="1:13" s="8" customFormat="1" ht="15" x14ac:dyDescent="0.4">
      <c r="A166" s="2" t="s">
        <v>347</v>
      </c>
      <c r="B166" s="2" t="s">
        <v>353</v>
      </c>
      <c r="C166" s="2"/>
      <c r="D166" s="2"/>
      <c r="E166" s="2"/>
      <c r="F166" s="2"/>
      <c r="G166" s="2"/>
      <c r="H166" s="2"/>
      <c r="I166" s="2"/>
      <c r="J166" s="2"/>
      <c r="K166" s="2"/>
    </row>
    <row r="167" spans="1:13" s="7" customFormat="1" x14ac:dyDescent="0.25">
      <c r="A167" s="4" t="str">
        <f t="array" ref="A167:A174">R_CODE&amp;" "&amp;'Base data'!$C$11</f>
        <v>EU CH4</v>
      </c>
      <c r="B167" s="37">
        <f>'Preventative costs A'!B167-'Preventative costs B'!B167</f>
        <v>0</v>
      </c>
      <c r="C167" s="37">
        <f>'Preventative costs A'!C167-'Preventative costs B'!C167</f>
        <v>0</v>
      </c>
      <c r="D167" s="37">
        <f>'Preventative costs A'!D167-'Preventative costs B'!D167</f>
        <v>0</v>
      </c>
      <c r="E167" s="37">
        <f>'Preventative costs A'!E167-'Preventative costs B'!E167</f>
        <v>0</v>
      </c>
      <c r="F167" s="37">
        <f>'Preventative costs A'!F167-'Preventative costs B'!F167</f>
        <v>0</v>
      </c>
      <c r="G167" s="37">
        <f>'Preventative costs A'!G167-'Preventative costs B'!G167</f>
        <v>0</v>
      </c>
      <c r="H167" s="37">
        <f>'Preventative costs A'!H167-'Preventative costs B'!H167</f>
        <v>0</v>
      </c>
      <c r="I167" s="37">
        <f>'Preventative costs A'!I167-'Preventative costs B'!I167</f>
        <v>0</v>
      </c>
      <c r="J167" s="37">
        <f>'Preventative costs A'!J167-'Preventative costs B'!J167</f>
        <v>0</v>
      </c>
      <c r="K167" s="37">
        <f>'Preventative costs A'!K167-'Preventative costs B'!K167</f>
        <v>0</v>
      </c>
      <c r="M167" s="4" t="str">
        <f t="shared" ref="M167:M175" si="5">EMIT_NAME</f>
        <v>Mtonne</v>
      </c>
    </row>
    <row r="168" spans="1:13" s="7" customFormat="1" x14ac:dyDescent="0.25">
      <c r="A168" s="4" t="str">
        <v>US CH4</v>
      </c>
      <c r="B168" s="38">
        <f>'Preventative costs A'!B168-'Preventative costs B'!B168</f>
        <v>0</v>
      </c>
      <c r="C168" s="38">
        <f>'Preventative costs A'!C168-'Preventative costs B'!C168</f>
        <v>0</v>
      </c>
      <c r="D168" s="38">
        <f>'Preventative costs A'!D168-'Preventative costs B'!D168</f>
        <v>0</v>
      </c>
      <c r="E168" s="38">
        <f>'Preventative costs A'!E168-'Preventative costs B'!E168</f>
        <v>0</v>
      </c>
      <c r="F168" s="38">
        <f>'Preventative costs A'!F168-'Preventative costs B'!F168</f>
        <v>0</v>
      </c>
      <c r="G168" s="38">
        <f>'Preventative costs A'!G168-'Preventative costs B'!G168</f>
        <v>0</v>
      </c>
      <c r="H168" s="38">
        <f>'Preventative costs A'!H168-'Preventative costs B'!H168</f>
        <v>0</v>
      </c>
      <c r="I168" s="38">
        <f>'Preventative costs A'!I168-'Preventative costs B'!I168</f>
        <v>0</v>
      </c>
      <c r="J168" s="38">
        <f>'Preventative costs A'!J168-'Preventative costs B'!J168</f>
        <v>0</v>
      </c>
      <c r="K168" s="38">
        <f>'Preventative costs A'!K168-'Preventative costs B'!K168</f>
        <v>0</v>
      </c>
      <c r="M168" s="4" t="str">
        <f t="shared" si="5"/>
        <v>Mtonne</v>
      </c>
    </row>
    <row r="169" spans="1:13" s="7" customFormat="1" x14ac:dyDescent="0.25">
      <c r="A169" s="4" t="str">
        <v>OT CH4</v>
      </c>
      <c r="B169" s="38">
        <f>'Preventative costs A'!B169-'Preventative costs B'!B169</f>
        <v>0</v>
      </c>
      <c r="C169" s="38">
        <f>'Preventative costs A'!C169-'Preventative costs B'!C169</f>
        <v>0</v>
      </c>
      <c r="D169" s="38">
        <f>'Preventative costs A'!D169-'Preventative costs B'!D169</f>
        <v>0</v>
      </c>
      <c r="E169" s="38">
        <f>'Preventative costs A'!E169-'Preventative costs B'!E169</f>
        <v>0</v>
      </c>
      <c r="F169" s="38">
        <f>'Preventative costs A'!F169-'Preventative costs B'!F169</f>
        <v>0</v>
      </c>
      <c r="G169" s="38">
        <f>'Preventative costs A'!G169-'Preventative costs B'!G169</f>
        <v>0</v>
      </c>
      <c r="H169" s="38">
        <f>'Preventative costs A'!H169-'Preventative costs B'!H169</f>
        <v>0</v>
      </c>
      <c r="I169" s="38">
        <f>'Preventative costs A'!I169-'Preventative costs B'!I169</f>
        <v>0</v>
      </c>
      <c r="J169" s="38">
        <f>'Preventative costs A'!J169-'Preventative costs B'!J169</f>
        <v>0</v>
      </c>
      <c r="K169" s="38">
        <f>'Preventative costs A'!K169-'Preventative costs B'!K169</f>
        <v>0</v>
      </c>
      <c r="M169" s="4" t="str">
        <f t="shared" si="5"/>
        <v>Mtonne</v>
      </c>
    </row>
    <row r="170" spans="1:13" s="7" customFormat="1" x14ac:dyDescent="0.25">
      <c r="A170" s="4" t="str">
        <v>EE CH4</v>
      </c>
      <c r="B170" s="38">
        <f>'Preventative costs A'!B170-'Preventative costs B'!B170</f>
        <v>0</v>
      </c>
      <c r="C170" s="38">
        <f>'Preventative costs A'!C170-'Preventative costs B'!C170</f>
        <v>0</v>
      </c>
      <c r="D170" s="38">
        <f>'Preventative costs A'!D170-'Preventative costs B'!D170</f>
        <v>0</v>
      </c>
      <c r="E170" s="38">
        <f>'Preventative costs A'!E170-'Preventative costs B'!E170</f>
        <v>0</v>
      </c>
      <c r="F170" s="38">
        <f>'Preventative costs A'!F170-'Preventative costs B'!F170</f>
        <v>0</v>
      </c>
      <c r="G170" s="38">
        <f>'Preventative costs A'!G170-'Preventative costs B'!G170</f>
        <v>0</v>
      </c>
      <c r="H170" s="38">
        <f>'Preventative costs A'!H170-'Preventative costs B'!H170</f>
        <v>0</v>
      </c>
      <c r="I170" s="38">
        <f>'Preventative costs A'!I170-'Preventative costs B'!I170</f>
        <v>0</v>
      </c>
      <c r="J170" s="38">
        <f>'Preventative costs A'!J170-'Preventative costs B'!J170</f>
        <v>0</v>
      </c>
      <c r="K170" s="38">
        <f>'Preventative costs A'!K170-'Preventative costs B'!K170</f>
        <v>0</v>
      </c>
      <c r="M170" s="4" t="str">
        <f t="shared" si="5"/>
        <v>Mtonne</v>
      </c>
    </row>
    <row r="171" spans="1:13" s="7" customFormat="1" x14ac:dyDescent="0.25">
      <c r="A171" s="4" t="str">
        <v>CA CH4</v>
      </c>
      <c r="B171" s="38">
        <f>'Preventative costs A'!B171-'Preventative costs B'!B171</f>
        <v>0</v>
      </c>
      <c r="C171" s="38">
        <f>'Preventative costs A'!C171-'Preventative costs B'!C171</f>
        <v>0</v>
      </c>
      <c r="D171" s="38">
        <f>'Preventative costs A'!D171-'Preventative costs B'!D171</f>
        <v>0</v>
      </c>
      <c r="E171" s="38">
        <f>'Preventative costs A'!E171-'Preventative costs B'!E171</f>
        <v>0</v>
      </c>
      <c r="F171" s="38">
        <f>'Preventative costs A'!F171-'Preventative costs B'!F171</f>
        <v>0</v>
      </c>
      <c r="G171" s="38">
        <f>'Preventative costs A'!G171-'Preventative costs B'!G171</f>
        <v>0</v>
      </c>
      <c r="H171" s="38">
        <f>'Preventative costs A'!H171-'Preventative costs B'!H171</f>
        <v>0</v>
      </c>
      <c r="I171" s="38">
        <f>'Preventative costs A'!I171-'Preventative costs B'!I171</f>
        <v>0</v>
      </c>
      <c r="J171" s="38">
        <f>'Preventative costs A'!J171-'Preventative costs B'!J171</f>
        <v>0</v>
      </c>
      <c r="K171" s="38">
        <f>'Preventative costs A'!K171-'Preventative costs B'!K171</f>
        <v>0</v>
      </c>
      <c r="M171" s="4" t="str">
        <f t="shared" si="5"/>
        <v>Mtonne</v>
      </c>
    </row>
    <row r="172" spans="1:13" s="7" customFormat="1" x14ac:dyDescent="0.25">
      <c r="A172" s="4" t="str">
        <v>IA CH4</v>
      </c>
      <c r="B172" s="38">
        <f>'Preventative costs A'!B172-'Preventative costs B'!B172</f>
        <v>0</v>
      </c>
      <c r="C172" s="38">
        <f>'Preventative costs A'!C172-'Preventative costs B'!C172</f>
        <v>0</v>
      </c>
      <c r="D172" s="38">
        <f>'Preventative costs A'!D172-'Preventative costs B'!D172</f>
        <v>0</v>
      </c>
      <c r="E172" s="38">
        <f>'Preventative costs A'!E172-'Preventative costs B'!E172</f>
        <v>0</v>
      </c>
      <c r="F172" s="38">
        <f>'Preventative costs A'!F172-'Preventative costs B'!F172</f>
        <v>0</v>
      </c>
      <c r="G172" s="38">
        <f>'Preventative costs A'!G172-'Preventative costs B'!G172</f>
        <v>0</v>
      </c>
      <c r="H172" s="38">
        <f>'Preventative costs A'!H172-'Preventative costs B'!H172</f>
        <v>0</v>
      </c>
      <c r="I172" s="38">
        <f>'Preventative costs A'!I172-'Preventative costs B'!I172</f>
        <v>0</v>
      </c>
      <c r="J172" s="38">
        <f>'Preventative costs A'!J172-'Preventative costs B'!J172</f>
        <v>0</v>
      </c>
      <c r="K172" s="38">
        <f>'Preventative costs A'!K172-'Preventative costs B'!K172</f>
        <v>0</v>
      </c>
      <c r="M172" s="4" t="str">
        <f t="shared" si="5"/>
        <v>Mtonne</v>
      </c>
    </row>
    <row r="173" spans="1:13" s="7" customFormat="1" x14ac:dyDescent="0.25">
      <c r="A173" s="4" t="str">
        <v>AF CH4</v>
      </c>
      <c r="B173" s="38">
        <f>'Preventative costs A'!B173-'Preventative costs B'!B173</f>
        <v>0</v>
      </c>
      <c r="C173" s="38">
        <f>'Preventative costs A'!C173-'Preventative costs B'!C173</f>
        <v>0</v>
      </c>
      <c r="D173" s="38">
        <f>'Preventative costs A'!D173-'Preventative costs B'!D173</f>
        <v>0</v>
      </c>
      <c r="E173" s="38">
        <f>'Preventative costs A'!E173-'Preventative costs B'!E173</f>
        <v>0</v>
      </c>
      <c r="F173" s="38">
        <f>'Preventative costs A'!F173-'Preventative costs B'!F173</f>
        <v>0</v>
      </c>
      <c r="G173" s="38">
        <f>'Preventative costs A'!G173-'Preventative costs B'!G173</f>
        <v>0</v>
      </c>
      <c r="H173" s="38">
        <f>'Preventative costs A'!H173-'Preventative costs B'!H173</f>
        <v>0</v>
      </c>
      <c r="I173" s="38">
        <f>'Preventative costs A'!I173-'Preventative costs B'!I173</f>
        <v>0</v>
      </c>
      <c r="J173" s="38">
        <f>'Preventative costs A'!J173-'Preventative costs B'!J173</f>
        <v>0</v>
      </c>
      <c r="K173" s="38">
        <f>'Preventative costs A'!K173-'Preventative costs B'!K173</f>
        <v>0</v>
      </c>
      <c r="M173" s="4" t="str">
        <f t="shared" si="5"/>
        <v>Mtonne</v>
      </c>
    </row>
    <row r="174" spans="1:13" s="7" customFormat="1" ht="13" thickBot="1" x14ac:dyDescent="0.3">
      <c r="A174" s="4" t="str">
        <v>LA CH4</v>
      </c>
      <c r="B174" s="50">
        <f>'Preventative costs A'!B174-'Preventative costs B'!B174</f>
        <v>0</v>
      </c>
      <c r="C174" s="50">
        <f>'Preventative costs A'!C174-'Preventative costs B'!C174</f>
        <v>0</v>
      </c>
      <c r="D174" s="50">
        <f>'Preventative costs A'!D174-'Preventative costs B'!D174</f>
        <v>0</v>
      </c>
      <c r="E174" s="50">
        <f>'Preventative costs A'!E174-'Preventative costs B'!E174</f>
        <v>0</v>
      </c>
      <c r="F174" s="50">
        <f>'Preventative costs A'!F174-'Preventative costs B'!F174</f>
        <v>0</v>
      </c>
      <c r="G174" s="50">
        <f>'Preventative costs A'!G174-'Preventative costs B'!G174</f>
        <v>0</v>
      </c>
      <c r="H174" s="50">
        <f>'Preventative costs A'!H174-'Preventative costs B'!H174</f>
        <v>0</v>
      </c>
      <c r="I174" s="50">
        <f>'Preventative costs A'!I174-'Preventative costs B'!I174</f>
        <v>0</v>
      </c>
      <c r="J174" s="50">
        <f>'Preventative costs A'!J174-'Preventative costs B'!J174</f>
        <v>0</v>
      </c>
      <c r="K174" s="50">
        <f>'Preventative costs A'!K174-'Preventative costs B'!K174</f>
        <v>0</v>
      </c>
      <c r="M174" s="4" t="str">
        <f t="shared" si="5"/>
        <v>Mtonne</v>
      </c>
    </row>
    <row r="175" spans="1:13" s="6" customFormat="1" ht="13" thickTop="1" x14ac:dyDescent="0.25">
      <c r="A175" s="80" t="s">
        <v>257</v>
      </c>
      <c r="B175" s="38">
        <f>'Preventative costs A'!B175-'Preventative costs B'!B175</f>
        <v>0</v>
      </c>
      <c r="C175" s="38">
        <f>'Preventative costs A'!C175-'Preventative costs B'!C175</f>
        <v>0</v>
      </c>
      <c r="D175" s="38">
        <f>'Preventative costs A'!D175-'Preventative costs B'!D175</f>
        <v>0</v>
      </c>
      <c r="E175" s="38">
        <f>'Preventative costs A'!E175-'Preventative costs B'!E175</f>
        <v>0</v>
      </c>
      <c r="F175" s="38">
        <f>'Preventative costs A'!F175-'Preventative costs B'!F175</f>
        <v>0</v>
      </c>
      <c r="G175" s="38">
        <f>'Preventative costs A'!G175-'Preventative costs B'!G175</f>
        <v>0</v>
      </c>
      <c r="H175" s="38">
        <f>'Preventative costs A'!H175-'Preventative costs B'!H175</f>
        <v>0</v>
      </c>
      <c r="I175" s="38">
        <f>'Preventative costs A'!I175-'Preventative costs B'!I175</f>
        <v>0</v>
      </c>
      <c r="J175" s="38">
        <f>'Preventative costs A'!J175-'Preventative costs B'!J175</f>
        <v>0</v>
      </c>
      <c r="K175" s="38">
        <f>'Preventative costs A'!K175-'Preventative costs B'!K175</f>
        <v>0</v>
      </c>
      <c r="M175" s="4" t="str">
        <f t="shared" si="5"/>
        <v>Mtonne</v>
      </c>
    </row>
    <row r="176" spans="1:13" s="8" customFormat="1" ht="15" x14ac:dyDescent="0.4">
      <c r="A176" s="2" t="s">
        <v>347</v>
      </c>
      <c r="B176" s="8" t="s">
        <v>354</v>
      </c>
    </row>
    <row r="177" spans="1:13" s="7" customFormat="1" x14ac:dyDescent="0.25">
      <c r="A177" s="4" t="str">
        <f t="array" ref="A177:A184">R_CODE&amp;" "&amp;'Base data'!$D$11</f>
        <v>EU N2O</v>
      </c>
      <c r="B177" s="37">
        <f>'Preventative costs A'!B177-'Preventative costs B'!B177</f>
        <v>0</v>
      </c>
      <c r="C177" s="37">
        <f>'Preventative costs A'!C177-'Preventative costs B'!C177</f>
        <v>0</v>
      </c>
      <c r="D177" s="37">
        <f>'Preventative costs A'!D177-'Preventative costs B'!D177</f>
        <v>0</v>
      </c>
      <c r="E177" s="37">
        <f>'Preventative costs A'!E177-'Preventative costs B'!E177</f>
        <v>0</v>
      </c>
      <c r="F177" s="37">
        <f>'Preventative costs A'!F177-'Preventative costs B'!F177</f>
        <v>0</v>
      </c>
      <c r="G177" s="37">
        <f>'Preventative costs A'!G177-'Preventative costs B'!G177</f>
        <v>0</v>
      </c>
      <c r="H177" s="37">
        <f>'Preventative costs A'!H177-'Preventative costs B'!H177</f>
        <v>0</v>
      </c>
      <c r="I177" s="37">
        <f>'Preventative costs A'!I177-'Preventative costs B'!I177</f>
        <v>0</v>
      </c>
      <c r="J177" s="37">
        <f>'Preventative costs A'!J177-'Preventative costs B'!J177</f>
        <v>0</v>
      </c>
      <c r="K177" s="37">
        <f>'Preventative costs A'!K177-'Preventative costs B'!K177</f>
        <v>0</v>
      </c>
      <c r="M177" s="4" t="str">
        <f t="shared" ref="M177:M185" si="6">EMIT_NAME</f>
        <v>Mtonne</v>
      </c>
    </row>
    <row r="178" spans="1:13" s="7" customFormat="1" x14ac:dyDescent="0.25">
      <c r="A178" s="4" t="str">
        <v>US N2O</v>
      </c>
      <c r="B178" s="38">
        <f>'Preventative costs A'!B178-'Preventative costs B'!B178</f>
        <v>0</v>
      </c>
      <c r="C178" s="38">
        <f>'Preventative costs A'!C178-'Preventative costs B'!C178</f>
        <v>0</v>
      </c>
      <c r="D178" s="38">
        <f>'Preventative costs A'!D178-'Preventative costs B'!D178</f>
        <v>0</v>
      </c>
      <c r="E178" s="38">
        <f>'Preventative costs A'!E178-'Preventative costs B'!E178</f>
        <v>0</v>
      </c>
      <c r="F178" s="38">
        <f>'Preventative costs A'!F178-'Preventative costs B'!F178</f>
        <v>0</v>
      </c>
      <c r="G178" s="38">
        <f>'Preventative costs A'!G178-'Preventative costs B'!G178</f>
        <v>0</v>
      </c>
      <c r="H178" s="38">
        <f>'Preventative costs A'!H178-'Preventative costs B'!H178</f>
        <v>0</v>
      </c>
      <c r="I178" s="38">
        <f>'Preventative costs A'!I178-'Preventative costs B'!I178</f>
        <v>0</v>
      </c>
      <c r="J178" s="38">
        <f>'Preventative costs A'!J178-'Preventative costs B'!J178</f>
        <v>0</v>
      </c>
      <c r="K178" s="38">
        <f>'Preventative costs A'!K178-'Preventative costs B'!K178</f>
        <v>0</v>
      </c>
      <c r="M178" s="4" t="str">
        <f t="shared" si="6"/>
        <v>Mtonne</v>
      </c>
    </row>
    <row r="179" spans="1:13" s="7" customFormat="1" x14ac:dyDescent="0.25">
      <c r="A179" s="4" t="str">
        <v>OT N2O</v>
      </c>
      <c r="B179" s="38">
        <f>'Preventative costs A'!B179-'Preventative costs B'!B179</f>
        <v>0</v>
      </c>
      <c r="C179" s="38">
        <f>'Preventative costs A'!C179-'Preventative costs B'!C179</f>
        <v>0</v>
      </c>
      <c r="D179" s="38">
        <f>'Preventative costs A'!D179-'Preventative costs B'!D179</f>
        <v>0</v>
      </c>
      <c r="E179" s="38">
        <f>'Preventative costs A'!E179-'Preventative costs B'!E179</f>
        <v>0</v>
      </c>
      <c r="F179" s="38">
        <f>'Preventative costs A'!F179-'Preventative costs B'!F179</f>
        <v>0</v>
      </c>
      <c r="G179" s="38">
        <f>'Preventative costs A'!G179-'Preventative costs B'!G179</f>
        <v>0</v>
      </c>
      <c r="H179" s="38">
        <f>'Preventative costs A'!H179-'Preventative costs B'!H179</f>
        <v>0</v>
      </c>
      <c r="I179" s="38">
        <f>'Preventative costs A'!I179-'Preventative costs B'!I179</f>
        <v>0</v>
      </c>
      <c r="J179" s="38">
        <f>'Preventative costs A'!J179-'Preventative costs B'!J179</f>
        <v>0</v>
      </c>
      <c r="K179" s="38">
        <f>'Preventative costs A'!K179-'Preventative costs B'!K179</f>
        <v>0</v>
      </c>
      <c r="M179" s="4" t="str">
        <f t="shared" si="6"/>
        <v>Mtonne</v>
      </c>
    </row>
    <row r="180" spans="1:13" s="7" customFormat="1" x14ac:dyDescent="0.25">
      <c r="A180" s="4" t="str">
        <v>EE N2O</v>
      </c>
      <c r="B180" s="38">
        <f>'Preventative costs A'!B180-'Preventative costs B'!B180</f>
        <v>0</v>
      </c>
      <c r="C180" s="38">
        <f>'Preventative costs A'!C180-'Preventative costs B'!C180</f>
        <v>0</v>
      </c>
      <c r="D180" s="38">
        <f>'Preventative costs A'!D180-'Preventative costs B'!D180</f>
        <v>0</v>
      </c>
      <c r="E180" s="38">
        <f>'Preventative costs A'!E180-'Preventative costs B'!E180</f>
        <v>0</v>
      </c>
      <c r="F180" s="38">
        <f>'Preventative costs A'!F180-'Preventative costs B'!F180</f>
        <v>0</v>
      </c>
      <c r="G180" s="38">
        <f>'Preventative costs A'!G180-'Preventative costs B'!G180</f>
        <v>0</v>
      </c>
      <c r="H180" s="38">
        <f>'Preventative costs A'!H180-'Preventative costs B'!H180</f>
        <v>0</v>
      </c>
      <c r="I180" s="38">
        <f>'Preventative costs A'!I180-'Preventative costs B'!I180</f>
        <v>0</v>
      </c>
      <c r="J180" s="38">
        <f>'Preventative costs A'!J180-'Preventative costs B'!J180</f>
        <v>0</v>
      </c>
      <c r="K180" s="38">
        <f>'Preventative costs A'!K180-'Preventative costs B'!K180</f>
        <v>0</v>
      </c>
      <c r="M180" s="4" t="str">
        <f t="shared" si="6"/>
        <v>Mtonne</v>
      </c>
    </row>
    <row r="181" spans="1:13" s="7" customFormat="1" x14ac:dyDescent="0.25">
      <c r="A181" s="4" t="str">
        <v>CA N2O</v>
      </c>
      <c r="B181" s="38">
        <f>'Preventative costs A'!B181-'Preventative costs B'!B181</f>
        <v>0</v>
      </c>
      <c r="C181" s="38">
        <f>'Preventative costs A'!C181-'Preventative costs B'!C181</f>
        <v>0</v>
      </c>
      <c r="D181" s="38">
        <f>'Preventative costs A'!D181-'Preventative costs B'!D181</f>
        <v>0</v>
      </c>
      <c r="E181" s="38">
        <f>'Preventative costs A'!E181-'Preventative costs B'!E181</f>
        <v>0</v>
      </c>
      <c r="F181" s="38">
        <f>'Preventative costs A'!F181-'Preventative costs B'!F181</f>
        <v>0</v>
      </c>
      <c r="G181" s="38">
        <f>'Preventative costs A'!G181-'Preventative costs B'!G181</f>
        <v>0</v>
      </c>
      <c r="H181" s="38">
        <f>'Preventative costs A'!H181-'Preventative costs B'!H181</f>
        <v>0</v>
      </c>
      <c r="I181" s="38">
        <f>'Preventative costs A'!I181-'Preventative costs B'!I181</f>
        <v>0</v>
      </c>
      <c r="J181" s="38">
        <f>'Preventative costs A'!J181-'Preventative costs B'!J181</f>
        <v>0</v>
      </c>
      <c r="K181" s="38">
        <f>'Preventative costs A'!K181-'Preventative costs B'!K181</f>
        <v>0</v>
      </c>
      <c r="M181" s="4" t="str">
        <f t="shared" si="6"/>
        <v>Mtonne</v>
      </c>
    </row>
    <row r="182" spans="1:13" s="7" customFormat="1" x14ac:dyDescent="0.25">
      <c r="A182" s="4" t="str">
        <v>IA N2O</v>
      </c>
      <c r="B182" s="38">
        <f>'Preventative costs A'!B182-'Preventative costs B'!B182</f>
        <v>0</v>
      </c>
      <c r="C182" s="38">
        <f>'Preventative costs A'!C182-'Preventative costs B'!C182</f>
        <v>0</v>
      </c>
      <c r="D182" s="38">
        <f>'Preventative costs A'!D182-'Preventative costs B'!D182</f>
        <v>0</v>
      </c>
      <c r="E182" s="38">
        <f>'Preventative costs A'!E182-'Preventative costs B'!E182</f>
        <v>0</v>
      </c>
      <c r="F182" s="38">
        <f>'Preventative costs A'!F182-'Preventative costs B'!F182</f>
        <v>0</v>
      </c>
      <c r="G182" s="38">
        <f>'Preventative costs A'!G182-'Preventative costs B'!G182</f>
        <v>0</v>
      </c>
      <c r="H182" s="38">
        <f>'Preventative costs A'!H182-'Preventative costs B'!H182</f>
        <v>0</v>
      </c>
      <c r="I182" s="38">
        <f>'Preventative costs A'!I182-'Preventative costs B'!I182</f>
        <v>0</v>
      </c>
      <c r="J182" s="38">
        <f>'Preventative costs A'!J182-'Preventative costs B'!J182</f>
        <v>0</v>
      </c>
      <c r="K182" s="38">
        <f>'Preventative costs A'!K182-'Preventative costs B'!K182</f>
        <v>0</v>
      </c>
      <c r="M182" s="4" t="str">
        <f t="shared" si="6"/>
        <v>Mtonne</v>
      </c>
    </row>
    <row r="183" spans="1:13" s="7" customFormat="1" x14ac:dyDescent="0.25">
      <c r="A183" s="4" t="str">
        <v>AF N2O</v>
      </c>
      <c r="B183" s="38">
        <f>'Preventative costs A'!B183-'Preventative costs B'!B183</f>
        <v>0</v>
      </c>
      <c r="C183" s="38">
        <f>'Preventative costs A'!C183-'Preventative costs B'!C183</f>
        <v>0</v>
      </c>
      <c r="D183" s="38">
        <f>'Preventative costs A'!D183-'Preventative costs B'!D183</f>
        <v>0</v>
      </c>
      <c r="E183" s="38">
        <f>'Preventative costs A'!E183-'Preventative costs B'!E183</f>
        <v>0</v>
      </c>
      <c r="F183" s="38">
        <f>'Preventative costs A'!F183-'Preventative costs B'!F183</f>
        <v>0</v>
      </c>
      <c r="G183" s="38">
        <f>'Preventative costs A'!G183-'Preventative costs B'!G183</f>
        <v>0</v>
      </c>
      <c r="H183" s="38">
        <f>'Preventative costs A'!H183-'Preventative costs B'!H183</f>
        <v>0</v>
      </c>
      <c r="I183" s="38">
        <f>'Preventative costs A'!I183-'Preventative costs B'!I183</f>
        <v>0</v>
      </c>
      <c r="J183" s="38">
        <f>'Preventative costs A'!J183-'Preventative costs B'!J183</f>
        <v>0</v>
      </c>
      <c r="K183" s="38">
        <f>'Preventative costs A'!K183-'Preventative costs B'!K183</f>
        <v>0</v>
      </c>
      <c r="M183" s="4" t="str">
        <f t="shared" si="6"/>
        <v>Mtonne</v>
      </c>
    </row>
    <row r="184" spans="1:13" s="7" customFormat="1" ht="13" thickBot="1" x14ac:dyDescent="0.3">
      <c r="A184" s="4" t="str">
        <v>LA N2O</v>
      </c>
      <c r="B184" s="50">
        <f>'Preventative costs A'!B184-'Preventative costs B'!B184</f>
        <v>0</v>
      </c>
      <c r="C184" s="50">
        <f>'Preventative costs A'!C184-'Preventative costs B'!C184</f>
        <v>0</v>
      </c>
      <c r="D184" s="50">
        <f>'Preventative costs A'!D184-'Preventative costs B'!D184</f>
        <v>0</v>
      </c>
      <c r="E184" s="50">
        <f>'Preventative costs A'!E184-'Preventative costs B'!E184</f>
        <v>0</v>
      </c>
      <c r="F184" s="50">
        <f>'Preventative costs A'!F184-'Preventative costs B'!F184</f>
        <v>0</v>
      </c>
      <c r="G184" s="50">
        <f>'Preventative costs A'!G184-'Preventative costs B'!G184</f>
        <v>0</v>
      </c>
      <c r="H184" s="50">
        <f>'Preventative costs A'!H184-'Preventative costs B'!H184</f>
        <v>0</v>
      </c>
      <c r="I184" s="50">
        <f>'Preventative costs A'!I184-'Preventative costs B'!I184</f>
        <v>0</v>
      </c>
      <c r="J184" s="50">
        <f>'Preventative costs A'!J184-'Preventative costs B'!J184</f>
        <v>0</v>
      </c>
      <c r="K184" s="50">
        <f>'Preventative costs A'!K184-'Preventative costs B'!K184</f>
        <v>0</v>
      </c>
      <c r="M184" s="4" t="str">
        <f t="shared" si="6"/>
        <v>Mtonne</v>
      </c>
    </row>
    <row r="185" spans="1:13" s="6" customFormat="1" ht="13" thickTop="1" x14ac:dyDescent="0.25">
      <c r="A185" s="80" t="s">
        <v>257</v>
      </c>
      <c r="B185" s="38">
        <f>'Preventative costs A'!B185-'Preventative costs B'!B185</f>
        <v>0</v>
      </c>
      <c r="C185" s="38">
        <f>'Preventative costs A'!C185-'Preventative costs B'!C185</f>
        <v>0</v>
      </c>
      <c r="D185" s="38">
        <f>'Preventative costs A'!D185-'Preventative costs B'!D185</f>
        <v>0</v>
      </c>
      <c r="E185" s="38">
        <f>'Preventative costs A'!E185-'Preventative costs B'!E185</f>
        <v>0</v>
      </c>
      <c r="F185" s="38">
        <f>'Preventative costs A'!F185-'Preventative costs B'!F185</f>
        <v>0</v>
      </c>
      <c r="G185" s="38">
        <f>'Preventative costs A'!G185-'Preventative costs B'!G185</f>
        <v>0</v>
      </c>
      <c r="H185" s="38">
        <f>'Preventative costs A'!H185-'Preventative costs B'!H185</f>
        <v>0</v>
      </c>
      <c r="I185" s="38">
        <f>'Preventative costs A'!I185-'Preventative costs B'!I185</f>
        <v>0</v>
      </c>
      <c r="J185" s="38">
        <f>'Preventative costs A'!J185-'Preventative costs B'!J185</f>
        <v>0</v>
      </c>
      <c r="K185" s="38">
        <f>'Preventative costs A'!K185-'Preventative costs B'!K185</f>
        <v>0</v>
      </c>
      <c r="M185" s="4" t="str">
        <f t="shared" si="6"/>
        <v>Mtonne</v>
      </c>
    </row>
    <row r="186" spans="1:13" s="8" customFormat="1" ht="15" x14ac:dyDescent="0.4">
      <c r="A186" s="2" t="s">
        <v>347</v>
      </c>
      <c r="B186" s="8" t="s">
        <v>355</v>
      </c>
    </row>
    <row r="187" spans="1:13" s="7" customFormat="1" x14ac:dyDescent="0.25">
      <c r="A187" s="4" t="str">
        <f t="array" ref="A187:A194">R_CODE&amp;" "&amp;GLIN_NAME</f>
        <v>EU Lin</v>
      </c>
      <c r="B187" s="37">
        <f>'Preventative costs A'!B187-'Preventative costs B'!B187</f>
        <v>0</v>
      </c>
      <c r="C187" s="37">
        <f>'Preventative costs A'!C187-'Preventative costs B'!C187</f>
        <v>0</v>
      </c>
      <c r="D187" s="37">
        <f>'Preventative costs A'!D187-'Preventative costs B'!D187</f>
        <v>0</v>
      </c>
      <c r="E187" s="37">
        <f>'Preventative costs A'!E187-'Preventative costs B'!E187</f>
        <v>0</v>
      </c>
      <c r="F187" s="37">
        <f>'Preventative costs A'!F187-'Preventative costs B'!F187</f>
        <v>0</v>
      </c>
      <c r="G187" s="37">
        <f>'Preventative costs A'!G187-'Preventative costs B'!G187</f>
        <v>0</v>
      </c>
      <c r="H187" s="37">
        <f>'Preventative costs A'!H187-'Preventative costs B'!H187</f>
        <v>0</v>
      </c>
      <c r="I187" s="37">
        <f>'Preventative costs A'!I187-'Preventative costs B'!I187</f>
        <v>0</v>
      </c>
      <c r="J187" s="37">
        <f>'Preventative costs A'!J187-'Preventative costs B'!J187</f>
        <v>0</v>
      </c>
      <c r="K187" s="37">
        <f>'Preventative costs A'!K187-'Preventative costs B'!K187</f>
        <v>0</v>
      </c>
      <c r="M187" s="4" t="str">
        <f t="shared" ref="M187:M195" si="7">EMIT_NAME</f>
        <v>Mtonne</v>
      </c>
    </row>
    <row r="188" spans="1:13" s="7" customFormat="1" x14ac:dyDescent="0.25">
      <c r="A188" s="4" t="str">
        <v>US Lin</v>
      </c>
      <c r="B188" s="38">
        <f>'Preventative costs A'!B188-'Preventative costs B'!B188</f>
        <v>0</v>
      </c>
      <c r="C188" s="38">
        <f>'Preventative costs A'!C188-'Preventative costs B'!C188</f>
        <v>0</v>
      </c>
      <c r="D188" s="38">
        <f>'Preventative costs A'!D188-'Preventative costs B'!D188</f>
        <v>0</v>
      </c>
      <c r="E188" s="38">
        <f>'Preventative costs A'!E188-'Preventative costs B'!E188</f>
        <v>0</v>
      </c>
      <c r="F188" s="38">
        <f>'Preventative costs A'!F188-'Preventative costs B'!F188</f>
        <v>0</v>
      </c>
      <c r="G188" s="38">
        <f>'Preventative costs A'!G188-'Preventative costs B'!G188</f>
        <v>0</v>
      </c>
      <c r="H188" s="38">
        <f>'Preventative costs A'!H188-'Preventative costs B'!H188</f>
        <v>0</v>
      </c>
      <c r="I188" s="38">
        <f>'Preventative costs A'!I188-'Preventative costs B'!I188</f>
        <v>0</v>
      </c>
      <c r="J188" s="38">
        <f>'Preventative costs A'!J188-'Preventative costs B'!J188</f>
        <v>0</v>
      </c>
      <c r="K188" s="38">
        <f>'Preventative costs A'!K188-'Preventative costs B'!K188</f>
        <v>0</v>
      </c>
      <c r="M188" s="4" t="str">
        <f t="shared" si="7"/>
        <v>Mtonne</v>
      </c>
    </row>
    <row r="189" spans="1:13" s="7" customFormat="1" x14ac:dyDescent="0.25">
      <c r="A189" s="4" t="str">
        <v>OT Lin</v>
      </c>
      <c r="B189" s="38">
        <f>'Preventative costs A'!B189-'Preventative costs B'!B189</f>
        <v>0</v>
      </c>
      <c r="C189" s="38">
        <f>'Preventative costs A'!C189-'Preventative costs B'!C189</f>
        <v>0</v>
      </c>
      <c r="D189" s="38">
        <f>'Preventative costs A'!D189-'Preventative costs B'!D189</f>
        <v>0</v>
      </c>
      <c r="E189" s="38">
        <f>'Preventative costs A'!E189-'Preventative costs B'!E189</f>
        <v>0</v>
      </c>
      <c r="F189" s="38">
        <f>'Preventative costs A'!F189-'Preventative costs B'!F189</f>
        <v>0</v>
      </c>
      <c r="G189" s="38">
        <f>'Preventative costs A'!G189-'Preventative costs B'!G189</f>
        <v>0</v>
      </c>
      <c r="H189" s="38">
        <f>'Preventative costs A'!H189-'Preventative costs B'!H189</f>
        <v>0</v>
      </c>
      <c r="I189" s="38">
        <f>'Preventative costs A'!I189-'Preventative costs B'!I189</f>
        <v>0</v>
      </c>
      <c r="J189" s="38">
        <f>'Preventative costs A'!J189-'Preventative costs B'!J189</f>
        <v>0</v>
      </c>
      <c r="K189" s="38">
        <f>'Preventative costs A'!K189-'Preventative costs B'!K189</f>
        <v>0</v>
      </c>
      <c r="M189" s="4" t="str">
        <f t="shared" si="7"/>
        <v>Mtonne</v>
      </c>
    </row>
    <row r="190" spans="1:13" s="7" customFormat="1" x14ac:dyDescent="0.25">
      <c r="A190" s="4" t="str">
        <v>EE Lin</v>
      </c>
      <c r="B190" s="38">
        <f>'Preventative costs A'!B190-'Preventative costs B'!B190</f>
        <v>0</v>
      </c>
      <c r="C190" s="38">
        <f>'Preventative costs A'!C190-'Preventative costs B'!C190</f>
        <v>0</v>
      </c>
      <c r="D190" s="38">
        <f>'Preventative costs A'!D190-'Preventative costs B'!D190</f>
        <v>0</v>
      </c>
      <c r="E190" s="38">
        <f>'Preventative costs A'!E190-'Preventative costs B'!E190</f>
        <v>0</v>
      </c>
      <c r="F190" s="38">
        <f>'Preventative costs A'!F190-'Preventative costs B'!F190</f>
        <v>0</v>
      </c>
      <c r="G190" s="38">
        <f>'Preventative costs A'!G190-'Preventative costs B'!G190</f>
        <v>0</v>
      </c>
      <c r="H190" s="38">
        <f>'Preventative costs A'!H190-'Preventative costs B'!H190</f>
        <v>0</v>
      </c>
      <c r="I190" s="38">
        <f>'Preventative costs A'!I190-'Preventative costs B'!I190</f>
        <v>0</v>
      </c>
      <c r="J190" s="38">
        <f>'Preventative costs A'!J190-'Preventative costs B'!J190</f>
        <v>0</v>
      </c>
      <c r="K190" s="38">
        <f>'Preventative costs A'!K190-'Preventative costs B'!K190</f>
        <v>0</v>
      </c>
      <c r="M190" s="4" t="str">
        <f t="shared" si="7"/>
        <v>Mtonne</v>
      </c>
    </row>
    <row r="191" spans="1:13" s="7" customFormat="1" x14ac:dyDescent="0.25">
      <c r="A191" s="4" t="str">
        <v>CA Lin</v>
      </c>
      <c r="B191" s="38">
        <f>'Preventative costs A'!B191-'Preventative costs B'!B191</f>
        <v>0</v>
      </c>
      <c r="C191" s="38">
        <f>'Preventative costs A'!C191-'Preventative costs B'!C191</f>
        <v>0</v>
      </c>
      <c r="D191" s="38">
        <f>'Preventative costs A'!D191-'Preventative costs B'!D191</f>
        <v>0</v>
      </c>
      <c r="E191" s="38">
        <f>'Preventative costs A'!E191-'Preventative costs B'!E191</f>
        <v>0</v>
      </c>
      <c r="F191" s="38">
        <f>'Preventative costs A'!F191-'Preventative costs B'!F191</f>
        <v>0</v>
      </c>
      <c r="G191" s="38">
        <f>'Preventative costs A'!G191-'Preventative costs B'!G191</f>
        <v>0</v>
      </c>
      <c r="H191" s="38">
        <f>'Preventative costs A'!H191-'Preventative costs B'!H191</f>
        <v>0</v>
      </c>
      <c r="I191" s="38">
        <f>'Preventative costs A'!I191-'Preventative costs B'!I191</f>
        <v>0</v>
      </c>
      <c r="J191" s="38">
        <f>'Preventative costs A'!J191-'Preventative costs B'!J191</f>
        <v>0</v>
      </c>
      <c r="K191" s="38">
        <f>'Preventative costs A'!K191-'Preventative costs B'!K191</f>
        <v>0</v>
      </c>
      <c r="M191" s="4" t="str">
        <f t="shared" si="7"/>
        <v>Mtonne</v>
      </c>
    </row>
    <row r="192" spans="1:13" s="7" customFormat="1" x14ac:dyDescent="0.25">
      <c r="A192" s="4" t="str">
        <v>IA Lin</v>
      </c>
      <c r="B192" s="38">
        <f>'Preventative costs A'!B192-'Preventative costs B'!B192</f>
        <v>0</v>
      </c>
      <c r="C192" s="38">
        <f>'Preventative costs A'!C192-'Preventative costs B'!C192</f>
        <v>0</v>
      </c>
      <c r="D192" s="38">
        <f>'Preventative costs A'!D192-'Preventative costs B'!D192</f>
        <v>0</v>
      </c>
      <c r="E192" s="38">
        <f>'Preventative costs A'!E192-'Preventative costs B'!E192</f>
        <v>0</v>
      </c>
      <c r="F192" s="38">
        <f>'Preventative costs A'!F192-'Preventative costs B'!F192</f>
        <v>0</v>
      </c>
      <c r="G192" s="38">
        <f>'Preventative costs A'!G192-'Preventative costs B'!G192</f>
        <v>0</v>
      </c>
      <c r="H192" s="38">
        <f>'Preventative costs A'!H192-'Preventative costs B'!H192</f>
        <v>0</v>
      </c>
      <c r="I192" s="38">
        <f>'Preventative costs A'!I192-'Preventative costs B'!I192</f>
        <v>0</v>
      </c>
      <c r="J192" s="38">
        <f>'Preventative costs A'!J192-'Preventative costs B'!J192</f>
        <v>0</v>
      </c>
      <c r="K192" s="38">
        <f>'Preventative costs A'!K192-'Preventative costs B'!K192</f>
        <v>0</v>
      </c>
      <c r="M192" s="4" t="str">
        <f t="shared" si="7"/>
        <v>Mtonne</v>
      </c>
    </row>
    <row r="193" spans="1:13" s="7" customFormat="1" x14ac:dyDescent="0.25">
      <c r="A193" s="4" t="str">
        <v>AF Lin</v>
      </c>
      <c r="B193" s="38">
        <f>'Preventative costs A'!B193-'Preventative costs B'!B193</f>
        <v>0</v>
      </c>
      <c r="C193" s="38">
        <f>'Preventative costs A'!C193-'Preventative costs B'!C193</f>
        <v>0</v>
      </c>
      <c r="D193" s="38">
        <f>'Preventative costs A'!D193-'Preventative costs B'!D193</f>
        <v>0</v>
      </c>
      <c r="E193" s="38">
        <f>'Preventative costs A'!E193-'Preventative costs B'!E193</f>
        <v>0</v>
      </c>
      <c r="F193" s="38">
        <f>'Preventative costs A'!F193-'Preventative costs B'!F193</f>
        <v>0</v>
      </c>
      <c r="G193" s="38">
        <f>'Preventative costs A'!G193-'Preventative costs B'!G193</f>
        <v>0</v>
      </c>
      <c r="H193" s="38">
        <f>'Preventative costs A'!H193-'Preventative costs B'!H193</f>
        <v>0</v>
      </c>
      <c r="I193" s="38">
        <f>'Preventative costs A'!I193-'Preventative costs B'!I193</f>
        <v>0</v>
      </c>
      <c r="J193" s="38">
        <f>'Preventative costs A'!J193-'Preventative costs B'!J193</f>
        <v>0</v>
      </c>
      <c r="K193" s="38">
        <f>'Preventative costs A'!K193-'Preventative costs B'!K193</f>
        <v>0</v>
      </c>
      <c r="M193" s="4" t="str">
        <f t="shared" si="7"/>
        <v>Mtonne</v>
      </c>
    </row>
    <row r="194" spans="1:13" s="7" customFormat="1" ht="13" thickBot="1" x14ac:dyDescent="0.3">
      <c r="A194" s="4" t="str">
        <v>LA Lin</v>
      </c>
      <c r="B194" s="50">
        <f>'Preventative costs A'!B194-'Preventative costs B'!B194</f>
        <v>0</v>
      </c>
      <c r="C194" s="50">
        <f>'Preventative costs A'!C194-'Preventative costs B'!C194</f>
        <v>0</v>
      </c>
      <c r="D194" s="50">
        <f>'Preventative costs A'!D194-'Preventative costs B'!D194</f>
        <v>0</v>
      </c>
      <c r="E194" s="50">
        <f>'Preventative costs A'!E194-'Preventative costs B'!E194</f>
        <v>0</v>
      </c>
      <c r="F194" s="50">
        <f>'Preventative costs A'!F194-'Preventative costs B'!F194</f>
        <v>0</v>
      </c>
      <c r="G194" s="50">
        <f>'Preventative costs A'!G194-'Preventative costs B'!G194</f>
        <v>0</v>
      </c>
      <c r="H194" s="50">
        <f>'Preventative costs A'!H194-'Preventative costs B'!H194</f>
        <v>0</v>
      </c>
      <c r="I194" s="50">
        <f>'Preventative costs A'!I194-'Preventative costs B'!I194</f>
        <v>0</v>
      </c>
      <c r="J194" s="50">
        <f>'Preventative costs A'!J194-'Preventative costs B'!J194</f>
        <v>0</v>
      </c>
      <c r="K194" s="50">
        <f>'Preventative costs A'!K194-'Preventative costs B'!K194</f>
        <v>0</v>
      </c>
      <c r="M194" s="4" t="str">
        <f t="shared" si="7"/>
        <v>Mtonne</v>
      </c>
    </row>
    <row r="195" spans="1:13" s="6" customFormat="1" ht="13" thickTop="1" x14ac:dyDescent="0.25">
      <c r="A195" s="80" t="s">
        <v>257</v>
      </c>
      <c r="B195" s="38">
        <f>'Preventative costs A'!B195-'Preventative costs B'!B195</f>
        <v>0</v>
      </c>
      <c r="C195" s="38">
        <f>'Preventative costs A'!C195-'Preventative costs B'!C195</f>
        <v>0</v>
      </c>
      <c r="D195" s="38">
        <f>'Preventative costs A'!D195-'Preventative costs B'!D195</f>
        <v>0</v>
      </c>
      <c r="E195" s="38">
        <f>'Preventative costs A'!E195-'Preventative costs B'!E195</f>
        <v>0</v>
      </c>
      <c r="F195" s="38">
        <f>'Preventative costs A'!F195-'Preventative costs B'!F195</f>
        <v>0</v>
      </c>
      <c r="G195" s="38">
        <f>'Preventative costs A'!G195-'Preventative costs B'!G195</f>
        <v>0</v>
      </c>
      <c r="H195" s="38">
        <f>'Preventative costs A'!H195-'Preventative costs B'!H195</f>
        <v>0</v>
      </c>
      <c r="I195" s="38">
        <f>'Preventative costs A'!I195-'Preventative costs B'!I195</f>
        <v>0</v>
      </c>
      <c r="J195" s="38">
        <f>'Preventative costs A'!J195-'Preventative costs B'!J195</f>
        <v>0</v>
      </c>
      <c r="K195" s="38">
        <f>'Preventative costs A'!K195-'Preventative costs B'!K195</f>
        <v>0</v>
      </c>
      <c r="M195" s="4" t="str">
        <f t="shared" si="7"/>
        <v>Mtonne</v>
      </c>
    </row>
    <row r="196" spans="1:13" s="2" customFormat="1" ht="15" x14ac:dyDescent="0.4">
      <c r="A196" s="2" t="s">
        <v>356</v>
      </c>
      <c r="B196" s="2" t="s">
        <v>357</v>
      </c>
    </row>
    <row r="197" spans="1:13" s="6" customFormat="1" x14ac:dyDescent="0.25">
      <c r="A197" s="4" t="str">
        <f t="array" ref="A197:A204">R_CODE&amp;" "&amp;'Base data'!$B$11</f>
        <v>EU CO2</v>
      </c>
      <c r="B197" s="39">
        <f>'Preventative costs A'!B197-'Preventative costs B'!B197</f>
        <v>0</v>
      </c>
      <c r="C197" s="39">
        <f>'Preventative costs A'!C197-'Preventative costs B'!C197</f>
        <v>0</v>
      </c>
      <c r="D197" s="39">
        <f>'Preventative costs A'!D197-'Preventative costs B'!D197</f>
        <v>0</v>
      </c>
      <c r="E197" s="39">
        <f>'Preventative costs A'!E197-'Preventative costs B'!E197</f>
        <v>0</v>
      </c>
      <c r="F197" s="39">
        <f>'Preventative costs A'!F197-'Preventative costs B'!F197</f>
        <v>0</v>
      </c>
      <c r="G197" s="39">
        <f>'Preventative costs A'!G197-'Preventative costs B'!G197</f>
        <v>0</v>
      </c>
      <c r="H197" s="39">
        <f>'Preventative costs A'!H197-'Preventative costs B'!H197</f>
        <v>0</v>
      </c>
      <c r="I197" s="39">
        <f>'Preventative costs A'!I197-'Preventative costs B'!I197</f>
        <v>0</v>
      </c>
      <c r="J197" s="39">
        <f>'Preventative costs A'!J197-'Preventative costs B'!J197</f>
        <v>0</v>
      </c>
      <c r="K197" s="39">
        <f>'Preventative costs A'!K197-'Preventative costs B'!K197</f>
        <v>0</v>
      </c>
      <c r="M197" s="4"/>
    </row>
    <row r="198" spans="1:13" s="6" customFormat="1" x14ac:dyDescent="0.25">
      <c r="A198" s="4" t="str">
        <v>US CO2</v>
      </c>
      <c r="B198" s="35">
        <f>'Preventative costs A'!B198-'Preventative costs B'!B198</f>
        <v>0</v>
      </c>
      <c r="C198" s="35">
        <f>'Preventative costs A'!C198-'Preventative costs B'!C198</f>
        <v>0</v>
      </c>
      <c r="D198" s="35">
        <f>'Preventative costs A'!D198-'Preventative costs B'!D198</f>
        <v>0</v>
      </c>
      <c r="E198" s="35">
        <f>'Preventative costs A'!E198-'Preventative costs B'!E198</f>
        <v>0</v>
      </c>
      <c r="F198" s="35">
        <f>'Preventative costs A'!F198-'Preventative costs B'!F198</f>
        <v>0</v>
      </c>
      <c r="G198" s="35">
        <f>'Preventative costs A'!G198-'Preventative costs B'!G198</f>
        <v>0</v>
      </c>
      <c r="H198" s="35">
        <f>'Preventative costs A'!H198-'Preventative costs B'!H198</f>
        <v>0</v>
      </c>
      <c r="I198" s="35">
        <f>'Preventative costs A'!I198-'Preventative costs B'!I198</f>
        <v>0</v>
      </c>
      <c r="J198" s="35">
        <f>'Preventative costs A'!J198-'Preventative costs B'!J198</f>
        <v>0</v>
      </c>
      <c r="K198" s="35">
        <f>'Preventative costs A'!K198-'Preventative costs B'!K198</f>
        <v>0</v>
      </c>
      <c r="M198" s="4"/>
    </row>
    <row r="199" spans="1:13" s="6" customFormat="1" x14ac:dyDescent="0.25">
      <c r="A199" s="4" t="str">
        <v>OT CO2</v>
      </c>
      <c r="B199" s="35">
        <f>'Preventative costs A'!B199-'Preventative costs B'!B199</f>
        <v>0</v>
      </c>
      <c r="C199" s="35">
        <f>'Preventative costs A'!C199-'Preventative costs B'!C199</f>
        <v>0</v>
      </c>
      <c r="D199" s="35">
        <f>'Preventative costs A'!D199-'Preventative costs B'!D199</f>
        <v>0</v>
      </c>
      <c r="E199" s="35">
        <f>'Preventative costs A'!E199-'Preventative costs B'!E199</f>
        <v>0</v>
      </c>
      <c r="F199" s="35">
        <f>'Preventative costs A'!F199-'Preventative costs B'!F199</f>
        <v>0</v>
      </c>
      <c r="G199" s="35">
        <f>'Preventative costs A'!G199-'Preventative costs B'!G199</f>
        <v>0</v>
      </c>
      <c r="H199" s="35">
        <f>'Preventative costs A'!H199-'Preventative costs B'!H199</f>
        <v>0</v>
      </c>
      <c r="I199" s="35">
        <f>'Preventative costs A'!I199-'Preventative costs B'!I199</f>
        <v>0</v>
      </c>
      <c r="J199" s="35">
        <f>'Preventative costs A'!J199-'Preventative costs B'!J199</f>
        <v>0</v>
      </c>
      <c r="K199" s="35">
        <f>'Preventative costs A'!K199-'Preventative costs B'!K199</f>
        <v>0</v>
      </c>
      <c r="M199" s="4"/>
    </row>
    <row r="200" spans="1:13" s="6" customFormat="1" x14ac:dyDescent="0.25">
      <c r="A200" s="4" t="str">
        <v>EE CO2</v>
      </c>
      <c r="B200" s="35">
        <f>'Preventative costs A'!B200-'Preventative costs B'!B200</f>
        <v>0</v>
      </c>
      <c r="C200" s="35">
        <f>'Preventative costs A'!C200-'Preventative costs B'!C200</f>
        <v>0</v>
      </c>
      <c r="D200" s="35">
        <f>'Preventative costs A'!D200-'Preventative costs B'!D200</f>
        <v>0</v>
      </c>
      <c r="E200" s="35">
        <f>'Preventative costs A'!E200-'Preventative costs B'!E200</f>
        <v>0</v>
      </c>
      <c r="F200" s="35">
        <f>'Preventative costs A'!F200-'Preventative costs B'!F200</f>
        <v>0</v>
      </c>
      <c r="G200" s="35">
        <f>'Preventative costs A'!G200-'Preventative costs B'!G200</f>
        <v>0</v>
      </c>
      <c r="H200" s="35">
        <f>'Preventative costs A'!H200-'Preventative costs B'!H200</f>
        <v>0</v>
      </c>
      <c r="I200" s="35">
        <f>'Preventative costs A'!I200-'Preventative costs B'!I200</f>
        <v>0</v>
      </c>
      <c r="J200" s="35">
        <f>'Preventative costs A'!J200-'Preventative costs B'!J200</f>
        <v>0</v>
      </c>
      <c r="K200" s="35">
        <f>'Preventative costs A'!K200-'Preventative costs B'!K200</f>
        <v>0</v>
      </c>
      <c r="M200" s="4"/>
    </row>
    <row r="201" spans="1:13" s="6" customFormat="1" x14ac:dyDescent="0.25">
      <c r="A201" s="4" t="str">
        <v>CA CO2</v>
      </c>
      <c r="B201" s="35">
        <f>'Preventative costs A'!B201-'Preventative costs B'!B201</f>
        <v>0</v>
      </c>
      <c r="C201" s="35">
        <f>'Preventative costs A'!C201-'Preventative costs B'!C201</f>
        <v>0</v>
      </c>
      <c r="D201" s="35">
        <f>'Preventative costs A'!D201-'Preventative costs B'!D201</f>
        <v>0</v>
      </c>
      <c r="E201" s="35">
        <f>'Preventative costs A'!E201-'Preventative costs B'!E201</f>
        <v>0</v>
      </c>
      <c r="F201" s="35">
        <f>'Preventative costs A'!F201-'Preventative costs B'!F201</f>
        <v>0</v>
      </c>
      <c r="G201" s="35">
        <f>'Preventative costs A'!G201-'Preventative costs B'!G201</f>
        <v>0</v>
      </c>
      <c r="H201" s="35">
        <f>'Preventative costs A'!H201-'Preventative costs B'!H201</f>
        <v>0</v>
      </c>
      <c r="I201" s="35">
        <f>'Preventative costs A'!I201-'Preventative costs B'!I201</f>
        <v>0</v>
      </c>
      <c r="J201" s="35">
        <f>'Preventative costs A'!J201-'Preventative costs B'!J201</f>
        <v>0</v>
      </c>
      <c r="K201" s="35">
        <f>'Preventative costs A'!K201-'Preventative costs B'!K201</f>
        <v>0</v>
      </c>
      <c r="M201" s="4"/>
    </row>
    <row r="202" spans="1:13" s="6" customFormat="1" x14ac:dyDescent="0.25">
      <c r="A202" s="4" t="str">
        <v>IA CO2</v>
      </c>
      <c r="B202" s="35">
        <f>'Preventative costs A'!B202-'Preventative costs B'!B202</f>
        <v>0</v>
      </c>
      <c r="C202" s="35">
        <f>'Preventative costs A'!C202-'Preventative costs B'!C202</f>
        <v>0</v>
      </c>
      <c r="D202" s="35">
        <f>'Preventative costs A'!D202-'Preventative costs B'!D202</f>
        <v>0</v>
      </c>
      <c r="E202" s="35">
        <f>'Preventative costs A'!E202-'Preventative costs B'!E202</f>
        <v>0</v>
      </c>
      <c r="F202" s="35">
        <f>'Preventative costs A'!F202-'Preventative costs B'!F202</f>
        <v>0</v>
      </c>
      <c r="G202" s="35">
        <f>'Preventative costs A'!G202-'Preventative costs B'!G202</f>
        <v>0</v>
      </c>
      <c r="H202" s="35">
        <f>'Preventative costs A'!H202-'Preventative costs B'!H202</f>
        <v>0</v>
      </c>
      <c r="I202" s="35">
        <f>'Preventative costs A'!I202-'Preventative costs B'!I202</f>
        <v>0</v>
      </c>
      <c r="J202" s="35">
        <f>'Preventative costs A'!J202-'Preventative costs B'!J202</f>
        <v>0</v>
      </c>
      <c r="K202" s="35">
        <f>'Preventative costs A'!K202-'Preventative costs B'!K202</f>
        <v>0</v>
      </c>
      <c r="M202" s="4"/>
    </row>
    <row r="203" spans="1:13" s="6" customFormat="1" x14ac:dyDescent="0.25">
      <c r="A203" s="4" t="str">
        <v>AF CO2</v>
      </c>
      <c r="B203" s="35">
        <f>'Preventative costs A'!B203-'Preventative costs B'!B203</f>
        <v>0</v>
      </c>
      <c r="C203" s="35">
        <f>'Preventative costs A'!C203-'Preventative costs B'!C203</f>
        <v>0</v>
      </c>
      <c r="D203" s="35">
        <f>'Preventative costs A'!D203-'Preventative costs B'!D203</f>
        <v>0</v>
      </c>
      <c r="E203" s="35">
        <f>'Preventative costs A'!E203-'Preventative costs B'!E203</f>
        <v>0</v>
      </c>
      <c r="F203" s="35">
        <f>'Preventative costs A'!F203-'Preventative costs B'!F203</f>
        <v>0</v>
      </c>
      <c r="G203" s="35">
        <f>'Preventative costs A'!G203-'Preventative costs B'!G203</f>
        <v>0</v>
      </c>
      <c r="H203" s="35">
        <f>'Preventative costs A'!H203-'Preventative costs B'!H203</f>
        <v>0</v>
      </c>
      <c r="I203" s="35">
        <f>'Preventative costs A'!I203-'Preventative costs B'!I203</f>
        <v>0</v>
      </c>
      <c r="J203" s="35">
        <f>'Preventative costs A'!J203-'Preventative costs B'!J203</f>
        <v>0</v>
      </c>
      <c r="K203" s="35">
        <f>'Preventative costs A'!K203-'Preventative costs B'!K203</f>
        <v>0</v>
      </c>
      <c r="M203" s="4"/>
    </row>
    <row r="204" spans="1:13" s="6" customFormat="1" ht="13" thickBot="1" x14ac:dyDescent="0.3">
      <c r="A204" s="4" t="str">
        <v>LA CO2</v>
      </c>
      <c r="B204" s="49">
        <f>'Preventative costs A'!B204-'Preventative costs B'!B204</f>
        <v>0</v>
      </c>
      <c r="C204" s="49">
        <f>'Preventative costs A'!C204-'Preventative costs B'!C204</f>
        <v>0</v>
      </c>
      <c r="D204" s="49">
        <f>'Preventative costs A'!D204-'Preventative costs B'!D204</f>
        <v>0</v>
      </c>
      <c r="E204" s="49">
        <f>'Preventative costs A'!E204-'Preventative costs B'!E204</f>
        <v>0</v>
      </c>
      <c r="F204" s="49">
        <f>'Preventative costs A'!F204-'Preventative costs B'!F204</f>
        <v>0</v>
      </c>
      <c r="G204" s="49">
        <f>'Preventative costs A'!G204-'Preventative costs B'!G204</f>
        <v>0</v>
      </c>
      <c r="H204" s="49">
        <f>'Preventative costs A'!H204-'Preventative costs B'!H204</f>
        <v>0</v>
      </c>
      <c r="I204" s="49">
        <f>'Preventative costs A'!I204-'Preventative costs B'!I204</f>
        <v>0</v>
      </c>
      <c r="J204" s="49">
        <f>'Preventative costs A'!J204-'Preventative costs B'!J204</f>
        <v>0</v>
      </c>
      <c r="K204" s="49">
        <f>'Preventative costs A'!K204-'Preventative costs B'!K204</f>
        <v>0</v>
      </c>
      <c r="M204" s="4"/>
    </row>
    <row r="205" spans="1:13" s="2" customFormat="1" ht="15.5" thickTop="1" x14ac:dyDescent="0.4">
      <c r="A205" s="2" t="s">
        <v>356</v>
      </c>
      <c r="B205" s="2" t="s">
        <v>358</v>
      </c>
    </row>
    <row r="206" spans="1:13" s="7" customFormat="1" x14ac:dyDescent="0.25">
      <c r="A206" s="4" t="str">
        <f t="array" ref="A206:A213">R_CODE&amp;" "&amp;'Base data'!$C$11</f>
        <v>EU CH4</v>
      </c>
      <c r="B206" s="39">
        <f>'Preventative costs A'!B206-'Preventative costs B'!B206</f>
        <v>0</v>
      </c>
      <c r="C206" s="39">
        <f>'Preventative costs A'!C206-'Preventative costs B'!C206</f>
        <v>0</v>
      </c>
      <c r="D206" s="39">
        <f>'Preventative costs A'!D206-'Preventative costs B'!D206</f>
        <v>0</v>
      </c>
      <c r="E206" s="39">
        <f>'Preventative costs A'!E206-'Preventative costs B'!E206</f>
        <v>0</v>
      </c>
      <c r="F206" s="39">
        <f>'Preventative costs A'!F206-'Preventative costs B'!F206</f>
        <v>0</v>
      </c>
      <c r="G206" s="39">
        <f>'Preventative costs A'!G206-'Preventative costs B'!G206</f>
        <v>0</v>
      </c>
      <c r="H206" s="39">
        <f>'Preventative costs A'!H206-'Preventative costs B'!H206</f>
        <v>0</v>
      </c>
      <c r="I206" s="39">
        <f>'Preventative costs A'!I206-'Preventative costs B'!I206</f>
        <v>0</v>
      </c>
      <c r="J206" s="39">
        <f>'Preventative costs A'!J206-'Preventative costs B'!J206</f>
        <v>0</v>
      </c>
      <c r="K206" s="39">
        <f>'Preventative costs A'!K206-'Preventative costs B'!K206</f>
        <v>0</v>
      </c>
      <c r="M206" s="4"/>
    </row>
    <row r="207" spans="1:13" s="7" customFormat="1" x14ac:dyDescent="0.25">
      <c r="A207" s="4" t="str">
        <v>US CH4</v>
      </c>
      <c r="B207" s="35">
        <f>'Preventative costs A'!B207-'Preventative costs B'!B207</f>
        <v>0</v>
      </c>
      <c r="C207" s="35">
        <f>'Preventative costs A'!C207-'Preventative costs B'!C207</f>
        <v>0</v>
      </c>
      <c r="D207" s="35">
        <f>'Preventative costs A'!D207-'Preventative costs B'!D207</f>
        <v>0</v>
      </c>
      <c r="E207" s="35">
        <f>'Preventative costs A'!E207-'Preventative costs B'!E207</f>
        <v>0</v>
      </c>
      <c r="F207" s="35">
        <f>'Preventative costs A'!F207-'Preventative costs B'!F207</f>
        <v>0</v>
      </c>
      <c r="G207" s="35">
        <f>'Preventative costs A'!G207-'Preventative costs B'!G207</f>
        <v>0</v>
      </c>
      <c r="H207" s="35">
        <f>'Preventative costs A'!H207-'Preventative costs B'!H207</f>
        <v>0</v>
      </c>
      <c r="I207" s="35">
        <f>'Preventative costs A'!I207-'Preventative costs B'!I207</f>
        <v>0</v>
      </c>
      <c r="J207" s="35">
        <f>'Preventative costs A'!J207-'Preventative costs B'!J207</f>
        <v>0</v>
      </c>
      <c r="K207" s="35">
        <f>'Preventative costs A'!K207-'Preventative costs B'!K207</f>
        <v>0</v>
      </c>
      <c r="M207" s="4"/>
    </row>
    <row r="208" spans="1:13" s="7" customFormat="1" x14ac:dyDescent="0.25">
      <c r="A208" s="4" t="str">
        <v>OT CH4</v>
      </c>
      <c r="B208" s="35">
        <f>'Preventative costs A'!B208-'Preventative costs B'!B208</f>
        <v>0</v>
      </c>
      <c r="C208" s="35">
        <f>'Preventative costs A'!C208-'Preventative costs B'!C208</f>
        <v>0</v>
      </c>
      <c r="D208" s="35">
        <f>'Preventative costs A'!D208-'Preventative costs B'!D208</f>
        <v>0</v>
      </c>
      <c r="E208" s="35">
        <f>'Preventative costs A'!E208-'Preventative costs B'!E208</f>
        <v>0</v>
      </c>
      <c r="F208" s="35">
        <f>'Preventative costs A'!F208-'Preventative costs B'!F208</f>
        <v>0</v>
      </c>
      <c r="G208" s="35">
        <f>'Preventative costs A'!G208-'Preventative costs B'!G208</f>
        <v>0</v>
      </c>
      <c r="H208" s="35">
        <f>'Preventative costs A'!H208-'Preventative costs B'!H208</f>
        <v>0</v>
      </c>
      <c r="I208" s="35">
        <f>'Preventative costs A'!I208-'Preventative costs B'!I208</f>
        <v>0</v>
      </c>
      <c r="J208" s="35">
        <f>'Preventative costs A'!J208-'Preventative costs B'!J208</f>
        <v>0</v>
      </c>
      <c r="K208" s="35">
        <f>'Preventative costs A'!K208-'Preventative costs B'!K208</f>
        <v>0</v>
      </c>
      <c r="M208" s="4"/>
    </row>
    <row r="209" spans="1:13" s="7" customFormat="1" x14ac:dyDescent="0.25">
      <c r="A209" s="4" t="str">
        <v>EE CH4</v>
      </c>
      <c r="B209" s="35">
        <f>'Preventative costs A'!B209-'Preventative costs B'!B209</f>
        <v>0</v>
      </c>
      <c r="C209" s="35">
        <f>'Preventative costs A'!C209-'Preventative costs B'!C209</f>
        <v>0</v>
      </c>
      <c r="D209" s="35">
        <f>'Preventative costs A'!D209-'Preventative costs B'!D209</f>
        <v>0</v>
      </c>
      <c r="E209" s="35">
        <f>'Preventative costs A'!E209-'Preventative costs B'!E209</f>
        <v>0</v>
      </c>
      <c r="F209" s="35">
        <f>'Preventative costs A'!F209-'Preventative costs B'!F209</f>
        <v>0</v>
      </c>
      <c r="G209" s="35">
        <f>'Preventative costs A'!G209-'Preventative costs B'!G209</f>
        <v>0</v>
      </c>
      <c r="H209" s="35">
        <f>'Preventative costs A'!H209-'Preventative costs B'!H209</f>
        <v>0</v>
      </c>
      <c r="I209" s="35">
        <f>'Preventative costs A'!I209-'Preventative costs B'!I209</f>
        <v>0</v>
      </c>
      <c r="J209" s="35">
        <f>'Preventative costs A'!J209-'Preventative costs B'!J209</f>
        <v>0</v>
      </c>
      <c r="K209" s="35">
        <f>'Preventative costs A'!K209-'Preventative costs B'!K209</f>
        <v>0</v>
      </c>
      <c r="M209" s="4"/>
    </row>
    <row r="210" spans="1:13" s="7" customFormat="1" x14ac:dyDescent="0.25">
      <c r="A210" s="4" t="str">
        <v>CA CH4</v>
      </c>
      <c r="B210" s="35">
        <f>'Preventative costs A'!B210-'Preventative costs B'!B210</f>
        <v>0</v>
      </c>
      <c r="C210" s="35">
        <f>'Preventative costs A'!C210-'Preventative costs B'!C210</f>
        <v>0</v>
      </c>
      <c r="D210" s="35">
        <f>'Preventative costs A'!D210-'Preventative costs B'!D210</f>
        <v>0</v>
      </c>
      <c r="E210" s="35">
        <f>'Preventative costs A'!E210-'Preventative costs B'!E210</f>
        <v>0</v>
      </c>
      <c r="F210" s="35">
        <f>'Preventative costs A'!F210-'Preventative costs B'!F210</f>
        <v>0</v>
      </c>
      <c r="G210" s="35">
        <f>'Preventative costs A'!G210-'Preventative costs B'!G210</f>
        <v>0</v>
      </c>
      <c r="H210" s="35">
        <f>'Preventative costs A'!H210-'Preventative costs B'!H210</f>
        <v>0</v>
      </c>
      <c r="I210" s="35">
        <f>'Preventative costs A'!I210-'Preventative costs B'!I210</f>
        <v>0</v>
      </c>
      <c r="J210" s="35">
        <f>'Preventative costs A'!J210-'Preventative costs B'!J210</f>
        <v>0</v>
      </c>
      <c r="K210" s="35">
        <f>'Preventative costs A'!K210-'Preventative costs B'!K210</f>
        <v>0</v>
      </c>
      <c r="M210" s="4"/>
    </row>
    <row r="211" spans="1:13" s="7" customFormat="1" x14ac:dyDescent="0.25">
      <c r="A211" s="4" t="str">
        <v>IA CH4</v>
      </c>
      <c r="B211" s="35">
        <f>'Preventative costs A'!B211-'Preventative costs B'!B211</f>
        <v>0</v>
      </c>
      <c r="C211" s="35">
        <f>'Preventative costs A'!C211-'Preventative costs B'!C211</f>
        <v>0</v>
      </c>
      <c r="D211" s="35">
        <f>'Preventative costs A'!D211-'Preventative costs B'!D211</f>
        <v>0</v>
      </c>
      <c r="E211" s="35">
        <f>'Preventative costs A'!E211-'Preventative costs B'!E211</f>
        <v>0</v>
      </c>
      <c r="F211" s="35">
        <f>'Preventative costs A'!F211-'Preventative costs B'!F211</f>
        <v>0</v>
      </c>
      <c r="G211" s="35">
        <f>'Preventative costs A'!G211-'Preventative costs B'!G211</f>
        <v>0</v>
      </c>
      <c r="H211" s="35">
        <f>'Preventative costs A'!H211-'Preventative costs B'!H211</f>
        <v>0</v>
      </c>
      <c r="I211" s="35">
        <f>'Preventative costs A'!I211-'Preventative costs B'!I211</f>
        <v>0</v>
      </c>
      <c r="J211" s="35">
        <f>'Preventative costs A'!J211-'Preventative costs B'!J211</f>
        <v>0</v>
      </c>
      <c r="K211" s="35">
        <f>'Preventative costs A'!K211-'Preventative costs B'!K211</f>
        <v>0</v>
      </c>
      <c r="M211" s="4"/>
    </row>
    <row r="212" spans="1:13" s="7" customFormat="1" x14ac:dyDescent="0.25">
      <c r="A212" s="4" t="str">
        <v>AF CH4</v>
      </c>
      <c r="B212" s="35">
        <f>'Preventative costs A'!B212-'Preventative costs B'!B212</f>
        <v>0</v>
      </c>
      <c r="C212" s="35">
        <f>'Preventative costs A'!C212-'Preventative costs B'!C212</f>
        <v>0</v>
      </c>
      <c r="D212" s="35">
        <f>'Preventative costs A'!D212-'Preventative costs B'!D212</f>
        <v>0</v>
      </c>
      <c r="E212" s="35">
        <f>'Preventative costs A'!E212-'Preventative costs B'!E212</f>
        <v>0</v>
      </c>
      <c r="F212" s="35">
        <f>'Preventative costs A'!F212-'Preventative costs B'!F212</f>
        <v>0</v>
      </c>
      <c r="G212" s="35">
        <f>'Preventative costs A'!G212-'Preventative costs B'!G212</f>
        <v>0</v>
      </c>
      <c r="H212" s="35">
        <f>'Preventative costs A'!H212-'Preventative costs B'!H212</f>
        <v>0</v>
      </c>
      <c r="I212" s="35">
        <f>'Preventative costs A'!I212-'Preventative costs B'!I212</f>
        <v>0</v>
      </c>
      <c r="J212" s="35">
        <f>'Preventative costs A'!J212-'Preventative costs B'!J212</f>
        <v>0</v>
      </c>
      <c r="K212" s="35">
        <f>'Preventative costs A'!K212-'Preventative costs B'!K212</f>
        <v>0</v>
      </c>
      <c r="M212" s="4"/>
    </row>
    <row r="213" spans="1:13" s="7" customFormat="1" ht="13" thickBot="1" x14ac:dyDescent="0.3">
      <c r="A213" s="4" t="str">
        <v>LA CH4</v>
      </c>
      <c r="B213" s="49">
        <f>'Preventative costs A'!B213-'Preventative costs B'!B213</f>
        <v>0</v>
      </c>
      <c r="C213" s="49">
        <f>'Preventative costs A'!C213-'Preventative costs B'!C213</f>
        <v>0</v>
      </c>
      <c r="D213" s="49">
        <f>'Preventative costs A'!D213-'Preventative costs B'!D213</f>
        <v>0</v>
      </c>
      <c r="E213" s="49">
        <f>'Preventative costs A'!E213-'Preventative costs B'!E213</f>
        <v>0</v>
      </c>
      <c r="F213" s="49">
        <f>'Preventative costs A'!F213-'Preventative costs B'!F213</f>
        <v>0</v>
      </c>
      <c r="G213" s="49">
        <f>'Preventative costs A'!G213-'Preventative costs B'!G213</f>
        <v>0</v>
      </c>
      <c r="H213" s="49">
        <f>'Preventative costs A'!H213-'Preventative costs B'!H213</f>
        <v>0</v>
      </c>
      <c r="I213" s="49">
        <f>'Preventative costs A'!I213-'Preventative costs B'!I213</f>
        <v>0</v>
      </c>
      <c r="J213" s="49">
        <f>'Preventative costs A'!J213-'Preventative costs B'!J213</f>
        <v>0</v>
      </c>
      <c r="K213" s="49">
        <f>'Preventative costs A'!K213-'Preventative costs B'!K213</f>
        <v>0</v>
      </c>
      <c r="M213" s="4"/>
    </row>
    <row r="214" spans="1:13" s="2" customFormat="1" ht="15.5" thickTop="1" x14ac:dyDescent="0.4">
      <c r="A214" s="2" t="s">
        <v>356</v>
      </c>
      <c r="B214" s="2" t="s">
        <v>359</v>
      </c>
    </row>
    <row r="215" spans="1:13" s="7" customFormat="1" x14ac:dyDescent="0.25">
      <c r="A215" s="4" t="str">
        <f t="array" ref="A215:A222">R_CODE&amp;" "&amp;'Base data'!$D$11</f>
        <v>EU N2O</v>
      </c>
      <c r="B215" s="39">
        <f>'Preventative costs A'!B215-'Preventative costs B'!B215</f>
        <v>0</v>
      </c>
      <c r="C215" s="39">
        <f>'Preventative costs A'!C215-'Preventative costs B'!C215</f>
        <v>0</v>
      </c>
      <c r="D215" s="39">
        <f>'Preventative costs A'!D215-'Preventative costs B'!D215</f>
        <v>0</v>
      </c>
      <c r="E215" s="39">
        <f>'Preventative costs A'!E215-'Preventative costs B'!E215</f>
        <v>0</v>
      </c>
      <c r="F215" s="39">
        <f>'Preventative costs A'!F215-'Preventative costs B'!F215</f>
        <v>0</v>
      </c>
      <c r="G215" s="39">
        <f>'Preventative costs A'!G215-'Preventative costs B'!G215</f>
        <v>0</v>
      </c>
      <c r="H215" s="39">
        <f>'Preventative costs A'!H215-'Preventative costs B'!H215</f>
        <v>0</v>
      </c>
      <c r="I215" s="39">
        <f>'Preventative costs A'!I215-'Preventative costs B'!I215</f>
        <v>0</v>
      </c>
      <c r="J215" s="39">
        <f>'Preventative costs A'!J215-'Preventative costs B'!J215</f>
        <v>0</v>
      </c>
      <c r="K215" s="39">
        <f>'Preventative costs A'!K215-'Preventative costs B'!K215</f>
        <v>0</v>
      </c>
      <c r="M215" s="4"/>
    </row>
    <row r="216" spans="1:13" s="7" customFormat="1" x14ac:dyDescent="0.25">
      <c r="A216" s="4" t="str">
        <v>US N2O</v>
      </c>
      <c r="B216" s="35">
        <f>'Preventative costs A'!B216-'Preventative costs B'!B216</f>
        <v>0</v>
      </c>
      <c r="C216" s="35">
        <f>'Preventative costs A'!C216-'Preventative costs B'!C216</f>
        <v>0</v>
      </c>
      <c r="D216" s="35">
        <f>'Preventative costs A'!D216-'Preventative costs B'!D216</f>
        <v>0</v>
      </c>
      <c r="E216" s="35">
        <f>'Preventative costs A'!E216-'Preventative costs B'!E216</f>
        <v>0</v>
      </c>
      <c r="F216" s="35">
        <f>'Preventative costs A'!F216-'Preventative costs B'!F216</f>
        <v>0</v>
      </c>
      <c r="G216" s="35">
        <f>'Preventative costs A'!G216-'Preventative costs B'!G216</f>
        <v>0</v>
      </c>
      <c r="H216" s="35">
        <f>'Preventative costs A'!H216-'Preventative costs B'!H216</f>
        <v>0</v>
      </c>
      <c r="I216" s="35">
        <f>'Preventative costs A'!I216-'Preventative costs B'!I216</f>
        <v>0</v>
      </c>
      <c r="J216" s="35">
        <f>'Preventative costs A'!J216-'Preventative costs B'!J216</f>
        <v>0</v>
      </c>
      <c r="K216" s="35">
        <f>'Preventative costs A'!K216-'Preventative costs B'!K216</f>
        <v>0</v>
      </c>
      <c r="M216" s="4"/>
    </row>
    <row r="217" spans="1:13" s="7" customFormat="1" x14ac:dyDescent="0.25">
      <c r="A217" s="4" t="str">
        <v>OT N2O</v>
      </c>
      <c r="B217" s="35">
        <f>'Preventative costs A'!B217-'Preventative costs B'!B217</f>
        <v>0</v>
      </c>
      <c r="C217" s="35">
        <f>'Preventative costs A'!C217-'Preventative costs B'!C217</f>
        <v>0</v>
      </c>
      <c r="D217" s="35">
        <f>'Preventative costs A'!D217-'Preventative costs B'!D217</f>
        <v>0</v>
      </c>
      <c r="E217" s="35">
        <f>'Preventative costs A'!E217-'Preventative costs B'!E217</f>
        <v>0</v>
      </c>
      <c r="F217" s="35">
        <f>'Preventative costs A'!F217-'Preventative costs B'!F217</f>
        <v>0</v>
      </c>
      <c r="G217" s="35">
        <f>'Preventative costs A'!G217-'Preventative costs B'!G217</f>
        <v>0</v>
      </c>
      <c r="H217" s="35">
        <f>'Preventative costs A'!H217-'Preventative costs B'!H217</f>
        <v>0</v>
      </c>
      <c r="I217" s="35">
        <f>'Preventative costs A'!I217-'Preventative costs B'!I217</f>
        <v>0</v>
      </c>
      <c r="J217" s="35">
        <f>'Preventative costs A'!J217-'Preventative costs B'!J217</f>
        <v>0</v>
      </c>
      <c r="K217" s="35">
        <f>'Preventative costs A'!K217-'Preventative costs B'!K217</f>
        <v>0</v>
      </c>
      <c r="M217" s="4"/>
    </row>
    <row r="218" spans="1:13" s="7" customFormat="1" x14ac:dyDescent="0.25">
      <c r="A218" s="4" t="str">
        <v>EE N2O</v>
      </c>
      <c r="B218" s="35">
        <f>'Preventative costs A'!B218-'Preventative costs B'!B218</f>
        <v>0</v>
      </c>
      <c r="C218" s="35">
        <f>'Preventative costs A'!C218-'Preventative costs B'!C218</f>
        <v>0</v>
      </c>
      <c r="D218" s="35">
        <f>'Preventative costs A'!D218-'Preventative costs B'!D218</f>
        <v>0</v>
      </c>
      <c r="E218" s="35">
        <f>'Preventative costs A'!E218-'Preventative costs B'!E218</f>
        <v>0</v>
      </c>
      <c r="F218" s="35">
        <f>'Preventative costs A'!F218-'Preventative costs B'!F218</f>
        <v>0</v>
      </c>
      <c r="G218" s="35">
        <f>'Preventative costs A'!G218-'Preventative costs B'!G218</f>
        <v>0</v>
      </c>
      <c r="H218" s="35">
        <f>'Preventative costs A'!H218-'Preventative costs B'!H218</f>
        <v>0</v>
      </c>
      <c r="I218" s="35">
        <f>'Preventative costs A'!I218-'Preventative costs B'!I218</f>
        <v>0</v>
      </c>
      <c r="J218" s="35">
        <f>'Preventative costs A'!J218-'Preventative costs B'!J218</f>
        <v>0</v>
      </c>
      <c r="K218" s="35">
        <f>'Preventative costs A'!K218-'Preventative costs B'!K218</f>
        <v>0</v>
      </c>
      <c r="M218" s="4"/>
    </row>
    <row r="219" spans="1:13" s="7" customFormat="1" x14ac:dyDescent="0.25">
      <c r="A219" s="4" t="str">
        <v>CA N2O</v>
      </c>
      <c r="B219" s="35">
        <f>'Preventative costs A'!B219-'Preventative costs B'!B219</f>
        <v>0</v>
      </c>
      <c r="C219" s="35">
        <f>'Preventative costs A'!C219-'Preventative costs B'!C219</f>
        <v>0</v>
      </c>
      <c r="D219" s="35">
        <f>'Preventative costs A'!D219-'Preventative costs B'!D219</f>
        <v>0</v>
      </c>
      <c r="E219" s="35">
        <f>'Preventative costs A'!E219-'Preventative costs B'!E219</f>
        <v>0</v>
      </c>
      <c r="F219" s="35">
        <f>'Preventative costs A'!F219-'Preventative costs B'!F219</f>
        <v>0</v>
      </c>
      <c r="G219" s="35">
        <f>'Preventative costs A'!G219-'Preventative costs B'!G219</f>
        <v>0</v>
      </c>
      <c r="H219" s="35">
        <f>'Preventative costs A'!H219-'Preventative costs B'!H219</f>
        <v>0</v>
      </c>
      <c r="I219" s="35">
        <f>'Preventative costs A'!I219-'Preventative costs B'!I219</f>
        <v>0</v>
      </c>
      <c r="J219" s="35">
        <f>'Preventative costs A'!J219-'Preventative costs B'!J219</f>
        <v>0</v>
      </c>
      <c r="K219" s="35">
        <f>'Preventative costs A'!K219-'Preventative costs B'!K219</f>
        <v>0</v>
      </c>
      <c r="M219" s="4"/>
    </row>
    <row r="220" spans="1:13" s="7" customFormat="1" x14ac:dyDescent="0.25">
      <c r="A220" s="4" t="str">
        <v>IA N2O</v>
      </c>
      <c r="B220" s="35">
        <f>'Preventative costs A'!B220-'Preventative costs B'!B220</f>
        <v>0</v>
      </c>
      <c r="C220" s="35">
        <f>'Preventative costs A'!C220-'Preventative costs B'!C220</f>
        <v>0</v>
      </c>
      <c r="D220" s="35">
        <f>'Preventative costs A'!D220-'Preventative costs B'!D220</f>
        <v>0</v>
      </c>
      <c r="E220" s="35">
        <f>'Preventative costs A'!E220-'Preventative costs B'!E220</f>
        <v>0</v>
      </c>
      <c r="F220" s="35">
        <f>'Preventative costs A'!F220-'Preventative costs B'!F220</f>
        <v>0</v>
      </c>
      <c r="G220" s="35">
        <f>'Preventative costs A'!G220-'Preventative costs B'!G220</f>
        <v>0</v>
      </c>
      <c r="H220" s="35">
        <f>'Preventative costs A'!H220-'Preventative costs B'!H220</f>
        <v>0</v>
      </c>
      <c r="I220" s="35">
        <f>'Preventative costs A'!I220-'Preventative costs B'!I220</f>
        <v>0</v>
      </c>
      <c r="J220" s="35">
        <f>'Preventative costs A'!J220-'Preventative costs B'!J220</f>
        <v>0</v>
      </c>
      <c r="K220" s="35">
        <f>'Preventative costs A'!K220-'Preventative costs B'!K220</f>
        <v>0</v>
      </c>
      <c r="M220" s="4"/>
    </row>
    <row r="221" spans="1:13" s="7" customFormat="1" x14ac:dyDescent="0.25">
      <c r="A221" s="4" t="str">
        <v>AF N2O</v>
      </c>
      <c r="B221" s="35">
        <f>'Preventative costs A'!B221-'Preventative costs B'!B221</f>
        <v>0</v>
      </c>
      <c r="C221" s="35">
        <f>'Preventative costs A'!C221-'Preventative costs B'!C221</f>
        <v>0</v>
      </c>
      <c r="D221" s="35">
        <f>'Preventative costs A'!D221-'Preventative costs B'!D221</f>
        <v>0</v>
      </c>
      <c r="E221" s="35">
        <f>'Preventative costs A'!E221-'Preventative costs B'!E221</f>
        <v>0</v>
      </c>
      <c r="F221" s="35">
        <f>'Preventative costs A'!F221-'Preventative costs B'!F221</f>
        <v>0</v>
      </c>
      <c r="G221" s="35">
        <f>'Preventative costs A'!G221-'Preventative costs B'!G221</f>
        <v>0</v>
      </c>
      <c r="H221" s="35">
        <f>'Preventative costs A'!H221-'Preventative costs B'!H221</f>
        <v>0</v>
      </c>
      <c r="I221" s="35">
        <f>'Preventative costs A'!I221-'Preventative costs B'!I221</f>
        <v>0</v>
      </c>
      <c r="J221" s="35">
        <f>'Preventative costs A'!J221-'Preventative costs B'!J221</f>
        <v>0</v>
      </c>
      <c r="K221" s="35">
        <f>'Preventative costs A'!K221-'Preventative costs B'!K221</f>
        <v>0</v>
      </c>
      <c r="M221" s="4"/>
    </row>
    <row r="222" spans="1:13" s="7" customFormat="1" ht="13" thickBot="1" x14ac:dyDescent="0.3">
      <c r="A222" s="4" t="str">
        <v>LA N2O</v>
      </c>
      <c r="B222" s="49">
        <f>'Preventative costs A'!B222-'Preventative costs B'!B222</f>
        <v>0</v>
      </c>
      <c r="C222" s="49">
        <f>'Preventative costs A'!C222-'Preventative costs B'!C222</f>
        <v>0</v>
      </c>
      <c r="D222" s="49">
        <f>'Preventative costs A'!D222-'Preventative costs B'!D222</f>
        <v>0</v>
      </c>
      <c r="E222" s="49">
        <f>'Preventative costs A'!E222-'Preventative costs B'!E222</f>
        <v>0</v>
      </c>
      <c r="F222" s="49">
        <f>'Preventative costs A'!F222-'Preventative costs B'!F222</f>
        <v>0</v>
      </c>
      <c r="G222" s="49">
        <f>'Preventative costs A'!G222-'Preventative costs B'!G222</f>
        <v>0</v>
      </c>
      <c r="H222" s="49">
        <f>'Preventative costs A'!H222-'Preventative costs B'!H222</f>
        <v>0</v>
      </c>
      <c r="I222" s="49">
        <f>'Preventative costs A'!I222-'Preventative costs B'!I222</f>
        <v>0</v>
      </c>
      <c r="J222" s="49">
        <f>'Preventative costs A'!J222-'Preventative costs B'!J222</f>
        <v>0</v>
      </c>
      <c r="K222" s="49">
        <f>'Preventative costs A'!K222-'Preventative costs B'!K222</f>
        <v>0</v>
      </c>
      <c r="M222" s="4"/>
    </row>
    <row r="223" spans="1:13" s="2" customFormat="1" ht="15.5" thickTop="1" x14ac:dyDescent="0.4">
      <c r="A223" s="2" t="s">
        <v>356</v>
      </c>
      <c r="B223" s="2" t="s">
        <v>360</v>
      </c>
    </row>
    <row r="224" spans="1:13" s="7" customFormat="1" x14ac:dyDescent="0.25">
      <c r="A224" s="4" t="str">
        <f t="array" ref="A224:A231">R_CODE&amp;" "&amp;GLIN_NAME</f>
        <v>EU Lin</v>
      </c>
      <c r="B224" s="39">
        <f>'Preventative costs A'!B224-'Preventative costs B'!B224</f>
        <v>0</v>
      </c>
      <c r="C224" s="39">
        <f>'Preventative costs A'!C224-'Preventative costs B'!C224</f>
        <v>0</v>
      </c>
      <c r="D224" s="39">
        <f>'Preventative costs A'!D224-'Preventative costs B'!D224</f>
        <v>0</v>
      </c>
      <c r="E224" s="39">
        <f>'Preventative costs A'!E224-'Preventative costs B'!E224</f>
        <v>0</v>
      </c>
      <c r="F224" s="39">
        <f>'Preventative costs A'!F224-'Preventative costs B'!F224</f>
        <v>0</v>
      </c>
      <c r="G224" s="39">
        <f>'Preventative costs A'!G224-'Preventative costs B'!G224</f>
        <v>0</v>
      </c>
      <c r="H224" s="39">
        <f>'Preventative costs A'!H224-'Preventative costs B'!H224</f>
        <v>0</v>
      </c>
      <c r="I224" s="39">
        <f>'Preventative costs A'!I224-'Preventative costs B'!I224</f>
        <v>0</v>
      </c>
      <c r="J224" s="39">
        <f>'Preventative costs A'!J224-'Preventative costs B'!J224</f>
        <v>0</v>
      </c>
      <c r="K224" s="39">
        <f>'Preventative costs A'!K224-'Preventative costs B'!K224</f>
        <v>0</v>
      </c>
      <c r="M224" s="4"/>
    </row>
    <row r="225" spans="1:13" s="7" customFormat="1" x14ac:dyDescent="0.25">
      <c r="A225" s="4" t="str">
        <v>US Lin</v>
      </c>
      <c r="B225" s="35">
        <f>'Preventative costs A'!B225-'Preventative costs B'!B225</f>
        <v>0</v>
      </c>
      <c r="C225" s="35">
        <f>'Preventative costs A'!C225-'Preventative costs B'!C225</f>
        <v>0</v>
      </c>
      <c r="D225" s="35">
        <f>'Preventative costs A'!D225-'Preventative costs B'!D225</f>
        <v>0</v>
      </c>
      <c r="E225" s="35">
        <f>'Preventative costs A'!E225-'Preventative costs B'!E225</f>
        <v>0</v>
      </c>
      <c r="F225" s="35">
        <f>'Preventative costs A'!F225-'Preventative costs B'!F225</f>
        <v>0</v>
      </c>
      <c r="G225" s="35">
        <f>'Preventative costs A'!G225-'Preventative costs B'!G225</f>
        <v>0</v>
      </c>
      <c r="H225" s="35">
        <f>'Preventative costs A'!H225-'Preventative costs B'!H225</f>
        <v>0</v>
      </c>
      <c r="I225" s="35">
        <f>'Preventative costs A'!I225-'Preventative costs B'!I225</f>
        <v>0</v>
      </c>
      <c r="J225" s="35">
        <f>'Preventative costs A'!J225-'Preventative costs B'!J225</f>
        <v>0</v>
      </c>
      <c r="K225" s="35">
        <f>'Preventative costs A'!K225-'Preventative costs B'!K225</f>
        <v>0</v>
      </c>
      <c r="M225" s="4"/>
    </row>
    <row r="226" spans="1:13" s="7" customFormat="1" x14ac:dyDescent="0.25">
      <c r="A226" s="4" t="str">
        <v>OT Lin</v>
      </c>
      <c r="B226" s="35">
        <f>'Preventative costs A'!B226-'Preventative costs B'!B226</f>
        <v>0</v>
      </c>
      <c r="C226" s="35">
        <f>'Preventative costs A'!C226-'Preventative costs B'!C226</f>
        <v>0</v>
      </c>
      <c r="D226" s="35">
        <f>'Preventative costs A'!D226-'Preventative costs B'!D226</f>
        <v>0</v>
      </c>
      <c r="E226" s="35">
        <f>'Preventative costs A'!E226-'Preventative costs B'!E226</f>
        <v>0</v>
      </c>
      <c r="F226" s="35">
        <f>'Preventative costs A'!F226-'Preventative costs B'!F226</f>
        <v>0</v>
      </c>
      <c r="G226" s="35">
        <f>'Preventative costs A'!G226-'Preventative costs B'!G226</f>
        <v>0</v>
      </c>
      <c r="H226" s="35">
        <f>'Preventative costs A'!H226-'Preventative costs B'!H226</f>
        <v>0</v>
      </c>
      <c r="I226" s="35">
        <f>'Preventative costs A'!I226-'Preventative costs B'!I226</f>
        <v>0</v>
      </c>
      <c r="J226" s="35">
        <f>'Preventative costs A'!J226-'Preventative costs B'!J226</f>
        <v>0</v>
      </c>
      <c r="K226" s="35">
        <f>'Preventative costs A'!K226-'Preventative costs B'!K226</f>
        <v>0</v>
      </c>
      <c r="M226" s="4"/>
    </row>
    <row r="227" spans="1:13" s="7" customFormat="1" x14ac:dyDescent="0.25">
      <c r="A227" s="4" t="str">
        <v>EE Lin</v>
      </c>
      <c r="B227" s="35">
        <f>'Preventative costs A'!B227-'Preventative costs B'!B227</f>
        <v>0</v>
      </c>
      <c r="C227" s="35">
        <f>'Preventative costs A'!C227-'Preventative costs B'!C227</f>
        <v>0</v>
      </c>
      <c r="D227" s="35">
        <f>'Preventative costs A'!D227-'Preventative costs B'!D227</f>
        <v>0</v>
      </c>
      <c r="E227" s="35">
        <f>'Preventative costs A'!E227-'Preventative costs B'!E227</f>
        <v>0</v>
      </c>
      <c r="F227" s="35">
        <f>'Preventative costs A'!F227-'Preventative costs B'!F227</f>
        <v>0</v>
      </c>
      <c r="G227" s="35">
        <f>'Preventative costs A'!G227-'Preventative costs B'!G227</f>
        <v>0</v>
      </c>
      <c r="H227" s="35">
        <f>'Preventative costs A'!H227-'Preventative costs B'!H227</f>
        <v>0</v>
      </c>
      <c r="I227" s="35">
        <f>'Preventative costs A'!I227-'Preventative costs B'!I227</f>
        <v>0</v>
      </c>
      <c r="J227" s="35">
        <f>'Preventative costs A'!J227-'Preventative costs B'!J227</f>
        <v>0</v>
      </c>
      <c r="K227" s="35">
        <f>'Preventative costs A'!K227-'Preventative costs B'!K227</f>
        <v>0</v>
      </c>
      <c r="M227" s="4"/>
    </row>
    <row r="228" spans="1:13" s="7" customFormat="1" x14ac:dyDescent="0.25">
      <c r="A228" s="4" t="str">
        <v>CA Lin</v>
      </c>
      <c r="B228" s="35">
        <f>'Preventative costs A'!B228-'Preventative costs B'!B228</f>
        <v>0</v>
      </c>
      <c r="C228" s="35">
        <f>'Preventative costs A'!C228-'Preventative costs B'!C228</f>
        <v>0</v>
      </c>
      <c r="D228" s="35">
        <f>'Preventative costs A'!D228-'Preventative costs B'!D228</f>
        <v>0</v>
      </c>
      <c r="E228" s="35">
        <f>'Preventative costs A'!E228-'Preventative costs B'!E228</f>
        <v>0</v>
      </c>
      <c r="F228" s="35">
        <f>'Preventative costs A'!F228-'Preventative costs B'!F228</f>
        <v>0</v>
      </c>
      <c r="G228" s="35">
        <f>'Preventative costs A'!G228-'Preventative costs B'!G228</f>
        <v>0</v>
      </c>
      <c r="H228" s="35">
        <f>'Preventative costs A'!H228-'Preventative costs B'!H228</f>
        <v>0</v>
      </c>
      <c r="I228" s="35">
        <f>'Preventative costs A'!I228-'Preventative costs B'!I228</f>
        <v>0</v>
      </c>
      <c r="J228" s="35">
        <f>'Preventative costs A'!J228-'Preventative costs B'!J228</f>
        <v>0</v>
      </c>
      <c r="K228" s="35">
        <f>'Preventative costs A'!K228-'Preventative costs B'!K228</f>
        <v>0</v>
      </c>
      <c r="M228" s="4"/>
    </row>
    <row r="229" spans="1:13" s="7" customFormat="1" x14ac:dyDescent="0.25">
      <c r="A229" s="4" t="str">
        <v>IA Lin</v>
      </c>
      <c r="B229" s="35">
        <f>'Preventative costs A'!B229-'Preventative costs B'!B229</f>
        <v>0</v>
      </c>
      <c r="C229" s="35">
        <f>'Preventative costs A'!C229-'Preventative costs B'!C229</f>
        <v>0</v>
      </c>
      <c r="D229" s="35">
        <f>'Preventative costs A'!D229-'Preventative costs B'!D229</f>
        <v>0</v>
      </c>
      <c r="E229" s="35">
        <f>'Preventative costs A'!E229-'Preventative costs B'!E229</f>
        <v>0</v>
      </c>
      <c r="F229" s="35">
        <f>'Preventative costs A'!F229-'Preventative costs B'!F229</f>
        <v>0</v>
      </c>
      <c r="G229" s="35">
        <f>'Preventative costs A'!G229-'Preventative costs B'!G229</f>
        <v>0</v>
      </c>
      <c r="H229" s="35">
        <f>'Preventative costs A'!H229-'Preventative costs B'!H229</f>
        <v>0</v>
      </c>
      <c r="I229" s="35">
        <f>'Preventative costs A'!I229-'Preventative costs B'!I229</f>
        <v>0</v>
      </c>
      <c r="J229" s="35">
        <f>'Preventative costs A'!J229-'Preventative costs B'!J229</f>
        <v>0</v>
      </c>
      <c r="K229" s="35">
        <f>'Preventative costs A'!K229-'Preventative costs B'!K229</f>
        <v>0</v>
      </c>
      <c r="M229" s="4"/>
    </row>
    <row r="230" spans="1:13" s="7" customFormat="1" x14ac:dyDescent="0.25">
      <c r="A230" s="4" t="str">
        <v>AF Lin</v>
      </c>
      <c r="B230" s="35">
        <f>'Preventative costs A'!B230-'Preventative costs B'!B230</f>
        <v>0</v>
      </c>
      <c r="C230" s="35">
        <f>'Preventative costs A'!C230-'Preventative costs B'!C230</f>
        <v>0</v>
      </c>
      <c r="D230" s="35">
        <f>'Preventative costs A'!D230-'Preventative costs B'!D230</f>
        <v>0</v>
      </c>
      <c r="E230" s="35">
        <f>'Preventative costs A'!E230-'Preventative costs B'!E230</f>
        <v>0</v>
      </c>
      <c r="F230" s="35">
        <f>'Preventative costs A'!F230-'Preventative costs B'!F230</f>
        <v>0</v>
      </c>
      <c r="G230" s="35">
        <f>'Preventative costs A'!G230-'Preventative costs B'!G230</f>
        <v>0</v>
      </c>
      <c r="H230" s="35">
        <f>'Preventative costs A'!H230-'Preventative costs B'!H230</f>
        <v>0</v>
      </c>
      <c r="I230" s="35">
        <f>'Preventative costs A'!I230-'Preventative costs B'!I230</f>
        <v>0</v>
      </c>
      <c r="J230" s="35">
        <f>'Preventative costs A'!J230-'Preventative costs B'!J230</f>
        <v>0</v>
      </c>
      <c r="K230" s="35">
        <f>'Preventative costs A'!K230-'Preventative costs B'!K230</f>
        <v>0</v>
      </c>
      <c r="M230" s="4"/>
    </row>
    <row r="231" spans="1:13" s="7" customFormat="1" ht="13" thickBot="1" x14ac:dyDescent="0.3">
      <c r="A231" s="4" t="str">
        <v>LA Lin</v>
      </c>
      <c r="B231" s="49">
        <f>'Preventative costs A'!B231-'Preventative costs B'!B231</f>
        <v>0</v>
      </c>
      <c r="C231" s="49">
        <f>'Preventative costs A'!C231-'Preventative costs B'!C231</f>
        <v>0</v>
      </c>
      <c r="D231" s="49">
        <f>'Preventative costs A'!D231-'Preventative costs B'!D231</f>
        <v>0</v>
      </c>
      <c r="E231" s="49">
        <f>'Preventative costs A'!E231-'Preventative costs B'!E231</f>
        <v>0</v>
      </c>
      <c r="F231" s="49">
        <f>'Preventative costs A'!F231-'Preventative costs B'!F231</f>
        <v>0</v>
      </c>
      <c r="G231" s="49">
        <f>'Preventative costs A'!G231-'Preventative costs B'!G231</f>
        <v>0</v>
      </c>
      <c r="H231" s="49">
        <f>'Preventative costs A'!H231-'Preventative costs B'!H231</f>
        <v>0</v>
      </c>
      <c r="I231" s="49">
        <f>'Preventative costs A'!I231-'Preventative costs B'!I231</f>
        <v>0</v>
      </c>
      <c r="J231" s="49">
        <f>'Preventative costs A'!J231-'Preventative costs B'!J231</f>
        <v>0</v>
      </c>
      <c r="K231" s="49">
        <f>'Preventative costs A'!K231-'Preventative costs B'!K231</f>
        <v>0</v>
      </c>
      <c r="M231" s="4"/>
    </row>
    <row r="232" spans="1:13" s="2" customFormat="1" ht="13.5" thickTop="1" x14ac:dyDescent="0.3">
      <c r="A232" s="2" t="s">
        <v>361</v>
      </c>
      <c r="B232" s="2" t="s">
        <v>362</v>
      </c>
    </row>
    <row r="233" spans="1:13" s="7" customFormat="1" ht="13" thickBot="1" x14ac:dyDescent="0.3">
      <c r="A233" s="4"/>
      <c r="B233" s="49">
        <f>'Preventative costs A'!B233-'Preventative costs B'!B233</f>
        <v>0</v>
      </c>
      <c r="C233" s="49">
        <f>'Preventative costs A'!C233-'Preventative costs B'!C233</f>
        <v>0</v>
      </c>
      <c r="D233" s="49">
        <f>'Preventative costs A'!D233-'Preventative costs B'!D233</f>
        <v>0</v>
      </c>
      <c r="E233" s="49">
        <f>'Preventative costs A'!E233-'Preventative costs B'!E233</f>
        <v>0</v>
      </c>
      <c r="F233" s="49">
        <f>'Preventative costs A'!F233-'Preventative costs B'!F233</f>
        <v>0</v>
      </c>
      <c r="G233" s="49">
        <f>'Preventative costs A'!G233-'Preventative costs B'!G233</f>
        <v>0</v>
      </c>
      <c r="H233" s="49">
        <f>'Preventative costs A'!H233-'Preventative costs B'!H233</f>
        <v>0</v>
      </c>
      <c r="I233" s="49">
        <f>'Preventative costs A'!I233-'Preventative costs B'!I233</f>
        <v>0</v>
      </c>
      <c r="J233" s="49">
        <f>'Preventative costs A'!J233-'Preventative costs B'!J233</f>
        <v>0</v>
      </c>
      <c r="K233" s="49">
        <f>'Preventative costs A'!K233-'Preventative costs B'!K233</f>
        <v>0</v>
      </c>
      <c r="M233" s="4"/>
    </row>
    <row r="234" spans="1:13" s="2" customFormat="1" ht="13.5" thickTop="1" x14ac:dyDescent="0.3">
      <c r="A234" s="2" t="s">
        <v>372</v>
      </c>
      <c r="B234" s="2" t="s">
        <v>373</v>
      </c>
    </row>
    <row r="235" spans="1:13" s="7" customFormat="1" x14ac:dyDescent="0.25">
      <c r="A235" s="80" t="s">
        <v>14</v>
      </c>
      <c r="B235" s="35">
        <f>'Preventative costs A'!B235-'Preventative costs B'!B235</f>
        <v>0</v>
      </c>
      <c r="C235" s="35">
        <f>'Preventative costs A'!C235-'Preventative costs B'!C235</f>
        <v>0</v>
      </c>
      <c r="D235" s="35">
        <f>'Preventative costs A'!D235-'Preventative costs B'!D235</f>
        <v>0</v>
      </c>
      <c r="E235" s="35">
        <f>'Preventative costs A'!E235-'Preventative costs B'!E235</f>
        <v>0</v>
      </c>
      <c r="F235" s="35">
        <f>'Preventative costs A'!F235-'Preventative costs B'!F235</f>
        <v>0</v>
      </c>
      <c r="G235" s="35">
        <f>'Preventative costs A'!G235-'Preventative costs B'!G235</f>
        <v>0</v>
      </c>
      <c r="H235" s="35">
        <f>'Preventative costs A'!H235-'Preventative costs B'!H235</f>
        <v>0</v>
      </c>
      <c r="I235" s="35">
        <f>'Preventative costs A'!I235-'Preventative costs B'!I235</f>
        <v>0</v>
      </c>
      <c r="J235" s="35">
        <f>'Preventative costs A'!J235-'Preventative costs B'!J235</f>
        <v>0</v>
      </c>
      <c r="K235" s="35">
        <f>'Preventative costs A'!K235-'Preventative costs B'!K235</f>
        <v>0</v>
      </c>
      <c r="M235" s="43" t="str">
        <f>CURRENCY_NAME&amp;" per "&amp;EMIT_NAME</f>
        <v>$million per Mtonne</v>
      </c>
    </row>
    <row r="236" spans="1:13" s="7" customFormat="1" x14ac:dyDescent="0.25">
      <c r="A236" s="80" t="s">
        <v>15</v>
      </c>
      <c r="B236" s="35">
        <f>'Preventative costs A'!B236-'Preventative costs B'!B236</f>
        <v>0</v>
      </c>
      <c r="C236" s="35">
        <f>'Preventative costs A'!C236-'Preventative costs B'!C236</f>
        <v>0</v>
      </c>
      <c r="D236" s="35">
        <f>'Preventative costs A'!D236-'Preventative costs B'!D236</f>
        <v>0</v>
      </c>
      <c r="E236" s="35">
        <f>'Preventative costs A'!E236-'Preventative costs B'!E236</f>
        <v>0</v>
      </c>
      <c r="F236" s="35">
        <f>'Preventative costs A'!F236-'Preventative costs B'!F236</f>
        <v>0</v>
      </c>
      <c r="G236" s="35">
        <f>'Preventative costs A'!G236-'Preventative costs B'!G236</f>
        <v>0</v>
      </c>
      <c r="H236" s="35">
        <f>'Preventative costs A'!H236-'Preventative costs B'!H236</f>
        <v>0</v>
      </c>
      <c r="I236" s="35">
        <f>'Preventative costs A'!I236-'Preventative costs B'!I236</f>
        <v>0</v>
      </c>
      <c r="J236" s="35">
        <f>'Preventative costs A'!J236-'Preventative costs B'!J236</f>
        <v>0</v>
      </c>
      <c r="K236" s="35">
        <f>'Preventative costs A'!K236-'Preventative costs B'!K236</f>
        <v>0</v>
      </c>
      <c r="M236" s="43" t="str">
        <f>CURRENCY_NAME&amp;" per "&amp;EMIT_NAME</f>
        <v>$million per Mtonne</v>
      </c>
    </row>
    <row r="237" spans="1:13" s="7" customFormat="1" x14ac:dyDescent="0.25">
      <c r="A237" s="80" t="s">
        <v>182</v>
      </c>
      <c r="B237" s="35">
        <f>'Preventative costs A'!B237-'Preventative costs B'!B237</f>
        <v>0</v>
      </c>
      <c r="C237" s="35">
        <f>'Preventative costs A'!C237-'Preventative costs B'!C237</f>
        <v>0</v>
      </c>
      <c r="D237" s="35">
        <f>'Preventative costs A'!D237-'Preventative costs B'!D237</f>
        <v>0</v>
      </c>
      <c r="E237" s="35">
        <f>'Preventative costs A'!E237-'Preventative costs B'!E237</f>
        <v>0</v>
      </c>
      <c r="F237" s="35">
        <f>'Preventative costs A'!F237-'Preventative costs B'!F237</f>
        <v>0</v>
      </c>
      <c r="G237" s="35">
        <f>'Preventative costs A'!G237-'Preventative costs B'!G237</f>
        <v>0</v>
      </c>
      <c r="H237" s="35">
        <f>'Preventative costs A'!H237-'Preventative costs B'!H237</f>
        <v>0</v>
      </c>
      <c r="I237" s="35">
        <f>'Preventative costs A'!I237-'Preventative costs B'!I237</f>
        <v>0</v>
      </c>
      <c r="J237" s="35">
        <f>'Preventative costs A'!J237-'Preventative costs B'!J237</f>
        <v>0</v>
      </c>
      <c r="K237" s="35">
        <f>'Preventative costs A'!K237-'Preventative costs B'!K237</f>
        <v>0</v>
      </c>
      <c r="M237" s="43" t="str">
        <f>CURRENCY_NAME&amp;" per "&amp;EMIT_NAME</f>
        <v>$million per Mtonne</v>
      </c>
    </row>
    <row r="238" spans="1:13" s="7" customFormat="1" x14ac:dyDescent="0.25">
      <c r="A238" s="4" t="str">
        <f>GLIN_NAME</f>
        <v>Lin</v>
      </c>
      <c r="B238" s="35">
        <f>'Preventative costs A'!B238-'Preventative costs B'!B238</f>
        <v>0</v>
      </c>
      <c r="C238" s="35">
        <f>'Preventative costs A'!C238-'Preventative costs B'!C238</f>
        <v>0</v>
      </c>
      <c r="D238" s="35">
        <f>'Preventative costs A'!D238-'Preventative costs B'!D238</f>
        <v>0</v>
      </c>
      <c r="E238" s="35">
        <f>'Preventative costs A'!E238-'Preventative costs B'!E238</f>
        <v>0</v>
      </c>
      <c r="F238" s="35">
        <f>'Preventative costs A'!F238-'Preventative costs B'!F238</f>
        <v>0</v>
      </c>
      <c r="G238" s="35">
        <f>'Preventative costs A'!G238-'Preventative costs B'!G238</f>
        <v>0</v>
      </c>
      <c r="H238" s="35">
        <f>'Preventative costs A'!H238-'Preventative costs B'!H238</f>
        <v>0</v>
      </c>
      <c r="I238" s="35">
        <f>'Preventative costs A'!I238-'Preventative costs B'!I238</f>
        <v>0</v>
      </c>
      <c r="J238" s="35">
        <f>'Preventative costs A'!J238-'Preventative costs B'!J238</f>
        <v>0</v>
      </c>
      <c r="K238" s="35">
        <f>'Preventative costs A'!K238-'Preventative costs B'!K238</f>
        <v>0</v>
      </c>
      <c r="M238" s="43" t="str">
        <f>CURRENCY_NAME&amp;" per "&amp;EMIT_NAME</f>
        <v>$million per Mtonne</v>
      </c>
    </row>
    <row r="239" spans="1:13" s="2" customFormat="1" ht="15" x14ac:dyDescent="0.4">
      <c r="A239" s="2" t="s">
        <v>374</v>
      </c>
      <c r="B239" s="2" t="s">
        <v>375</v>
      </c>
    </row>
    <row r="240" spans="1:13" s="7" customFormat="1" x14ac:dyDescent="0.25">
      <c r="A240" s="80" t="s">
        <v>14</v>
      </c>
      <c r="B240" s="39">
        <f>'Preventative costs A'!B240-'Preventative costs B'!B240</f>
        <v>0</v>
      </c>
      <c r="C240" s="39">
        <f>'Preventative costs A'!C240-'Preventative costs B'!C240</f>
        <v>0</v>
      </c>
      <c r="D240" s="39">
        <f>'Preventative costs A'!D240-'Preventative costs B'!D240</f>
        <v>0</v>
      </c>
      <c r="E240" s="39">
        <f>'Preventative costs A'!E240-'Preventative costs B'!E240</f>
        <v>0</v>
      </c>
      <c r="F240" s="39">
        <f>'Preventative costs A'!F240-'Preventative costs B'!F240</f>
        <v>0</v>
      </c>
      <c r="G240" s="39">
        <f>'Preventative costs A'!G240-'Preventative costs B'!G240</f>
        <v>0</v>
      </c>
      <c r="H240" s="39">
        <f>'Preventative costs A'!H240-'Preventative costs B'!H240</f>
        <v>0</v>
      </c>
      <c r="I240" s="39">
        <f>'Preventative costs A'!I240-'Preventative costs B'!I240</f>
        <v>0</v>
      </c>
      <c r="J240" s="39">
        <f>'Preventative costs A'!J240-'Preventative costs B'!J240</f>
        <v>0</v>
      </c>
      <c r="K240" s="39">
        <f>'Preventative costs A'!K240-'Preventative costs B'!K240</f>
        <v>0</v>
      </c>
      <c r="M240" s="4" t="str">
        <f>'Library data'!$G$77</f>
        <v>%</v>
      </c>
    </row>
    <row r="241" spans="1:15" s="7" customFormat="1" x14ac:dyDescent="0.25">
      <c r="A241" s="80" t="s">
        <v>15</v>
      </c>
      <c r="B241" s="35">
        <f>'Preventative costs A'!B241-'Preventative costs B'!B241</f>
        <v>0</v>
      </c>
      <c r="C241" s="35">
        <f>'Preventative costs A'!C241-'Preventative costs B'!C241</f>
        <v>0</v>
      </c>
      <c r="D241" s="35">
        <f>'Preventative costs A'!D241-'Preventative costs B'!D241</f>
        <v>0</v>
      </c>
      <c r="E241" s="35">
        <f>'Preventative costs A'!E241-'Preventative costs B'!E241</f>
        <v>0</v>
      </c>
      <c r="F241" s="35">
        <f>'Preventative costs A'!F241-'Preventative costs B'!F241</f>
        <v>0</v>
      </c>
      <c r="G241" s="35">
        <f>'Preventative costs A'!G241-'Preventative costs B'!G241</f>
        <v>0</v>
      </c>
      <c r="H241" s="35">
        <f>'Preventative costs A'!H241-'Preventative costs B'!H241</f>
        <v>0</v>
      </c>
      <c r="I241" s="35">
        <f>'Preventative costs A'!I241-'Preventative costs B'!I241</f>
        <v>0</v>
      </c>
      <c r="J241" s="35">
        <f>'Preventative costs A'!J241-'Preventative costs B'!J241</f>
        <v>0</v>
      </c>
      <c r="K241" s="35">
        <f>'Preventative costs A'!K241-'Preventative costs B'!K241</f>
        <v>0</v>
      </c>
      <c r="M241" s="4" t="str">
        <f>'Library data'!$G$77</f>
        <v>%</v>
      </c>
    </row>
    <row r="242" spans="1:15" s="7" customFormat="1" x14ac:dyDescent="0.25">
      <c r="A242" s="80" t="s">
        <v>182</v>
      </c>
      <c r="B242" s="35">
        <f>'Preventative costs A'!B242-'Preventative costs B'!B242</f>
        <v>0</v>
      </c>
      <c r="C242" s="35">
        <f>'Preventative costs A'!C242-'Preventative costs B'!C242</f>
        <v>0</v>
      </c>
      <c r="D242" s="35">
        <f>'Preventative costs A'!D242-'Preventative costs B'!D242</f>
        <v>0</v>
      </c>
      <c r="E242" s="35">
        <f>'Preventative costs A'!E242-'Preventative costs B'!E242</f>
        <v>0</v>
      </c>
      <c r="F242" s="35">
        <f>'Preventative costs A'!F242-'Preventative costs B'!F242</f>
        <v>0</v>
      </c>
      <c r="G242" s="35">
        <f>'Preventative costs A'!G242-'Preventative costs B'!G242</f>
        <v>0</v>
      </c>
      <c r="H242" s="35">
        <f>'Preventative costs A'!H242-'Preventative costs B'!H242</f>
        <v>0</v>
      </c>
      <c r="I242" s="35">
        <f>'Preventative costs A'!I242-'Preventative costs B'!I242</f>
        <v>0</v>
      </c>
      <c r="J242" s="35">
        <f>'Preventative costs A'!J242-'Preventative costs B'!J242</f>
        <v>0</v>
      </c>
      <c r="K242" s="35">
        <f>'Preventative costs A'!K242-'Preventative costs B'!K242</f>
        <v>0</v>
      </c>
      <c r="M242" s="4" t="str">
        <f>'Library data'!$G$77</f>
        <v>%</v>
      </c>
    </row>
    <row r="243" spans="1:15" s="7" customFormat="1" x14ac:dyDescent="0.25">
      <c r="A243" s="4" t="str">
        <f>GLIN_NAME</f>
        <v>Lin</v>
      </c>
      <c r="B243" s="35">
        <f>'Preventative costs A'!B243-'Preventative costs B'!B243</f>
        <v>0</v>
      </c>
      <c r="C243" s="35">
        <f>'Preventative costs A'!C243-'Preventative costs B'!C243</f>
        <v>0</v>
      </c>
      <c r="D243" s="35">
        <f>'Preventative costs A'!D243-'Preventative costs B'!D243</f>
        <v>0</v>
      </c>
      <c r="E243" s="35">
        <f>'Preventative costs A'!E243-'Preventative costs B'!E243</f>
        <v>0</v>
      </c>
      <c r="F243" s="35">
        <f>'Preventative costs A'!F243-'Preventative costs B'!F243</f>
        <v>0</v>
      </c>
      <c r="G243" s="35">
        <f>'Preventative costs A'!G243-'Preventative costs B'!G243</f>
        <v>0</v>
      </c>
      <c r="H243" s="35">
        <f>'Preventative costs A'!H243-'Preventative costs B'!H243</f>
        <v>0</v>
      </c>
      <c r="I243" s="35">
        <f>'Preventative costs A'!I243-'Preventative costs B'!I243</f>
        <v>0</v>
      </c>
      <c r="J243" s="35">
        <f>'Preventative costs A'!J243-'Preventative costs B'!J243</f>
        <v>0</v>
      </c>
      <c r="K243" s="35">
        <f>'Preventative costs A'!K243-'Preventative costs B'!K243</f>
        <v>0</v>
      </c>
      <c r="M243" s="4" t="str">
        <f>'Library data'!$G$77</f>
        <v>%</v>
      </c>
    </row>
    <row r="244" spans="1:15" s="2" customFormat="1" ht="15" x14ac:dyDescent="0.4">
      <c r="A244" s="2" t="s">
        <v>363</v>
      </c>
      <c r="B244" s="2" t="s">
        <v>364</v>
      </c>
    </row>
    <row r="245" spans="1:15" s="6" customFormat="1" x14ac:dyDescent="0.25">
      <c r="A245" s="4" t="str">
        <f t="array" ref="A245:A252">R_CODE&amp;" "&amp;'Base data'!$B$11</f>
        <v>EU CO2</v>
      </c>
      <c r="B245" s="39">
        <f>'Preventative costs A'!B245-'Preventative costs B'!B245</f>
        <v>0</v>
      </c>
      <c r="C245" s="39">
        <f>'Preventative costs A'!C245-'Preventative costs B'!C245</f>
        <v>0</v>
      </c>
      <c r="D245" s="39">
        <f>'Preventative costs A'!D245-'Preventative costs B'!D245</f>
        <v>0</v>
      </c>
      <c r="E245" s="39">
        <f>'Preventative costs A'!E245-'Preventative costs B'!E245</f>
        <v>0</v>
      </c>
      <c r="F245" s="39">
        <f>'Preventative costs A'!F245-'Preventative costs B'!F245</f>
        <v>0</v>
      </c>
      <c r="G245" s="39">
        <f>'Preventative costs A'!G245-'Preventative costs B'!G245</f>
        <v>0</v>
      </c>
      <c r="H245" s="39">
        <f>'Preventative costs A'!H245-'Preventative costs B'!H245</f>
        <v>0</v>
      </c>
      <c r="I245" s="39">
        <f>'Preventative costs A'!I245-'Preventative costs B'!I245</f>
        <v>0</v>
      </c>
      <c r="J245" s="39">
        <f>'Preventative costs A'!J245-'Preventative costs B'!J245</f>
        <v>0</v>
      </c>
      <c r="K245" s="39">
        <f>'Preventative costs A'!K245-'Preventative costs B'!K245</f>
        <v>0</v>
      </c>
      <c r="M245" s="4" t="str">
        <f>'Library data'!$G$77</f>
        <v>%</v>
      </c>
    </row>
    <row r="246" spans="1:15" s="6" customFormat="1" x14ac:dyDescent="0.25">
      <c r="A246" s="4" t="str">
        <v>US CO2</v>
      </c>
      <c r="B246" s="35">
        <f>'Preventative costs A'!B246-'Preventative costs B'!B246</f>
        <v>0</v>
      </c>
      <c r="C246" s="35">
        <f>'Preventative costs A'!C246-'Preventative costs B'!C246</f>
        <v>0</v>
      </c>
      <c r="D246" s="35">
        <f>'Preventative costs A'!D246-'Preventative costs B'!D246</f>
        <v>0</v>
      </c>
      <c r="E246" s="35">
        <f>'Preventative costs A'!E246-'Preventative costs B'!E246</f>
        <v>0</v>
      </c>
      <c r="F246" s="35">
        <f>'Preventative costs A'!F246-'Preventative costs B'!F246</f>
        <v>0</v>
      </c>
      <c r="G246" s="35">
        <f>'Preventative costs A'!G246-'Preventative costs B'!G246</f>
        <v>0</v>
      </c>
      <c r="H246" s="35">
        <f>'Preventative costs A'!H246-'Preventative costs B'!H246</f>
        <v>0</v>
      </c>
      <c r="I246" s="35">
        <f>'Preventative costs A'!I246-'Preventative costs B'!I246</f>
        <v>0</v>
      </c>
      <c r="J246" s="35">
        <f>'Preventative costs A'!J246-'Preventative costs B'!J246</f>
        <v>0</v>
      </c>
      <c r="K246" s="35">
        <f>'Preventative costs A'!K246-'Preventative costs B'!K246</f>
        <v>0</v>
      </c>
      <c r="M246" s="4" t="str">
        <f>'Library data'!$G$77</f>
        <v>%</v>
      </c>
    </row>
    <row r="247" spans="1:15" s="6" customFormat="1" x14ac:dyDescent="0.25">
      <c r="A247" s="4" t="str">
        <v>OT CO2</v>
      </c>
      <c r="B247" s="35">
        <f>'Preventative costs A'!B247-'Preventative costs B'!B247</f>
        <v>0</v>
      </c>
      <c r="C247" s="35">
        <f>'Preventative costs A'!C247-'Preventative costs B'!C247</f>
        <v>0</v>
      </c>
      <c r="D247" s="35">
        <f>'Preventative costs A'!D247-'Preventative costs B'!D247</f>
        <v>0</v>
      </c>
      <c r="E247" s="35">
        <f>'Preventative costs A'!E247-'Preventative costs B'!E247</f>
        <v>0</v>
      </c>
      <c r="F247" s="35">
        <f>'Preventative costs A'!F247-'Preventative costs B'!F247</f>
        <v>0</v>
      </c>
      <c r="G247" s="35">
        <f>'Preventative costs A'!G247-'Preventative costs B'!G247</f>
        <v>0</v>
      </c>
      <c r="H247" s="35">
        <f>'Preventative costs A'!H247-'Preventative costs B'!H247</f>
        <v>0</v>
      </c>
      <c r="I247" s="35">
        <f>'Preventative costs A'!I247-'Preventative costs B'!I247</f>
        <v>0</v>
      </c>
      <c r="J247" s="35">
        <f>'Preventative costs A'!J247-'Preventative costs B'!J247</f>
        <v>0</v>
      </c>
      <c r="K247" s="35">
        <f>'Preventative costs A'!K247-'Preventative costs B'!K247</f>
        <v>0</v>
      </c>
      <c r="M247" s="4" t="str">
        <f>'Library data'!$G$77</f>
        <v>%</v>
      </c>
    </row>
    <row r="248" spans="1:15" s="6" customFormat="1" x14ac:dyDescent="0.25">
      <c r="A248" s="4" t="str">
        <v>EE CO2</v>
      </c>
      <c r="B248" s="35">
        <f>'Preventative costs A'!B248-'Preventative costs B'!B248</f>
        <v>0</v>
      </c>
      <c r="C248" s="35">
        <f>'Preventative costs A'!C248-'Preventative costs B'!C248</f>
        <v>0</v>
      </c>
      <c r="D248" s="35">
        <f>'Preventative costs A'!D248-'Preventative costs B'!D248</f>
        <v>0</v>
      </c>
      <c r="E248" s="35">
        <f>'Preventative costs A'!E248-'Preventative costs B'!E248</f>
        <v>0</v>
      </c>
      <c r="F248" s="35">
        <f>'Preventative costs A'!F248-'Preventative costs B'!F248</f>
        <v>0</v>
      </c>
      <c r="G248" s="35">
        <f>'Preventative costs A'!G248-'Preventative costs B'!G248</f>
        <v>0</v>
      </c>
      <c r="H248" s="35">
        <f>'Preventative costs A'!H248-'Preventative costs B'!H248</f>
        <v>0</v>
      </c>
      <c r="I248" s="35">
        <f>'Preventative costs A'!I248-'Preventative costs B'!I248</f>
        <v>0</v>
      </c>
      <c r="J248" s="35">
        <f>'Preventative costs A'!J248-'Preventative costs B'!J248</f>
        <v>0</v>
      </c>
      <c r="K248" s="35">
        <f>'Preventative costs A'!K248-'Preventative costs B'!K248</f>
        <v>0</v>
      </c>
      <c r="M248" s="4" t="str">
        <f>'Library data'!$G$77</f>
        <v>%</v>
      </c>
    </row>
    <row r="249" spans="1:15" s="6" customFormat="1" x14ac:dyDescent="0.25">
      <c r="A249" s="4" t="str">
        <v>CA CO2</v>
      </c>
      <c r="B249" s="35">
        <f>'Preventative costs A'!B249-'Preventative costs B'!B249</f>
        <v>0</v>
      </c>
      <c r="C249" s="35">
        <f>'Preventative costs A'!C249-'Preventative costs B'!C249</f>
        <v>0</v>
      </c>
      <c r="D249" s="35">
        <f>'Preventative costs A'!D249-'Preventative costs B'!D249</f>
        <v>0</v>
      </c>
      <c r="E249" s="35">
        <f>'Preventative costs A'!E249-'Preventative costs B'!E249</f>
        <v>0</v>
      </c>
      <c r="F249" s="35">
        <f>'Preventative costs A'!F249-'Preventative costs B'!F249</f>
        <v>0</v>
      </c>
      <c r="G249" s="35">
        <f>'Preventative costs A'!G249-'Preventative costs B'!G249</f>
        <v>0</v>
      </c>
      <c r="H249" s="35">
        <f>'Preventative costs A'!H249-'Preventative costs B'!H249</f>
        <v>0</v>
      </c>
      <c r="I249" s="35">
        <f>'Preventative costs A'!I249-'Preventative costs B'!I249</f>
        <v>0</v>
      </c>
      <c r="J249" s="35">
        <f>'Preventative costs A'!J249-'Preventative costs B'!J249</f>
        <v>0</v>
      </c>
      <c r="K249" s="35">
        <f>'Preventative costs A'!K249-'Preventative costs B'!K249</f>
        <v>0</v>
      </c>
      <c r="M249" s="4" t="str">
        <f>'Library data'!$G$77</f>
        <v>%</v>
      </c>
    </row>
    <row r="250" spans="1:15" s="6" customFormat="1" x14ac:dyDescent="0.25">
      <c r="A250" s="4" t="str">
        <v>IA CO2</v>
      </c>
      <c r="B250" s="35">
        <f>'Preventative costs A'!B250-'Preventative costs B'!B250</f>
        <v>0</v>
      </c>
      <c r="C250" s="35">
        <f>'Preventative costs A'!C250-'Preventative costs B'!C250</f>
        <v>0</v>
      </c>
      <c r="D250" s="35">
        <f>'Preventative costs A'!D250-'Preventative costs B'!D250</f>
        <v>0</v>
      </c>
      <c r="E250" s="35">
        <f>'Preventative costs A'!E250-'Preventative costs B'!E250</f>
        <v>0</v>
      </c>
      <c r="F250" s="35">
        <f>'Preventative costs A'!F250-'Preventative costs B'!F250</f>
        <v>0</v>
      </c>
      <c r="G250" s="35">
        <f>'Preventative costs A'!G250-'Preventative costs B'!G250</f>
        <v>0</v>
      </c>
      <c r="H250" s="35">
        <f>'Preventative costs A'!H250-'Preventative costs B'!H250</f>
        <v>0</v>
      </c>
      <c r="I250" s="35">
        <f>'Preventative costs A'!I250-'Preventative costs B'!I250</f>
        <v>0</v>
      </c>
      <c r="J250" s="35">
        <f>'Preventative costs A'!J250-'Preventative costs B'!J250</f>
        <v>0</v>
      </c>
      <c r="K250" s="35">
        <f>'Preventative costs A'!K250-'Preventative costs B'!K250</f>
        <v>0</v>
      </c>
      <c r="M250" s="4" t="str">
        <f>'Library data'!$G$77</f>
        <v>%</v>
      </c>
    </row>
    <row r="251" spans="1:15" s="6" customFormat="1" x14ac:dyDescent="0.25">
      <c r="A251" s="4" t="str">
        <v>AF CO2</v>
      </c>
      <c r="B251" s="35">
        <f>'Preventative costs A'!B251-'Preventative costs B'!B251</f>
        <v>0</v>
      </c>
      <c r="C251" s="35">
        <f>'Preventative costs A'!C251-'Preventative costs B'!C251</f>
        <v>0</v>
      </c>
      <c r="D251" s="35">
        <f>'Preventative costs A'!D251-'Preventative costs B'!D251</f>
        <v>0</v>
      </c>
      <c r="E251" s="35">
        <f>'Preventative costs A'!E251-'Preventative costs B'!E251</f>
        <v>0</v>
      </c>
      <c r="F251" s="35">
        <f>'Preventative costs A'!F251-'Preventative costs B'!F251</f>
        <v>0</v>
      </c>
      <c r="G251" s="35">
        <f>'Preventative costs A'!G251-'Preventative costs B'!G251</f>
        <v>0</v>
      </c>
      <c r="H251" s="35">
        <f>'Preventative costs A'!H251-'Preventative costs B'!H251</f>
        <v>0</v>
      </c>
      <c r="I251" s="35">
        <f>'Preventative costs A'!I251-'Preventative costs B'!I251</f>
        <v>0</v>
      </c>
      <c r="J251" s="35">
        <f>'Preventative costs A'!J251-'Preventative costs B'!J251</f>
        <v>0</v>
      </c>
      <c r="K251" s="35">
        <f>'Preventative costs A'!K251-'Preventative costs B'!K251</f>
        <v>0</v>
      </c>
      <c r="M251" s="4" t="str">
        <f>'Library data'!$G$77</f>
        <v>%</v>
      </c>
    </row>
    <row r="252" spans="1:15" s="6" customFormat="1" ht="13" thickBot="1" x14ac:dyDescent="0.3">
      <c r="A252" s="4" t="str">
        <v>LA CO2</v>
      </c>
      <c r="B252" s="49">
        <f>'Preventative costs A'!B252-'Preventative costs B'!B252</f>
        <v>0</v>
      </c>
      <c r="C252" s="49">
        <f>'Preventative costs A'!C252-'Preventative costs B'!C252</f>
        <v>0</v>
      </c>
      <c r="D252" s="49">
        <f>'Preventative costs A'!D252-'Preventative costs B'!D252</f>
        <v>0</v>
      </c>
      <c r="E252" s="49">
        <f>'Preventative costs A'!E252-'Preventative costs B'!E252</f>
        <v>0</v>
      </c>
      <c r="F252" s="49">
        <f>'Preventative costs A'!F252-'Preventative costs B'!F252</f>
        <v>0</v>
      </c>
      <c r="G252" s="49">
        <f>'Preventative costs A'!G252-'Preventative costs B'!G252</f>
        <v>0</v>
      </c>
      <c r="H252" s="49">
        <f>'Preventative costs A'!H252-'Preventative costs B'!H252</f>
        <v>0</v>
      </c>
      <c r="I252" s="49">
        <f>'Preventative costs A'!I252-'Preventative costs B'!I252</f>
        <v>0</v>
      </c>
      <c r="J252" s="49">
        <f>'Preventative costs A'!J252-'Preventative costs B'!J252</f>
        <v>0</v>
      </c>
      <c r="K252" s="49">
        <f>'Preventative costs A'!K252-'Preventative costs B'!K252</f>
        <v>0</v>
      </c>
      <c r="M252" s="4" t="str">
        <f>'Library data'!$G$77</f>
        <v>%</v>
      </c>
      <c r="O252" s="92"/>
    </row>
    <row r="253" spans="1:15" s="8" customFormat="1" ht="15.5" thickTop="1" x14ac:dyDescent="0.4">
      <c r="A253" s="2" t="s">
        <v>363</v>
      </c>
      <c r="B253" s="2" t="s">
        <v>365</v>
      </c>
    </row>
    <row r="254" spans="1:15" s="7" customFormat="1" x14ac:dyDescent="0.25">
      <c r="A254" s="4" t="str">
        <f t="array" ref="A254:A261">R_CODE&amp;" "&amp;'Base data'!$C$11</f>
        <v>EU CH4</v>
      </c>
      <c r="B254" s="39">
        <f>'Preventative costs A'!B254-'Preventative costs B'!B254</f>
        <v>0</v>
      </c>
      <c r="C254" s="39">
        <f>'Preventative costs A'!C254-'Preventative costs B'!C254</f>
        <v>0</v>
      </c>
      <c r="D254" s="39">
        <f>'Preventative costs A'!D254-'Preventative costs B'!D254</f>
        <v>0</v>
      </c>
      <c r="E254" s="39">
        <f>'Preventative costs A'!E254-'Preventative costs B'!E254</f>
        <v>0</v>
      </c>
      <c r="F254" s="39">
        <f>'Preventative costs A'!F254-'Preventative costs B'!F254</f>
        <v>0</v>
      </c>
      <c r="G254" s="39">
        <f>'Preventative costs A'!G254-'Preventative costs B'!G254</f>
        <v>0</v>
      </c>
      <c r="H254" s="39">
        <f>'Preventative costs A'!H254-'Preventative costs B'!H254</f>
        <v>0</v>
      </c>
      <c r="I254" s="39">
        <f>'Preventative costs A'!I254-'Preventative costs B'!I254</f>
        <v>0</v>
      </c>
      <c r="J254" s="39">
        <f>'Preventative costs A'!J254-'Preventative costs B'!J254</f>
        <v>0</v>
      </c>
      <c r="K254" s="39">
        <f>'Preventative costs A'!K254-'Preventative costs B'!K254</f>
        <v>0</v>
      </c>
      <c r="M254" s="4" t="str">
        <f>'Library data'!$G$77</f>
        <v>%</v>
      </c>
    </row>
    <row r="255" spans="1:15" s="7" customFormat="1" x14ac:dyDescent="0.25">
      <c r="A255" s="4" t="str">
        <v>US CH4</v>
      </c>
      <c r="B255" s="35">
        <f>'Preventative costs A'!B255-'Preventative costs B'!B255</f>
        <v>0</v>
      </c>
      <c r="C255" s="35">
        <f>'Preventative costs A'!C255-'Preventative costs B'!C255</f>
        <v>0</v>
      </c>
      <c r="D255" s="35">
        <f>'Preventative costs A'!D255-'Preventative costs B'!D255</f>
        <v>0</v>
      </c>
      <c r="E255" s="35">
        <f>'Preventative costs A'!E255-'Preventative costs B'!E255</f>
        <v>0</v>
      </c>
      <c r="F255" s="35">
        <f>'Preventative costs A'!F255-'Preventative costs B'!F255</f>
        <v>0</v>
      </c>
      <c r="G255" s="35">
        <f>'Preventative costs A'!G255-'Preventative costs B'!G255</f>
        <v>0</v>
      </c>
      <c r="H255" s="35">
        <f>'Preventative costs A'!H255-'Preventative costs B'!H255</f>
        <v>0</v>
      </c>
      <c r="I255" s="35">
        <f>'Preventative costs A'!I255-'Preventative costs B'!I255</f>
        <v>0</v>
      </c>
      <c r="J255" s="35">
        <f>'Preventative costs A'!J255-'Preventative costs B'!J255</f>
        <v>0</v>
      </c>
      <c r="K255" s="35">
        <f>'Preventative costs A'!K255-'Preventative costs B'!K255</f>
        <v>0</v>
      </c>
      <c r="M255" s="4" t="str">
        <f>'Library data'!$G$77</f>
        <v>%</v>
      </c>
    </row>
    <row r="256" spans="1:15" s="7" customFormat="1" x14ac:dyDescent="0.25">
      <c r="A256" s="4" t="str">
        <v>OT CH4</v>
      </c>
      <c r="B256" s="35">
        <f>'Preventative costs A'!B256-'Preventative costs B'!B256</f>
        <v>0</v>
      </c>
      <c r="C256" s="35">
        <f>'Preventative costs A'!C256-'Preventative costs B'!C256</f>
        <v>0</v>
      </c>
      <c r="D256" s="35">
        <f>'Preventative costs A'!D256-'Preventative costs B'!D256</f>
        <v>0</v>
      </c>
      <c r="E256" s="35">
        <f>'Preventative costs A'!E256-'Preventative costs B'!E256</f>
        <v>0</v>
      </c>
      <c r="F256" s="35">
        <f>'Preventative costs A'!F256-'Preventative costs B'!F256</f>
        <v>0</v>
      </c>
      <c r="G256" s="35">
        <f>'Preventative costs A'!G256-'Preventative costs B'!G256</f>
        <v>0</v>
      </c>
      <c r="H256" s="35">
        <f>'Preventative costs A'!H256-'Preventative costs B'!H256</f>
        <v>0</v>
      </c>
      <c r="I256" s="35">
        <f>'Preventative costs A'!I256-'Preventative costs B'!I256</f>
        <v>0</v>
      </c>
      <c r="J256" s="35">
        <f>'Preventative costs A'!J256-'Preventative costs B'!J256</f>
        <v>0</v>
      </c>
      <c r="K256" s="35">
        <f>'Preventative costs A'!K256-'Preventative costs B'!K256</f>
        <v>0</v>
      </c>
      <c r="M256" s="4" t="str">
        <f>'Library data'!$G$77</f>
        <v>%</v>
      </c>
    </row>
    <row r="257" spans="1:13" s="7" customFormat="1" x14ac:dyDescent="0.25">
      <c r="A257" s="4" t="str">
        <v>EE CH4</v>
      </c>
      <c r="B257" s="35">
        <f>'Preventative costs A'!B257-'Preventative costs B'!B257</f>
        <v>0</v>
      </c>
      <c r="C257" s="35">
        <f>'Preventative costs A'!C257-'Preventative costs B'!C257</f>
        <v>0</v>
      </c>
      <c r="D257" s="35">
        <f>'Preventative costs A'!D257-'Preventative costs B'!D257</f>
        <v>0</v>
      </c>
      <c r="E257" s="35">
        <f>'Preventative costs A'!E257-'Preventative costs B'!E257</f>
        <v>0</v>
      </c>
      <c r="F257" s="35">
        <f>'Preventative costs A'!F257-'Preventative costs B'!F257</f>
        <v>0</v>
      </c>
      <c r="G257" s="35">
        <f>'Preventative costs A'!G257-'Preventative costs B'!G257</f>
        <v>0</v>
      </c>
      <c r="H257" s="35">
        <f>'Preventative costs A'!H257-'Preventative costs B'!H257</f>
        <v>0</v>
      </c>
      <c r="I257" s="35">
        <f>'Preventative costs A'!I257-'Preventative costs B'!I257</f>
        <v>0</v>
      </c>
      <c r="J257" s="35">
        <f>'Preventative costs A'!J257-'Preventative costs B'!J257</f>
        <v>0</v>
      </c>
      <c r="K257" s="35">
        <f>'Preventative costs A'!K257-'Preventative costs B'!K257</f>
        <v>0</v>
      </c>
      <c r="M257" s="4" t="str">
        <f>'Library data'!$G$77</f>
        <v>%</v>
      </c>
    </row>
    <row r="258" spans="1:13" s="7" customFormat="1" x14ac:dyDescent="0.25">
      <c r="A258" s="4" t="str">
        <v>CA CH4</v>
      </c>
      <c r="B258" s="35">
        <f>'Preventative costs A'!B258-'Preventative costs B'!B258</f>
        <v>0</v>
      </c>
      <c r="C258" s="35">
        <f>'Preventative costs A'!C258-'Preventative costs B'!C258</f>
        <v>0</v>
      </c>
      <c r="D258" s="35">
        <f>'Preventative costs A'!D258-'Preventative costs B'!D258</f>
        <v>0</v>
      </c>
      <c r="E258" s="35">
        <f>'Preventative costs A'!E258-'Preventative costs B'!E258</f>
        <v>0</v>
      </c>
      <c r="F258" s="35">
        <f>'Preventative costs A'!F258-'Preventative costs B'!F258</f>
        <v>0</v>
      </c>
      <c r="G258" s="35">
        <f>'Preventative costs A'!G258-'Preventative costs B'!G258</f>
        <v>0</v>
      </c>
      <c r="H258" s="35">
        <f>'Preventative costs A'!H258-'Preventative costs B'!H258</f>
        <v>0</v>
      </c>
      <c r="I258" s="35">
        <f>'Preventative costs A'!I258-'Preventative costs B'!I258</f>
        <v>0</v>
      </c>
      <c r="J258" s="35">
        <f>'Preventative costs A'!J258-'Preventative costs B'!J258</f>
        <v>0</v>
      </c>
      <c r="K258" s="35">
        <f>'Preventative costs A'!K258-'Preventative costs B'!K258</f>
        <v>0</v>
      </c>
      <c r="M258" s="4" t="str">
        <f>'Library data'!$G$77</f>
        <v>%</v>
      </c>
    </row>
    <row r="259" spans="1:13" s="7" customFormat="1" x14ac:dyDescent="0.25">
      <c r="A259" s="4" t="str">
        <v>IA CH4</v>
      </c>
      <c r="B259" s="35">
        <f>'Preventative costs A'!B259-'Preventative costs B'!B259</f>
        <v>0</v>
      </c>
      <c r="C259" s="35">
        <f>'Preventative costs A'!C259-'Preventative costs B'!C259</f>
        <v>0</v>
      </c>
      <c r="D259" s="35">
        <f>'Preventative costs A'!D259-'Preventative costs B'!D259</f>
        <v>0</v>
      </c>
      <c r="E259" s="35">
        <f>'Preventative costs A'!E259-'Preventative costs B'!E259</f>
        <v>0</v>
      </c>
      <c r="F259" s="35">
        <f>'Preventative costs A'!F259-'Preventative costs B'!F259</f>
        <v>0</v>
      </c>
      <c r="G259" s="35">
        <f>'Preventative costs A'!G259-'Preventative costs B'!G259</f>
        <v>0</v>
      </c>
      <c r="H259" s="35">
        <f>'Preventative costs A'!H259-'Preventative costs B'!H259</f>
        <v>0</v>
      </c>
      <c r="I259" s="35">
        <f>'Preventative costs A'!I259-'Preventative costs B'!I259</f>
        <v>0</v>
      </c>
      <c r="J259" s="35">
        <f>'Preventative costs A'!J259-'Preventative costs B'!J259</f>
        <v>0</v>
      </c>
      <c r="K259" s="35">
        <f>'Preventative costs A'!K259-'Preventative costs B'!K259</f>
        <v>0</v>
      </c>
      <c r="M259" s="4" t="str">
        <f>'Library data'!$G$77</f>
        <v>%</v>
      </c>
    </row>
    <row r="260" spans="1:13" s="7" customFormat="1" x14ac:dyDescent="0.25">
      <c r="A260" s="4" t="str">
        <v>AF CH4</v>
      </c>
      <c r="B260" s="35">
        <f>'Preventative costs A'!B260-'Preventative costs B'!B260</f>
        <v>0</v>
      </c>
      <c r="C260" s="35">
        <f>'Preventative costs A'!C260-'Preventative costs B'!C260</f>
        <v>0</v>
      </c>
      <c r="D260" s="35">
        <f>'Preventative costs A'!D260-'Preventative costs B'!D260</f>
        <v>0</v>
      </c>
      <c r="E260" s="35">
        <f>'Preventative costs A'!E260-'Preventative costs B'!E260</f>
        <v>0</v>
      </c>
      <c r="F260" s="35">
        <f>'Preventative costs A'!F260-'Preventative costs B'!F260</f>
        <v>0</v>
      </c>
      <c r="G260" s="35">
        <f>'Preventative costs A'!G260-'Preventative costs B'!G260</f>
        <v>0</v>
      </c>
      <c r="H260" s="35">
        <f>'Preventative costs A'!H260-'Preventative costs B'!H260</f>
        <v>0</v>
      </c>
      <c r="I260" s="35">
        <f>'Preventative costs A'!I260-'Preventative costs B'!I260</f>
        <v>0</v>
      </c>
      <c r="J260" s="35">
        <f>'Preventative costs A'!J260-'Preventative costs B'!J260</f>
        <v>0</v>
      </c>
      <c r="K260" s="35">
        <f>'Preventative costs A'!K260-'Preventative costs B'!K260</f>
        <v>0</v>
      </c>
      <c r="M260" s="4" t="str">
        <f>'Library data'!$G$77</f>
        <v>%</v>
      </c>
    </row>
    <row r="261" spans="1:13" s="7" customFormat="1" ht="13" thickBot="1" x14ac:dyDescent="0.3">
      <c r="A261" s="4" t="str">
        <v>LA CH4</v>
      </c>
      <c r="B261" s="49">
        <f>'Preventative costs A'!B261-'Preventative costs B'!B261</f>
        <v>0</v>
      </c>
      <c r="C261" s="49">
        <f>'Preventative costs A'!C261-'Preventative costs B'!C261</f>
        <v>0</v>
      </c>
      <c r="D261" s="49">
        <f>'Preventative costs A'!D261-'Preventative costs B'!D261</f>
        <v>0</v>
      </c>
      <c r="E261" s="49">
        <f>'Preventative costs A'!E261-'Preventative costs B'!E261</f>
        <v>0</v>
      </c>
      <c r="F261" s="49">
        <f>'Preventative costs A'!F261-'Preventative costs B'!F261</f>
        <v>0</v>
      </c>
      <c r="G261" s="49">
        <f>'Preventative costs A'!G261-'Preventative costs B'!G261</f>
        <v>0</v>
      </c>
      <c r="H261" s="49">
        <f>'Preventative costs A'!H261-'Preventative costs B'!H261</f>
        <v>0</v>
      </c>
      <c r="I261" s="49">
        <f>'Preventative costs A'!I261-'Preventative costs B'!I261</f>
        <v>0</v>
      </c>
      <c r="J261" s="49">
        <f>'Preventative costs A'!J261-'Preventative costs B'!J261</f>
        <v>0</v>
      </c>
      <c r="K261" s="49">
        <f>'Preventative costs A'!K261-'Preventative costs B'!K261</f>
        <v>0</v>
      </c>
      <c r="M261" s="4" t="str">
        <f>'Library data'!$G$77</f>
        <v>%</v>
      </c>
    </row>
    <row r="262" spans="1:13" s="8" customFormat="1" ht="15.5" thickTop="1" x14ac:dyDescent="0.4">
      <c r="A262" s="2" t="s">
        <v>363</v>
      </c>
      <c r="B262" s="2" t="s">
        <v>366</v>
      </c>
    </row>
    <row r="263" spans="1:13" s="7" customFormat="1" x14ac:dyDescent="0.25">
      <c r="A263" s="4" t="str">
        <f t="array" ref="A263:A270">R_CODE&amp;" "&amp;'Base data'!$D$11</f>
        <v>EU N2O</v>
      </c>
      <c r="B263" s="39">
        <f>'Preventative costs A'!B263-'Preventative costs B'!B263</f>
        <v>0</v>
      </c>
      <c r="C263" s="39">
        <f>'Preventative costs A'!C263-'Preventative costs B'!C263</f>
        <v>0</v>
      </c>
      <c r="D263" s="39">
        <f>'Preventative costs A'!D263-'Preventative costs B'!D263</f>
        <v>0</v>
      </c>
      <c r="E263" s="39">
        <f>'Preventative costs A'!E263-'Preventative costs B'!E263</f>
        <v>0</v>
      </c>
      <c r="F263" s="39">
        <f>'Preventative costs A'!F263-'Preventative costs B'!F263</f>
        <v>0</v>
      </c>
      <c r="G263" s="39">
        <f>'Preventative costs A'!G263-'Preventative costs B'!G263</f>
        <v>0</v>
      </c>
      <c r="H263" s="39">
        <f>'Preventative costs A'!H263-'Preventative costs B'!H263</f>
        <v>0</v>
      </c>
      <c r="I263" s="39">
        <f>'Preventative costs A'!I263-'Preventative costs B'!I263</f>
        <v>0</v>
      </c>
      <c r="J263" s="39">
        <f>'Preventative costs A'!J263-'Preventative costs B'!J263</f>
        <v>0</v>
      </c>
      <c r="K263" s="39">
        <f>'Preventative costs A'!K263-'Preventative costs B'!K263</f>
        <v>0</v>
      </c>
      <c r="M263" s="4" t="str">
        <f>'Library data'!$G$77</f>
        <v>%</v>
      </c>
    </row>
    <row r="264" spans="1:13" s="7" customFormat="1" x14ac:dyDescent="0.25">
      <c r="A264" s="4" t="str">
        <v>US N2O</v>
      </c>
      <c r="B264" s="35">
        <f>'Preventative costs A'!B264-'Preventative costs B'!B264</f>
        <v>0</v>
      </c>
      <c r="C264" s="35">
        <f>'Preventative costs A'!C264-'Preventative costs B'!C264</f>
        <v>0</v>
      </c>
      <c r="D264" s="35">
        <f>'Preventative costs A'!D264-'Preventative costs B'!D264</f>
        <v>0</v>
      </c>
      <c r="E264" s="35">
        <f>'Preventative costs A'!E264-'Preventative costs B'!E264</f>
        <v>0</v>
      </c>
      <c r="F264" s="35">
        <f>'Preventative costs A'!F264-'Preventative costs B'!F264</f>
        <v>0</v>
      </c>
      <c r="G264" s="35">
        <f>'Preventative costs A'!G264-'Preventative costs B'!G264</f>
        <v>0</v>
      </c>
      <c r="H264" s="35">
        <f>'Preventative costs A'!H264-'Preventative costs B'!H264</f>
        <v>0</v>
      </c>
      <c r="I264" s="35">
        <f>'Preventative costs A'!I264-'Preventative costs B'!I264</f>
        <v>0</v>
      </c>
      <c r="J264" s="35">
        <f>'Preventative costs A'!J264-'Preventative costs B'!J264</f>
        <v>0</v>
      </c>
      <c r="K264" s="35">
        <f>'Preventative costs A'!K264-'Preventative costs B'!K264</f>
        <v>0</v>
      </c>
      <c r="M264" s="4" t="str">
        <f>'Library data'!$G$77</f>
        <v>%</v>
      </c>
    </row>
    <row r="265" spans="1:13" s="7" customFormat="1" x14ac:dyDescent="0.25">
      <c r="A265" s="4" t="str">
        <v>OT N2O</v>
      </c>
      <c r="B265" s="35">
        <f>'Preventative costs A'!B265-'Preventative costs B'!B265</f>
        <v>0</v>
      </c>
      <c r="C265" s="35">
        <f>'Preventative costs A'!C265-'Preventative costs B'!C265</f>
        <v>0</v>
      </c>
      <c r="D265" s="35">
        <f>'Preventative costs A'!D265-'Preventative costs B'!D265</f>
        <v>0</v>
      </c>
      <c r="E265" s="35">
        <f>'Preventative costs A'!E265-'Preventative costs B'!E265</f>
        <v>0</v>
      </c>
      <c r="F265" s="35">
        <f>'Preventative costs A'!F265-'Preventative costs B'!F265</f>
        <v>0</v>
      </c>
      <c r="G265" s="35">
        <f>'Preventative costs A'!G265-'Preventative costs B'!G265</f>
        <v>0</v>
      </c>
      <c r="H265" s="35">
        <f>'Preventative costs A'!H265-'Preventative costs B'!H265</f>
        <v>0</v>
      </c>
      <c r="I265" s="35">
        <f>'Preventative costs A'!I265-'Preventative costs B'!I265</f>
        <v>0</v>
      </c>
      <c r="J265" s="35">
        <f>'Preventative costs A'!J265-'Preventative costs B'!J265</f>
        <v>0</v>
      </c>
      <c r="K265" s="35">
        <f>'Preventative costs A'!K265-'Preventative costs B'!K265</f>
        <v>0</v>
      </c>
      <c r="M265" s="4" t="str">
        <f>'Library data'!$G$77</f>
        <v>%</v>
      </c>
    </row>
    <row r="266" spans="1:13" s="7" customFormat="1" x14ac:dyDescent="0.25">
      <c r="A266" s="4" t="str">
        <v>EE N2O</v>
      </c>
      <c r="B266" s="35">
        <f>'Preventative costs A'!B266-'Preventative costs B'!B266</f>
        <v>0</v>
      </c>
      <c r="C266" s="35">
        <f>'Preventative costs A'!C266-'Preventative costs B'!C266</f>
        <v>0</v>
      </c>
      <c r="D266" s="35">
        <f>'Preventative costs A'!D266-'Preventative costs B'!D266</f>
        <v>0</v>
      </c>
      <c r="E266" s="35">
        <f>'Preventative costs A'!E266-'Preventative costs B'!E266</f>
        <v>0</v>
      </c>
      <c r="F266" s="35">
        <f>'Preventative costs A'!F266-'Preventative costs B'!F266</f>
        <v>0</v>
      </c>
      <c r="G266" s="35">
        <f>'Preventative costs A'!G266-'Preventative costs B'!G266</f>
        <v>0</v>
      </c>
      <c r="H266" s="35">
        <f>'Preventative costs A'!H266-'Preventative costs B'!H266</f>
        <v>0</v>
      </c>
      <c r="I266" s="35">
        <f>'Preventative costs A'!I266-'Preventative costs B'!I266</f>
        <v>0</v>
      </c>
      <c r="J266" s="35">
        <f>'Preventative costs A'!J266-'Preventative costs B'!J266</f>
        <v>0</v>
      </c>
      <c r="K266" s="35">
        <f>'Preventative costs A'!K266-'Preventative costs B'!K266</f>
        <v>0</v>
      </c>
      <c r="M266" s="4" t="str">
        <f>'Library data'!$G$77</f>
        <v>%</v>
      </c>
    </row>
    <row r="267" spans="1:13" s="7" customFormat="1" x14ac:dyDescent="0.25">
      <c r="A267" s="4" t="str">
        <v>CA N2O</v>
      </c>
      <c r="B267" s="35">
        <f>'Preventative costs A'!B267-'Preventative costs B'!B267</f>
        <v>0</v>
      </c>
      <c r="C267" s="35">
        <f>'Preventative costs A'!C267-'Preventative costs B'!C267</f>
        <v>0</v>
      </c>
      <c r="D267" s="35">
        <f>'Preventative costs A'!D267-'Preventative costs B'!D267</f>
        <v>0</v>
      </c>
      <c r="E267" s="35">
        <f>'Preventative costs A'!E267-'Preventative costs B'!E267</f>
        <v>0</v>
      </c>
      <c r="F267" s="35">
        <f>'Preventative costs A'!F267-'Preventative costs B'!F267</f>
        <v>0</v>
      </c>
      <c r="G267" s="35">
        <f>'Preventative costs A'!G267-'Preventative costs B'!G267</f>
        <v>0</v>
      </c>
      <c r="H267" s="35">
        <f>'Preventative costs A'!H267-'Preventative costs B'!H267</f>
        <v>0</v>
      </c>
      <c r="I267" s="35">
        <f>'Preventative costs A'!I267-'Preventative costs B'!I267</f>
        <v>0</v>
      </c>
      <c r="J267" s="35">
        <f>'Preventative costs A'!J267-'Preventative costs B'!J267</f>
        <v>0</v>
      </c>
      <c r="K267" s="35">
        <f>'Preventative costs A'!K267-'Preventative costs B'!K267</f>
        <v>0</v>
      </c>
      <c r="M267" s="4" t="str">
        <f>'Library data'!$G$77</f>
        <v>%</v>
      </c>
    </row>
    <row r="268" spans="1:13" s="7" customFormat="1" x14ac:dyDescent="0.25">
      <c r="A268" s="4" t="str">
        <v>IA N2O</v>
      </c>
      <c r="B268" s="35">
        <f>'Preventative costs A'!B268-'Preventative costs B'!B268</f>
        <v>0</v>
      </c>
      <c r="C268" s="35">
        <f>'Preventative costs A'!C268-'Preventative costs B'!C268</f>
        <v>0</v>
      </c>
      <c r="D268" s="35">
        <f>'Preventative costs A'!D268-'Preventative costs B'!D268</f>
        <v>0</v>
      </c>
      <c r="E268" s="35">
        <f>'Preventative costs A'!E268-'Preventative costs B'!E268</f>
        <v>0</v>
      </c>
      <c r="F268" s="35">
        <f>'Preventative costs A'!F268-'Preventative costs B'!F268</f>
        <v>0</v>
      </c>
      <c r="G268" s="35">
        <f>'Preventative costs A'!G268-'Preventative costs B'!G268</f>
        <v>0</v>
      </c>
      <c r="H268" s="35">
        <f>'Preventative costs A'!H268-'Preventative costs B'!H268</f>
        <v>0</v>
      </c>
      <c r="I268" s="35">
        <f>'Preventative costs A'!I268-'Preventative costs B'!I268</f>
        <v>0</v>
      </c>
      <c r="J268" s="35">
        <f>'Preventative costs A'!J268-'Preventative costs B'!J268</f>
        <v>0</v>
      </c>
      <c r="K268" s="35">
        <f>'Preventative costs A'!K268-'Preventative costs B'!K268</f>
        <v>0</v>
      </c>
      <c r="M268" s="4" t="str">
        <f>'Library data'!$G$77</f>
        <v>%</v>
      </c>
    </row>
    <row r="269" spans="1:13" s="7" customFormat="1" x14ac:dyDescent="0.25">
      <c r="A269" s="4" t="str">
        <v>AF N2O</v>
      </c>
      <c r="B269" s="35">
        <f>'Preventative costs A'!B269-'Preventative costs B'!B269</f>
        <v>0</v>
      </c>
      <c r="C269" s="35">
        <f>'Preventative costs A'!C269-'Preventative costs B'!C269</f>
        <v>0</v>
      </c>
      <c r="D269" s="35">
        <f>'Preventative costs A'!D269-'Preventative costs B'!D269</f>
        <v>0</v>
      </c>
      <c r="E269" s="35">
        <f>'Preventative costs A'!E269-'Preventative costs B'!E269</f>
        <v>0</v>
      </c>
      <c r="F269" s="35">
        <f>'Preventative costs A'!F269-'Preventative costs B'!F269</f>
        <v>0</v>
      </c>
      <c r="G269" s="35">
        <f>'Preventative costs A'!G269-'Preventative costs B'!G269</f>
        <v>0</v>
      </c>
      <c r="H269" s="35">
        <f>'Preventative costs A'!H269-'Preventative costs B'!H269</f>
        <v>0</v>
      </c>
      <c r="I269" s="35">
        <f>'Preventative costs A'!I269-'Preventative costs B'!I269</f>
        <v>0</v>
      </c>
      <c r="J269" s="35">
        <f>'Preventative costs A'!J269-'Preventative costs B'!J269</f>
        <v>0</v>
      </c>
      <c r="K269" s="35">
        <f>'Preventative costs A'!K269-'Preventative costs B'!K269</f>
        <v>0</v>
      </c>
      <c r="M269" s="4" t="str">
        <f>'Library data'!$G$77</f>
        <v>%</v>
      </c>
    </row>
    <row r="270" spans="1:13" s="7" customFormat="1" ht="13" thickBot="1" x14ac:dyDescent="0.3">
      <c r="A270" s="4" t="str">
        <v>LA N2O</v>
      </c>
      <c r="B270" s="49">
        <f>'Preventative costs A'!B270-'Preventative costs B'!B270</f>
        <v>0</v>
      </c>
      <c r="C270" s="49">
        <f>'Preventative costs A'!C270-'Preventative costs B'!C270</f>
        <v>0</v>
      </c>
      <c r="D270" s="49">
        <f>'Preventative costs A'!D270-'Preventative costs B'!D270</f>
        <v>0</v>
      </c>
      <c r="E270" s="49">
        <f>'Preventative costs A'!E270-'Preventative costs B'!E270</f>
        <v>0</v>
      </c>
      <c r="F270" s="49">
        <f>'Preventative costs A'!F270-'Preventative costs B'!F270</f>
        <v>0</v>
      </c>
      <c r="G270" s="49">
        <f>'Preventative costs A'!G270-'Preventative costs B'!G270</f>
        <v>0</v>
      </c>
      <c r="H270" s="49">
        <f>'Preventative costs A'!H270-'Preventative costs B'!H270</f>
        <v>0</v>
      </c>
      <c r="I270" s="49">
        <f>'Preventative costs A'!I270-'Preventative costs B'!I270</f>
        <v>0</v>
      </c>
      <c r="J270" s="49">
        <f>'Preventative costs A'!J270-'Preventative costs B'!J270</f>
        <v>0</v>
      </c>
      <c r="K270" s="49">
        <f>'Preventative costs A'!K270-'Preventative costs B'!K270</f>
        <v>0</v>
      </c>
      <c r="M270" s="4" t="str">
        <f>'Library data'!$G$77</f>
        <v>%</v>
      </c>
    </row>
    <row r="271" spans="1:13" s="8" customFormat="1" ht="15.5" thickTop="1" x14ac:dyDescent="0.4">
      <c r="A271" s="2" t="s">
        <v>363</v>
      </c>
      <c r="B271" s="2" t="s">
        <v>367</v>
      </c>
    </row>
    <row r="272" spans="1:13" s="7" customFormat="1" x14ac:dyDescent="0.25">
      <c r="A272" s="4" t="str">
        <f t="array" ref="A272:A279">R_CODE&amp;" "&amp;GLIN_NAME</f>
        <v>EU Lin</v>
      </c>
      <c r="B272" s="39">
        <f>'Preventative costs A'!B272-'Preventative costs B'!B272</f>
        <v>0</v>
      </c>
      <c r="C272" s="39">
        <f>'Preventative costs A'!C272-'Preventative costs B'!C272</f>
        <v>0</v>
      </c>
      <c r="D272" s="39">
        <f>'Preventative costs A'!D272-'Preventative costs B'!D272</f>
        <v>0</v>
      </c>
      <c r="E272" s="39">
        <f>'Preventative costs A'!E272-'Preventative costs B'!E272</f>
        <v>0</v>
      </c>
      <c r="F272" s="39">
        <f>'Preventative costs A'!F272-'Preventative costs B'!F272</f>
        <v>0</v>
      </c>
      <c r="G272" s="39">
        <f>'Preventative costs A'!G272-'Preventative costs B'!G272</f>
        <v>0</v>
      </c>
      <c r="H272" s="39">
        <f>'Preventative costs A'!H272-'Preventative costs B'!H272</f>
        <v>0</v>
      </c>
      <c r="I272" s="39">
        <f>'Preventative costs A'!I272-'Preventative costs B'!I272</f>
        <v>0</v>
      </c>
      <c r="J272" s="39">
        <f>'Preventative costs A'!J272-'Preventative costs B'!J272</f>
        <v>0</v>
      </c>
      <c r="K272" s="39">
        <f>'Preventative costs A'!K272-'Preventative costs B'!K272</f>
        <v>0</v>
      </c>
      <c r="M272" s="4" t="str">
        <f>'Library data'!$G$77</f>
        <v>%</v>
      </c>
    </row>
    <row r="273" spans="1:13" s="7" customFormat="1" x14ac:dyDescent="0.25">
      <c r="A273" s="4" t="str">
        <v>US Lin</v>
      </c>
      <c r="B273" s="35">
        <f>'Preventative costs A'!B273-'Preventative costs B'!B273</f>
        <v>0</v>
      </c>
      <c r="C273" s="35">
        <f>'Preventative costs A'!C273-'Preventative costs B'!C273</f>
        <v>0</v>
      </c>
      <c r="D273" s="35">
        <f>'Preventative costs A'!D273-'Preventative costs B'!D273</f>
        <v>0</v>
      </c>
      <c r="E273" s="35">
        <f>'Preventative costs A'!E273-'Preventative costs B'!E273</f>
        <v>0</v>
      </c>
      <c r="F273" s="35">
        <f>'Preventative costs A'!F273-'Preventative costs B'!F273</f>
        <v>0</v>
      </c>
      <c r="G273" s="35">
        <f>'Preventative costs A'!G273-'Preventative costs B'!G273</f>
        <v>0</v>
      </c>
      <c r="H273" s="35">
        <f>'Preventative costs A'!H273-'Preventative costs B'!H273</f>
        <v>0</v>
      </c>
      <c r="I273" s="35">
        <f>'Preventative costs A'!I273-'Preventative costs B'!I273</f>
        <v>0</v>
      </c>
      <c r="J273" s="35">
        <f>'Preventative costs A'!J273-'Preventative costs B'!J273</f>
        <v>0</v>
      </c>
      <c r="K273" s="35">
        <f>'Preventative costs A'!K273-'Preventative costs B'!K273</f>
        <v>0</v>
      </c>
      <c r="M273" s="4" t="str">
        <f>'Library data'!$G$77</f>
        <v>%</v>
      </c>
    </row>
    <row r="274" spans="1:13" s="7" customFormat="1" x14ac:dyDescent="0.25">
      <c r="A274" s="4" t="str">
        <v>OT Lin</v>
      </c>
      <c r="B274" s="35">
        <f>'Preventative costs A'!B274-'Preventative costs B'!B274</f>
        <v>0</v>
      </c>
      <c r="C274" s="35">
        <f>'Preventative costs A'!C274-'Preventative costs B'!C274</f>
        <v>0</v>
      </c>
      <c r="D274" s="35">
        <f>'Preventative costs A'!D274-'Preventative costs B'!D274</f>
        <v>0</v>
      </c>
      <c r="E274" s="35">
        <f>'Preventative costs A'!E274-'Preventative costs B'!E274</f>
        <v>0</v>
      </c>
      <c r="F274" s="35">
        <f>'Preventative costs A'!F274-'Preventative costs B'!F274</f>
        <v>0</v>
      </c>
      <c r="G274" s="35">
        <f>'Preventative costs A'!G274-'Preventative costs B'!G274</f>
        <v>0</v>
      </c>
      <c r="H274" s="35">
        <f>'Preventative costs A'!H274-'Preventative costs B'!H274</f>
        <v>0</v>
      </c>
      <c r="I274" s="35">
        <f>'Preventative costs A'!I274-'Preventative costs B'!I274</f>
        <v>0</v>
      </c>
      <c r="J274" s="35">
        <f>'Preventative costs A'!J274-'Preventative costs B'!J274</f>
        <v>0</v>
      </c>
      <c r="K274" s="35">
        <f>'Preventative costs A'!K274-'Preventative costs B'!K274</f>
        <v>0</v>
      </c>
      <c r="M274" s="4" t="str">
        <f>'Library data'!$G$77</f>
        <v>%</v>
      </c>
    </row>
    <row r="275" spans="1:13" s="7" customFormat="1" x14ac:dyDescent="0.25">
      <c r="A275" s="4" t="str">
        <v>EE Lin</v>
      </c>
      <c r="B275" s="35">
        <f>'Preventative costs A'!B275-'Preventative costs B'!B275</f>
        <v>0</v>
      </c>
      <c r="C275" s="35">
        <f>'Preventative costs A'!C275-'Preventative costs B'!C275</f>
        <v>0</v>
      </c>
      <c r="D275" s="35">
        <f>'Preventative costs A'!D275-'Preventative costs B'!D275</f>
        <v>0</v>
      </c>
      <c r="E275" s="35">
        <f>'Preventative costs A'!E275-'Preventative costs B'!E275</f>
        <v>0</v>
      </c>
      <c r="F275" s="35">
        <f>'Preventative costs A'!F275-'Preventative costs B'!F275</f>
        <v>0</v>
      </c>
      <c r="G275" s="35">
        <f>'Preventative costs A'!G275-'Preventative costs B'!G275</f>
        <v>0</v>
      </c>
      <c r="H275" s="35">
        <f>'Preventative costs A'!H275-'Preventative costs B'!H275</f>
        <v>0</v>
      </c>
      <c r="I275" s="35">
        <f>'Preventative costs A'!I275-'Preventative costs B'!I275</f>
        <v>0</v>
      </c>
      <c r="J275" s="35">
        <f>'Preventative costs A'!J275-'Preventative costs B'!J275</f>
        <v>0</v>
      </c>
      <c r="K275" s="35">
        <f>'Preventative costs A'!K275-'Preventative costs B'!K275</f>
        <v>0</v>
      </c>
      <c r="M275" s="4" t="str">
        <f>'Library data'!$G$77</f>
        <v>%</v>
      </c>
    </row>
    <row r="276" spans="1:13" s="7" customFormat="1" x14ac:dyDescent="0.25">
      <c r="A276" s="4" t="str">
        <v>CA Lin</v>
      </c>
      <c r="B276" s="35">
        <f>'Preventative costs A'!B276-'Preventative costs B'!B276</f>
        <v>0</v>
      </c>
      <c r="C276" s="35">
        <f>'Preventative costs A'!C276-'Preventative costs B'!C276</f>
        <v>0</v>
      </c>
      <c r="D276" s="35">
        <f>'Preventative costs A'!D276-'Preventative costs B'!D276</f>
        <v>0</v>
      </c>
      <c r="E276" s="35">
        <f>'Preventative costs A'!E276-'Preventative costs B'!E276</f>
        <v>0</v>
      </c>
      <c r="F276" s="35">
        <f>'Preventative costs A'!F276-'Preventative costs B'!F276</f>
        <v>0</v>
      </c>
      <c r="G276" s="35">
        <f>'Preventative costs A'!G276-'Preventative costs B'!G276</f>
        <v>0</v>
      </c>
      <c r="H276" s="35">
        <f>'Preventative costs A'!H276-'Preventative costs B'!H276</f>
        <v>0</v>
      </c>
      <c r="I276" s="35">
        <f>'Preventative costs A'!I276-'Preventative costs B'!I276</f>
        <v>0</v>
      </c>
      <c r="J276" s="35">
        <f>'Preventative costs A'!J276-'Preventative costs B'!J276</f>
        <v>0</v>
      </c>
      <c r="K276" s="35">
        <f>'Preventative costs A'!K276-'Preventative costs B'!K276</f>
        <v>0</v>
      </c>
      <c r="M276" s="4" t="str">
        <f>'Library data'!$G$77</f>
        <v>%</v>
      </c>
    </row>
    <row r="277" spans="1:13" s="7" customFormat="1" x14ac:dyDescent="0.25">
      <c r="A277" s="4" t="str">
        <v>IA Lin</v>
      </c>
      <c r="B277" s="35">
        <f>'Preventative costs A'!B277-'Preventative costs B'!B277</f>
        <v>0</v>
      </c>
      <c r="C277" s="35">
        <f>'Preventative costs A'!C277-'Preventative costs B'!C277</f>
        <v>0</v>
      </c>
      <c r="D277" s="35">
        <f>'Preventative costs A'!D277-'Preventative costs B'!D277</f>
        <v>0</v>
      </c>
      <c r="E277" s="35">
        <f>'Preventative costs A'!E277-'Preventative costs B'!E277</f>
        <v>0</v>
      </c>
      <c r="F277" s="35">
        <f>'Preventative costs A'!F277-'Preventative costs B'!F277</f>
        <v>0</v>
      </c>
      <c r="G277" s="35">
        <f>'Preventative costs A'!G277-'Preventative costs B'!G277</f>
        <v>0</v>
      </c>
      <c r="H277" s="35">
        <f>'Preventative costs A'!H277-'Preventative costs B'!H277</f>
        <v>0</v>
      </c>
      <c r="I277" s="35">
        <f>'Preventative costs A'!I277-'Preventative costs B'!I277</f>
        <v>0</v>
      </c>
      <c r="J277" s="35">
        <f>'Preventative costs A'!J277-'Preventative costs B'!J277</f>
        <v>0</v>
      </c>
      <c r="K277" s="35">
        <f>'Preventative costs A'!K277-'Preventative costs B'!K277</f>
        <v>0</v>
      </c>
      <c r="M277" s="4" t="str">
        <f>'Library data'!$G$77</f>
        <v>%</v>
      </c>
    </row>
    <row r="278" spans="1:13" s="7" customFormat="1" x14ac:dyDescent="0.25">
      <c r="A278" s="4" t="str">
        <v>AF Lin</v>
      </c>
      <c r="B278" s="35">
        <f>'Preventative costs A'!B278-'Preventative costs B'!B278</f>
        <v>0</v>
      </c>
      <c r="C278" s="35">
        <f>'Preventative costs A'!C278-'Preventative costs B'!C278</f>
        <v>0</v>
      </c>
      <c r="D278" s="35">
        <f>'Preventative costs A'!D278-'Preventative costs B'!D278</f>
        <v>0</v>
      </c>
      <c r="E278" s="35">
        <f>'Preventative costs A'!E278-'Preventative costs B'!E278</f>
        <v>0</v>
      </c>
      <c r="F278" s="35">
        <f>'Preventative costs A'!F278-'Preventative costs B'!F278</f>
        <v>0</v>
      </c>
      <c r="G278" s="35">
        <f>'Preventative costs A'!G278-'Preventative costs B'!G278</f>
        <v>0</v>
      </c>
      <c r="H278" s="35">
        <f>'Preventative costs A'!H278-'Preventative costs B'!H278</f>
        <v>0</v>
      </c>
      <c r="I278" s="35">
        <f>'Preventative costs A'!I278-'Preventative costs B'!I278</f>
        <v>0</v>
      </c>
      <c r="J278" s="35">
        <f>'Preventative costs A'!J278-'Preventative costs B'!J278</f>
        <v>0</v>
      </c>
      <c r="K278" s="35">
        <f>'Preventative costs A'!K278-'Preventative costs B'!K278</f>
        <v>0</v>
      </c>
      <c r="M278" s="4" t="str">
        <f>'Library data'!$G$77</f>
        <v>%</v>
      </c>
    </row>
    <row r="279" spans="1:13" s="7" customFormat="1" ht="13" thickBot="1" x14ac:dyDescent="0.3">
      <c r="A279" s="4" t="str">
        <v>LA Lin</v>
      </c>
      <c r="B279" s="49">
        <f>'Preventative costs A'!B279-'Preventative costs B'!B279</f>
        <v>0</v>
      </c>
      <c r="C279" s="49">
        <f>'Preventative costs A'!C279-'Preventative costs B'!C279</f>
        <v>0</v>
      </c>
      <c r="D279" s="49">
        <f>'Preventative costs A'!D279-'Preventative costs B'!D279</f>
        <v>0</v>
      </c>
      <c r="E279" s="49">
        <f>'Preventative costs A'!E279-'Preventative costs B'!E279</f>
        <v>0</v>
      </c>
      <c r="F279" s="49">
        <f>'Preventative costs A'!F279-'Preventative costs B'!F279</f>
        <v>0</v>
      </c>
      <c r="G279" s="49">
        <f>'Preventative costs A'!G279-'Preventative costs B'!G279</f>
        <v>0</v>
      </c>
      <c r="H279" s="49">
        <f>'Preventative costs A'!H279-'Preventative costs B'!H279</f>
        <v>0</v>
      </c>
      <c r="I279" s="49">
        <f>'Preventative costs A'!I279-'Preventative costs B'!I279</f>
        <v>0</v>
      </c>
      <c r="J279" s="49">
        <f>'Preventative costs A'!J279-'Preventative costs B'!J279</f>
        <v>0</v>
      </c>
      <c r="K279" s="49">
        <f>'Preventative costs A'!K279-'Preventative costs B'!K279</f>
        <v>0</v>
      </c>
      <c r="M279" s="4" t="str">
        <f>'Library data'!$G$77</f>
        <v>%</v>
      </c>
    </row>
    <row r="280" spans="1:13" s="2" customFormat="1" ht="15.5" thickTop="1" x14ac:dyDescent="0.4">
      <c r="A280" s="2" t="s">
        <v>363</v>
      </c>
      <c r="B280" s="2" t="s">
        <v>368</v>
      </c>
    </row>
    <row r="281" spans="1:13" s="6" customFormat="1" x14ac:dyDescent="0.25">
      <c r="A281" s="4" t="str">
        <f t="array" ref="A281:A288">R_CODE&amp;" "&amp;'Base data'!$B$11</f>
        <v>EU CO2</v>
      </c>
      <c r="B281" s="39">
        <f>'Preventative costs A'!B281-'Preventative costs B'!B281</f>
        <v>0</v>
      </c>
      <c r="C281" s="39">
        <f>'Preventative costs A'!C281-'Preventative costs B'!C281</f>
        <v>0</v>
      </c>
      <c r="D281" s="39">
        <f>'Preventative costs A'!D281-'Preventative costs B'!D281</f>
        <v>0</v>
      </c>
      <c r="E281" s="39">
        <f>'Preventative costs A'!E281-'Preventative costs B'!E281</f>
        <v>0</v>
      </c>
      <c r="F281" s="39">
        <f>'Preventative costs A'!F281-'Preventative costs B'!F281</f>
        <v>0</v>
      </c>
      <c r="G281" s="39">
        <f>'Preventative costs A'!G281-'Preventative costs B'!G281</f>
        <v>0</v>
      </c>
      <c r="H281" s="39">
        <f>'Preventative costs A'!H281-'Preventative costs B'!H281</f>
        <v>0</v>
      </c>
      <c r="I281" s="39">
        <f>'Preventative costs A'!I281-'Preventative costs B'!I281</f>
        <v>0</v>
      </c>
      <c r="J281" s="39">
        <f>'Preventative costs A'!J281-'Preventative costs B'!J281</f>
        <v>0</v>
      </c>
      <c r="K281" s="39">
        <f>'Preventative costs A'!K281-'Preventative costs B'!K281</f>
        <v>0</v>
      </c>
      <c r="M281" s="4" t="str">
        <f t="shared" ref="M281:M288" si="8">EMIT_NAME</f>
        <v>Mtonne</v>
      </c>
    </row>
    <row r="282" spans="1:13" s="6" customFormat="1" x14ac:dyDescent="0.25">
      <c r="A282" s="4" t="str">
        <v>US CO2</v>
      </c>
      <c r="B282" s="35">
        <f>'Preventative costs A'!B282-'Preventative costs B'!B282</f>
        <v>0</v>
      </c>
      <c r="C282" s="35">
        <f>'Preventative costs A'!C282-'Preventative costs B'!C282</f>
        <v>0</v>
      </c>
      <c r="D282" s="35">
        <f>'Preventative costs A'!D282-'Preventative costs B'!D282</f>
        <v>0</v>
      </c>
      <c r="E282" s="35">
        <f>'Preventative costs A'!E282-'Preventative costs B'!E282</f>
        <v>0</v>
      </c>
      <c r="F282" s="35">
        <f>'Preventative costs A'!F282-'Preventative costs B'!F282</f>
        <v>0</v>
      </c>
      <c r="G282" s="35">
        <f>'Preventative costs A'!G282-'Preventative costs B'!G282</f>
        <v>0</v>
      </c>
      <c r="H282" s="35">
        <f>'Preventative costs A'!H282-'Preventative costs B'!H282</f>
        <v>0</v>
      </c>
      <c r="I282" s="35">
        <f>'Preventative costs A'!I282-'Preventative costs B'!I282</f>
        <v>0</v>
      </c>
      <c r="J282" s="35">
        <f>'Preventative costs A'!J282-'Preventative costs B'!J282</f>
        <v>0</v>
      </c>
      <c r="K282" s="35">
        <f>'Preventative costs A'!K282-'Preventative costs B'!K282</f>
        <v>0</v>
      </c>
      <c r="M282" s="4" t="str">
        <f t="shared" si="8"/>
        <v>Mtonne</v>
      </c>
    </row>
    <row r="283" spans="1:13" s="6" customFormat="1" x14ac:dyDescent="0.25">
      <c r="A283" s="4" t="str">
        <v>OT CO2</v>
      </c>
      <c r="B283" s="35">
        <f>'Preventative costs A'!B283-'Preventative costs B'!B283</f>
        <v>0</v>
      </c>
      <c r="C283" s="35">
        <f>'Preventative costs A'!C283-'Preventative costs B'!C283</f>
        <v>0</v>
      </c>
      <c r="D283" s="35">
        <f>'Preventative costs A'!D283-'Preventative costs B'!D283</f>
        <v>0</v>
      </c>
      <c r="E283" s="35">
        <f>'Preventative costs A'!E283-'Preventative costs B'!E283</f>
        <v>0</v>
      </c>
      <c r="F283" s="35">
        <f>'Preventative costs A'!F283-'Preventative costs B'!F283</f>
        <v>0</v>
      </c>
      <c r="G283" s="35">
        <f>'Preventative costs A'!G283-'Preventative costs B'!G283</f>
        <v>0</v>
      </c>
      <c r="H283" s="35">
        <f>'Preventative costs A'!H283-'Preventative costs B'!H283</f>
        <v>0</v>
      </c>
      <c r="I283" s="35">
        <f>'Preventative costs A'!I283-'Preventative costs B'!I283</f>
        <v>0</v>
      </c>
      <c r="J283" s="35">
        <f>'Preventative costs A'!J283-'Preventative costs B'!J283</f>
        <v>0</v>
      </c>
      <c r="K283" s="35">
        <f>'Preventative costs A'!K283-'Preventative costs B'!K283</f>
        <v>0</v>
      </c>
      <c r="M283" s="4" t="str">
        <f t="shared" si="8"/>
        <v>Mtonne</v>
      </c>
    </row>
    <row r="284" spans="1:13" s="6" customFormat="1" x14ac:dyDescent="0.25">
      <c r="A284" s="4" t="str">
        <v>EE CO2</v>
      </c>
      <c r="B284" s="35">
        <f>'Preventative costs A'!B284-'Preventative costs B'!B284</f>
        <v>0</v>
      </c>
      <c r="C284" s="35">
        <f>'Preventative costs A'!C284-'Preventative costs B'!C284</f>
        <v>0</v>
      </c>
      <c r="D284" s="35">
        <f>'Preventative costs A'!D284-'Preventative costs B'!D284</f>
        <v>0</v>
      </c>
      <c r="E284" s="35">
        <f>'Preventative costs A'!E284-'Preventative costs B'!E284</f>
        <v>0</v>
      </c>
      <c r="F284" s="35">
        <f>'Preventative costs A'!F284-'Preventative costs B'!F284</f>
        <v>0</v>
      </c>
      <c r="G284" s="35">
        <f>'Preventative costs A'!G284-'Preventative costs B'!G284</f>
        <v>0</v>
      </c>
      <c r="H284" s="35">
        <f>'Preventative costs A'!H284-'Preventative costs B'!H284</f>
        <v>0</v>
      </c>
      <c r="I284" s="35">
        <f>'Preventative costs A'!I284-'Preventative costs B'!I284</f>
        <v>0</v>
      </c>
      <c r="J284" s="35">
        <f>'Preventative costs A'!J284-'Preventative costs B'!J284</f>
        <v>0</v>
      </c>
      <c r="K284" s="35">
        <f>'Preventative costs A'!K284-'Preventative costs B'!K284</f>
        <v>0</v>
      </c>
      <c r="M284" s="4" t="str">
        <f t="shared" si="8"/>
        <v>Mtonne</v>
      </c>
    </row>
    <row r="285" spans="1:13" s="6" customFormat="1" x14ac:dyDescent="0.25">
      <c r="A285" s="4" t="str">
        <v>CA CO2</v>
      </c>
      <c r="B285" s="35">
        <f>'Preventative costs A'!B285-'Preventative costs B'!B285</f>
        <v>0</v>
      </c>
      <c r="C285" s="35">
        <f>'Preventative costs A'!C285-'Preventative costs B'!C285</f>
        <v>0</v>
      </c>
      <c r="D285" s="35">
        <f>'Preventative costs A'!D285-'Preventative costs B'!D285</f>
        <v>0</v>
      </c>
      <c r="E285" s="35">
        <f>'Preventative costs A'!E285-'Preventative costs B'!E285</f>
        <v>0</v>
      </c>
      <c r="F285" s="35">
        <f>'Preventative costs A'!F285-'Preventative costs B'!F285</f>
        <v>0</v>
      </c>
      <c r="G285" s="35">
        <f>'Preventative costs A'!G285-'Preventative costs B'!G285</f>
        <v>0</v>
      </c>
      <c r="H285" s="35">
        <f>'Preventative costs A'!H285-'Preventative costs B'!H285</f>
        <v>0</v>
      </c>
      <c r="I285" s="35">
        <f>'Preventative costs A'!I285-'Preventative costs B'!I285</f>
        <v>0</v>
      </c>
      <c r="J285" s="35">
        <f>'Preventative costs A'!J285-'Preventative costs B'!J285</f>
        <v>0</v>
      </c>
      <c r="K285" s="35">
        <f>'Preventative costs A'!K285-'Preventative costs B'!K285</f>
        <v>0</v>
      </c>
      <c r="M285" s="4" t="str">
        <f t="shared" si="8"/>
        <v>Mtonne</v>
      </c>
    </row>
    <row r="286" spans="1:13" s="6" customFormat="1" x14ac:dyDescent="0.25">
      <c r="A286" s="4" t="str">
        <v>IA CO2</v>
      </c>
      <c r="B286" s="35">
        <f>'Preventative costs A'!B286-'Preventative costs B'!B286</f>
        <v>0</v>
      </c>
      <c r="C286" s="35">
        <f>'Preventative costs A'!C286-'Preventative costs B'!C286</f>
        <v>0</v>
      </c>
      <c r="D286" s="35">
        <f>'Preventative costs A'!D286-'Preventative costs B'!D286</f>
        <v>0</v>
      </c>
      <c r="E286" s="35">
        <f>'Preventative costs A'!E286-'Preventative costs B'!E286</f>
        <v>0</v>
      </c>
      <c r="F286" s="35">
        <f>'Preventative costs A'!F286-'Preventative costs B'!F286</f>
        <v>0</v>
      </c>
      <c r="G286" s="35">
        <f>'Preventative costs A'!G286-'Preventative costs B'!G286</f>
        <v>0</v>
      </c>
      <c r="H286" s="35">
        <f>'Preventative costs A'!H286-'Preventative costs B'!H286</f>
        <v>0</v>
      </c>
      <c r="I286" s="35">
        <f>'Preventative costs A'!I286-'Preventative costs B'!I286</f>
        <v>0</v>
      </c>
      <c r="J286" s="35">
        <f>'Preventative costs A'!J286-'Preventative costs B'!J286</f>
        <v>0</v>
      </c>
      <c r="K286" s="35">
        <f>'Preventative costs A'!K286-'Preventative costs B'!K286</f>
        <v>0</v>
      </c>
      <c r="M286" s="4" t="str">
        <f t="shared" si="8"/>
        <v>Mtonne</v>
      </c>
    </row>
    <row r="287" spans="1:13" s="6" customFormat="1" x14ac:dyDescent="0.25">
      <c r="A287" s="4" t="str">
        <v>AF CO2</v>
      </c>
      <c r="B287" s="35">
        <f>'Preventative costs A'!B287-'Preventative costs B'!B287</f>
        <v>0</v>
      </c>
      <c r="C287" s="35">
        <f>'Preventative costs A'!C287-'Preventative costs B'!C287</f>
        <v>0</v>
      </c>
      <c r="D287" s="35">
        <f>'Preventative costs A'!D287-'Preventative costs B'!D287</f>
        <v>0</v>
      </c>
      <c r="E287" s="35">
        <f>'Preventative costs A'!E287-'Preventative costs B'!E287</f>
        <v>0</v>
      </c>
      <c r="F287" s="35">
        <f>'Preventative costs A'!F287-'Preventative costs B'!F287</f>
        <v>0</v>
      </c>
      <c r="G287" s="35">
        <f>'Preventative costs A'!G287-'Preventative costs B'!G287</f>
        <v>0</v>
      </c>
      <c r="H287" s="35">
        <f>'Preventative costs A'!H287-'Preventative costs B'!H287</f>
        <v>0</v>
      </c>
      <c r="I287" s="35">
        <f>'Preventative costs A'!I287-'Preventative costs B'!I287</f>
        <v>0</v>
      </c>
      <c r="J287" s="35">
        <f>'Preventative costs A'!J287-'Preventative costs B'!J287</f>
        <v>0</v>
      </c>
      <c r="K287" s="35">
        <f>'Preventative costs A'!K287-'Preventative costs B'!K287</f>
        <v>0</v>
      </c>
      <c r="M287" s="4" t="str">
        <f t="shared" si="8"/>
        <v>Mtonne</v>
      </c>
    </row>
    <row r="288" spans="1:13" s="6" customFormat="1" ht="13" thickBot="1" x14ac:dyDescent="0.3">
      <c r="A288" s="4" t="str">
        <v>LA CO2</v>
      </c>
      <c r="B288" s="49">
        <f>'Preventative costs A'!B288-'Preventative costs B'!B288</f>
        <v>0</v>
      </c>
      <c r="C288" s="49">
        <f>'Preventative costs A'!C288-'Preventative costs B'!C288</f>
        <v>0</v>
      </c>
      <c r="D288" s="49">
        <f>'Preventative costs A'!D288-'Preventative costs B'!D288</f>
        <v>0</v>
      </c>
      <c r="E288" s="49">
        <f>'Preventative costs A'!E288-'Preventative costs B'!E288</f>
        <v>0</v>
      </c>
      <c r="F288" s="49">
        <f>'Preventative costs A'!F288-'Preventative costs B'!F288</f>
        <v>0</v>
      </c>
      <c r="G288" s="49">
        <f>'Preventative costs A'!G288-'Preventative costs B'!G288</f>
        <v>0</v>
      </c>
      <c r="H288" s="49">
        <f>'Preventative costs A'!H288-'Preventative costs B'!H288</f>
        <v>0</v>
      </c>
      <c r="I288" s="49">
        <f>'Preventative costs A'!I288-'Preventative costs B'!I288</f>
        <v>0</v>
      </c>
      <c r="J288" s="49">
        <f>'Preventative costs A'!J288-'Preventative costs B'!J288</f>
        <v>0</v>
      </c>
      <c r="K288" s="49">
        <f>'Preventative costs A'!K288-'Preventative costs B'!K288</f>
        <v>0</v>
      </c>
      <c r="M288" s="4" t="str">
        <f t="shared" si="8"/>
        <v>Mtonne</v>
      </c>
    </row>
    <row r="289" spans="1:13" s="8" customFormat="1" ht="15.5" thickTop="1" x14ac:dyDescent="0.4">
      <c r="A289" s="2" t="s">
        <v>363</v>
      </c>
      <c r="B289" s="2" t="s">
        <v>369</v>
      </c>
    </row>
    <row r="290" spans="1:13" s="7" customFormat="1" x14ac:dyDescent="0.25">
      <c r="A290" s="4" t="str">
        <f t="array" ref="A290:A297">R_CODE&amp;" "&amp;'Base data'!$C$11</f>
        <v>EU CH4</v>
      </c>
      <c r="B290" s="39">
        <f>'Preventative costs A'!B290-'Preventative costs B'!B290</f>
        <v>0</v>
      </c>
      <c r="C290" s="39">
        <f>'Preventative costs A'!C290-'Preventative costs B'!C290</f>
        <v>0</v>
      </c>
      <c r="D290" s="39">
        <f>'Preventative costs A'!D290-'Preventative costs B'!D290</f>
        <v>0</v>
      </c>
      <c r="E290" s="39">
        <f>'Preventative costs A'!E290-'Preventative costs B'!E290</f>
        <v>0</v>
      </c>
      <c r="F290" s="39">
        <f>'Preventative costs A'!F290-'Preventative costs B'!F290</f>
        <v>0</v>
      </c>
      <c r="G290" s="39">
        <f>'Preventative costs A'!G290-'Preventative costs B'!G290</f>
        <v>0</v>
      </c>
      <c r="H290" s="39">
        <f>'Preventative costs A'!H290-'Preventative costs B'!H290</f>
        <v>0</v>
      </c>
      <c r="I290" s="39">
        <f>'Preventative costs A'!I290-'Preventative costs B'!I290</f>
        <v>0</v>
      </c>
      <c r="J290" s="39">
        <f>'Preventative costs A'!J290-'Preventative costs B'!J290</f>
        <v>0</v>
      </c>
      <c r="K290" s="39">
        <f>'Preventative costs A'!K290-'Preventative costs B'!K290</f>
        <v>0</v>
      </c>
      <c r="M290" s="4" t="str">
        <f t="shared" ref="M290:M297" si="9">EMIT_NAME</f>
        <v>Mtonne</v>
      </c>
    </row>
    <row r="291" spans="1:13" s="7" customFormat="1" x14ac:dyDescent="0.25">
      <c r="A291" s="4" t="str">
        <v>US CH4</v>
      </c>
      <c r="B291" s="35">
        <f>'Preventative costs A'!B291-'Preventative costs B'!B291</f>
        <v>0</v>
      </c>
      <c r="C291" s="35">
        <f>'Preventative costs A'!C291-'Preventative costs B'!C291</f>
        <v>0</v>
      </c>
      <c r="D291" s="35">
        <f>'Preventative costs A'!D291-'Preventative costs B'!D291</f>
        <v>0</v>
      </c>
      <c r="E291" s="35">
        <f>'Preventative costs A'!E291-'Preventative costs B'!E291</f>
        <v>0</v>
      </c>
      <c r="F291" s="35">
        <f>'Preventative costs A'!F291-'Preventative costs B'!F291</f>
        <v>0</v>
      </c>
      <c r="G291" s="35">
        <f>'Preventative costs A'!G291-'Preventative costs B'!G291</f>
        <v>0</v>
      </c>
      <c r="H291" s="35">
        <f>'Preventative costs A'!H291-'Preventative costs B'!H291</f>
        <v>0</v>
      </c>
      <c r="I291" s="35">
        <f>'Preventative costs A'!I291-'Preventative costs B'!I291</f>
        <v>0</v>
      </c>
      <c r="J291" s="35">
        <f>'Preventative costs A'!J291-'Preventative costs B'!J291</f>
        <v>0</v>
      </c>
      <c r="K291" s="35">
        <f>'Preventative costs A'!K291-'Preventative costs B'!K291</f>
        <v>0</v>
      </c>
      <c r="M291" s="4" t="str">
        <f t="shared" si="9"/>
        <v>Mtonne</v>
      </c>
    </row>
    <row r="292" spans="1:13" s="7" customFormat="1" x14ac:dyDescent="0.25">
      <c r="A292" s="4" t="str">
        <v>OT CH4</v>
      </c>
      <c r="B292" s="35">
        <f>'Preventative costs A'!B292-'Preventative costs B'!B292</f>
        <v>0</v>
      </c>
      <c r="C292" s="35">
        <f>'Preventative costs A'!C292-'Preventative costs B'!C292</f>
        <v>0</v>
      </c>
      <c r="D292" s="35">
        <f>'Preventative costs A'!D292-'Preventative costs B'!D292</f>
        <v>0</v>
      </c>
      <c r="E292" s="35">
        <f>'Preventative costs A'!E292-'Preventative costs B'!E292</f>
        <v>0</v>
      </c>
      <c r="F292" s="35">
        <f>'Preventative costs A'!F292-'Preventative costs B'!F292</f>
        <v>0</v>
      </c>
      <c r="G292" s="35">
        <f>'Preventative costs A'!G292-'Preventative costs B'!G292</f>
        <v>0</v>
      </c>
      <c r="H292" s="35">
        <f>'Preventative costs A'!H292-'Preventative costs B'!H292</f>
        <v>0</v>
      </c>
      <c r="I292" s="35">
        <f>'Preventative costs A'!I292-'Preventative costs B'!I292</f>
        <v>0</v>
      </c>
      <c r="J292" s="35">
        <f>'Preventative costs A'!J292-'Preventative costs B'!J292</f>
        <v>0</v>
      </c>
      <c r="K292" s="35">
        <f>'Preventative costs A'!K292-'Preventative costs B'!K292</f>
        <v>0</v>
      </c>
      <c r="M292" s="4" t="str">
        <f t="shared" si="9"/>
        <v>Mtonne</v>
      </c>
    </row>
    <row r="293" spans="1:13" s="7" customFormat="1" x14ac:dyDescent="0.25">
      <c r="A293" s="4" t="str">
        <v>EE CH4</v>
      </c>
      <c r="B293" s="35">
        <f>'Preventative costs A'!B293-'Preventative costs B'!B293</f>
        <v>0</v>
      </c>
      <c r="C293" s="35">
        <f>'Preventative costs A'!C293-'Preventative costs B'!C293</f>
        <v>0</v>
      </c>
      <c r="D293" s="35">
        <f>'Preventative costs A'!D293-'Preventative costs B'!D293</f>
        <v>0</v>
      </c>
      <c r="E293" s="35">
        <f>'Preventative costs A'!E293-'Preventative costs B'!E293</f>
        <v>0</v>
      </c>
      <c r="F293" s="35">
        <f>'Preventative costs A'!F293-'Preventative costs B'!F293</f>
        <v>0</v>
      </c>
      <c r="G293" s="35">
        <f>'Preventative costs A'!G293-'Preventative costs B'!G293</f>
        <v>0</v>
      </c>
      <c r="H293" s="35">
        <f>'Preventative costs A'!H293-'Preventative costs B'!H293</f>
        <v>0</v>
      </c>
      <c r="I293" s="35">
        <f>'Preventative costs A'!I293-'Preventative costs B'!I293</f>
        <v>0</v>
      </c>
      <c r="J293" s="35">
        <f>'Preventative costs A'!J293-'Preventative costs B'!J293</f>
        <v>0</v>
      </c>
      <c r="K293" s="35">
        <f>'Preventative costs A'!K293-'Preventative costs B'!K293</f>
        <v>0</v>
      </c>
      <c r="M293" s="4" t="str">
        <f t="shared" si="9"/>
        <v>Mtonne</v>
      </c>
    </row>
    <row r="294" spans="1:13" s="7" customFormat="1" x14ac:dyDescent="0.25">
      <c r="A294" s="4" t="str">
        <v>CA CH4</v>
      </c>
      <c r="B294" s="35">
        <f>'Preventative costs A'!B294-'Preventative costs B'!B294</f>
        <v>0</v>
      </c>
      <c r="C294" s="35">
        <f>'Preventative costs A'!C294-'Preventative costs B'!C294</f>
        <v>0</v>
      </c>
      <c r="D294" s="35">
        <f>'Preventative costs A'!D294-'Preventative costs B'!D294</f>
        <v>0</v>
      </c>
      <c r="E294" s="35">
        <f>'Preventative costs A'!E294-'Preventative costs B'!E294</f>
        <v>0</v>
      </c>
      <c r="F294" s="35">
        <f>'Preventative costs A'!F294-'Preventative costs B'!F294</f>
        <v>0</v>
      </c>
      <c r="G294" s="35">
        <f>'Preventative costs A'!G294-'Preventative costs B'!G294</f>
        <v>0</v>
      </c>
      <c r="H294" s="35">
        <f>'Preventative costs A'!H294-'Preventative costs B'!H294</f>
        <v>0</v>
      </c>
      <c r="I294" s="35">
        <f>'Preventative costs A'!I294-'Preventative costs B'!I294</f>
        <v>0</v>
      </c>
      <c r="J294" s="35">
        <f>'Preventative costs A'!J294-'Preventative costs B'!J294</f>
        <v>0</v>
      </c>
      <c r="K294" s="35">
        <f>'Preventative costs A'!K294-'Preventative costs B'!K294</f>
        <v>0</v>
      </c>
      <c r="M294" s="4" t="str">
        <f t="shared" si="9"/>
        <v>Mtonne</v>
      </c>
    </row>
    <row r="295" spans="1:13" s="7" customFormat="1" x14ac:dyDescent="0.25">
      <c r="A295" s="4" t="str">
        <v>IA CH4</v>
      </c>
      <c r="B295" s="35">
        <f>'Preventative costs A'!B295-'Preventative costs B'!B295</f>
        <v>0</v>
      </c>
      <c r="C295" s="35">
        <f>'Preventative costs A'!C295-'Preventative costs B'!C295</f>
        <v>0</v>
      </c>
      <c r="D295" s="35">
        <f>'Preventative costs A'!D295-'Preventative costs B'!D295</f>
        <v>0</v>
      </c>
      <c r="E295" s="35">
        <f>'Preventative costs A'!E295-'Preventative costs B'!E295</f>
        <v>0</v>
      </c>
      <c r="F295" s="35">
        <f>'Preventative costs A'!F295-'Preventative costs B'!F295</f>
        <v>0</v>
      </c>
      <c r="G295" s="35">
        <f>'Preventative costs A'!G295-'Preventative costs B'!G295</f>
        <v>0</v>
      </c>
      <c r="H295" s="35">
        <f>'Preventative costs A'!H295-'Preventative costs B'!H295</f>
        <v>0</v>
      </c>
      <c r="I295" s="35">
        <f>'Preventative costs A'!I295-'Preventative costs B'!I295</f>
        <v>0</v>
      </c>
      <c r="J295" s="35">
        <f>'Preventative costs A'!J295-'Preventative costs B'!J295</f>
        <v>0</v>
      </c>
      <c r="K295" s="35">
        <f>'Preventative costs A'!K295-'Preventative costs B'!K295</f>
        <v>0</v>
      </c>
      <c r="M295" s="4" t="str">
        <f t="shared" si="9"/>
        <v>Mtonne</v>
      </c>
    </row>
    <row r="296" spans="1:13" s="7" customFormat="1" x14ac:dyDescent="0.25">
      <c r="A296" s="4" t="str">
        <v>AF CH4</v>
      </c>
      <c r="B296" s="35">
        <f>'Preventative costs A'!B296-'Preventative costs B'!B296</f>
        <v>0</v>
      </c>
      <c r="C296" s="35">
        <f>'Preventative costs A'!C296-'Preventative costs B'!C296</f>
        <v>0</v>
      </c>
      <c r="D296" s="35">
        <f>'Preventative costs A'!D296-'Preventative costs B'!D296</f>
        <v>0</v>
      </c>
      <c r="E296" s="35">
        <f>'Preventative costs A'!E296-'Preventative costs B'!E296</f>
        <v>0</v>
      </c>
      <c r="F296" s="35">
        <f>'Preventative costs A'!F296-'Preventative costs B'!F296</f>
        <v>0</v>
      </c>
      <c r="G296" s="35">
        <f>'Preventative costs A'!G296-'Preventative costs B'!G296</f>
        <v>0</v>
      </c>
      <c r="H296" s="35">
        <f>'Preventative costs A'!H296-'Preventative costs B'!H296</f>
        <v>0</v>
      </c>
      <c r="I296" s="35">
        <f>'Preventative costs A'!I296-'Preventative costs B'!I296</f>
        <v>0</v>
      </c>
      <c r="J296" s="35">
        <f>'Preventative costs A'!J296-'Preventative costs B'!J296</f>
        <v>0</v>
      </c>
      <c r="K296" s="35">
        <f>'Preventative costs A'!K296-'Preventative costs B'!K296</f>
        <v>0</v>
      </c>
      <c r="M296" s="4" t="str">
        <f t="shared" si="9"/>
        <v>Mtonne</v>
      </c>
    </row>
    <row r="297" spans="1:13" s="7" customFormat="1" ht="13" thickBot="1" x14ac:dyDescent="0.3">
      <c r="A297" s="4" t="str">
        <v>LA CH4</v>
      </c>
      <c r="B297" s="49">
        <f>'Preventative costs A'!B297-'Preventative costs B'!B297</f>
        <v>0</v>
      </c>
      <c r="C297" s="49">
        <f>'Preventative costs A'!C297-'Preventative costs B'!C297</f>
        <v>0</v>
      </c>
      <c r="D297" s="49">
        <f>'Preventative costs A'!D297-'Preventative costs B'!D297</f>
        <v>0</v>
      </c>
      <c r="E297" s="49">
        <f>'Preventative costs A'!E297-'Preventative costs B'!E297</f>
        <v>0</v>
      </c>
      <c r="F297" s="49">
        <f>'Preventative costs A'!F297-'Preventative costs B'!F297</f>
        <v>0</v>
      </c>
      <c r="G297" s="49">
        <f>'Preventative costs A'!G297-'Preventative costs B'!G297</f>
        <v>0</v>
      </c>
      <c r="H297" s="49">
        <f>'Preventative costs A'!H297-'Preventative costs B'!H297</f>
        <v>0</v>
      </c>
      <c r="I297" s="49">
        <f>'Preventative costs A'!I297-'Preventative costs B'!I297</f>
        <v>0</v>
      </c>
      <c r="J297" s="49">
        <f>'Preventative costs A'!J297-'Preventative costs B'!J297</f>
        <v>0</v>
      </c>
      <c r="K297" s="49">
        <f>'Preventative costs A'!K297-'Preventative costs B'!K297</f>
        <v>0</v>
      </c>
      <c r="M297" s="4" t="str">
        <f t="shared" si="9"/>
        <v>Mtonne</v>
      </c>
    </row>
    <row r="298" spans="1:13" s="8" customFormat="1" ht="15.5" thickTop="1" x14ac:dyDescent="0.4">
      <c r="A298" s="2" t="s">
        <v>363</v>
      </c>
      <c r="B298" s="2" t="s">
        <v>370</v>
      </c>
    </row>
    <row r="299" spans="1:13" s="7" customFormat="1" x14ac:dyDescent="0.25">
      <c r="A299" s="4" t="str">
        <f t="array" ref="A299:A306">R_CODE&amp;" "&amp;'Base data'!$D$11</f>
        <v>EU N2O</v>
      </c>
      <c r="B299" s="39">
        <f>'Preventative costs A'!B299-'Preventative costs B'!B299</f>
        <v>0</v>
      </c>
      <c r="C299" s="39">
        <f>'Preventative costs A'!C299-'Preventative costs B'!C299</f>
        <v>0</v>
      </c>
      <c r="D299" s="39">
        <f>'Preventative costs A'!D299-'Preventative costs B'!D299</f>
        <v>0</v>
      </c>
      <c r="E299" s="39">
        <f>'Preventative costs A'!E299-'Preventative costs B'!E299</f>
        <v>0</v>
      </c>
      <c r="F299" s="39">
        <f>'Preventative costs A'!F299-'Preventative costs B'!F299</f>
        <v>0</v>
      </c>
      <c r="G299" s="39">
        <f>'Preventative costs A'!G299-'Preventative costs B'!G299</f>
        <v>0</v>
      </c>
      <c r="H299" s="39">
        <f>'Preventative costs A'!H299-'Preventative costs B'!H299</f>
        <v>0</v>
      </c>
      <c r="I299" s="39">
        <f>'Preventative costs A'!I299-'Preventative costs B'!I299</f>
        <v>0</v>
      </c>
      <c r="J299" s="39">
        <f>'Preventative costs A'!J299-'Preventative costs B'!J299</f>
        <v>0</v>
      </c>
      <c r="K299" s="39">
        <f>'Preventative costs A'!K299-'Preventative costs B'!K299</f>
        <v>0</v>
      </c>
      <c r="M299" s="4" t="str">
        <f t="shared" ref="M299:M306" si="10">EMIT_NAME</f>
        <v>Mtonne</v>
      </c>
    </row>
    <row r="300" spans="1:13" s="7" customFormat="1" x14ac:dyDescent="0.25">
      <c r="A300" s="4" t="str">
        <v>US N2O</v>
      </c>
      <c r="B300" s="35">
        <f>'Preventative costs A'!B300-'Preventative costs B'!B300</f>
        <v>0</v>
      </c>
      <c r="C300" s="35">
        <f>'Preventative costs A'!C300-'Preventative costs B'!C300</f>
        <v>0</v>
      </c>
      <c r="D300" s="35">
        <f>'Preventative costs A'!D300-'Preventative costs B'!D300</f>
        <v>0</v>
      </c>
      <c r="E300" s="35">
        <f>'Preventative costs A'!E300-'Preventative costs B'!E300</f>
        <v>0</v>
      </c>
      <c r="F300" s="35">
        <f>'Preventative costs A'!F300-'Preventative costs B'!F300</f>
        <v>0</v>
      </c>
      <c r="G300" s="35">
        <f>'Preventative costs A'!G300-'Preventative costs B'!G300</f>
        <v>0</v>
      </c>
      <c r="H300" s="35">
        <f>'Preventative costs A'!H300-'Preventative costs B'!H300</f>
        <v>0</v>
      </c>
      <c r="I300" s="35">
        <f>'Preventative costs A'!I300-'Preventative costs B'!I300</f>
        <v>0</v>
      </c>
      <c r="J300" s="35">
        <f>'Preventative costs A'!J300-'Preventative costs B'!J300</f>
        <v>0</v>
      </c>
      <c r="K300" s="35">
        <f>'Preventative costs A'!K300-'Preventative costs B'!K300</f>
        <v>0</v>
      </c>
      <c r="M300" s="4" t="str">
        <f t="shared" si="10"/>
        <v>Mtonne</v>
      </c>
    </row>
    <row r="301" spans="1:13" s="7" customFormat="1" x14ac:dyDescent="0.25">
      <c r="A301" s="4" t="str">
        <v>OT N2O</v>
      </c>
      <c r="B301" s="35">
        <f>'Preventative costs A'!B301-'Preventative costs B'!B301</f>
        <v>0</v>
      </c>
      <c r="C301" s="35">
        <f>'Preventative costs A'!C301-'Preventative costs B'!C301</f>
        <v>0</v>
      </c>
      <c r="D301" s="35">
        <f>'Preventative costs A'!D301-'Preventative costs B'!D301</f>
        <v>0</v>
      </c>
      <c r="E301" s="35">
        <f>'Preventative costs A'!E301-'Preventative costs B'!E301</f>
        <v>0</v>
      </c>
      <c r="F301" s="35">
        <f>'Preventative costs A'!F301-'Preventative costs B'!F301</f>
        <v>0</v>
      </c>
      <c r="G301" s="35">
        <f>'Preventative costs A'!G301-'Preventative costs B'!G301</f>
        <v>0</v>
      </c>
      <c r="H301" s="35">
        <f>'Preventative costs A'!H301-'Preventative costs B'!H301</f>
        <v>0</v>
      </c>
      <c r="I301" s="35">
        <f>'Preventative costs A'!I301-'Preventative costs B'!I301</f>
        <v>0</v>
      </c>
      <c r="J301" s="35">
        <f>'Preventative costs A'!J301-'Preventative costs B'!J301</f>
        <v>0</v>
      </c>
      <c r="K301" s="35">
        <f>'Preventative costs A'!K301-'Preventative costs B'!K301</f>
        <v>0</v>
      </c>
      <c r="M301" s="4" t="str">
        <f t="shared" si="10"/>
        <v>Mtonne</v>
      </c>
    </row>
    <row r="302" spans="1:13" s="7" customFormat="1" x14ac:dyDescent="0.25">
      <c r="A302" s="4" t="str">
        <v>EE N2O</v>
      </c>
      <c r="B302" s="35">
        <f>'Preventative costs A'!B302-'Preventative costs B'!B302</f>
        <v>0</v>
      </c>
      <c r="C302" s="35">
        <f>'Preventative costs A'!C302-'Preventative costs B'!C302</f>
        <v>0</v>
      </c>
      <c r="D302" s="35">
        <f>'Preventative costs A'!D302-'Preventative costs B'!D302</f>
        <v>0</v>
      </c>
      <c r="E302" s="35">
        <f>'Preventative costs A'!E302-'Preventative costs B'!E302</f>
        <v>0</v>
      </c>
      <c r="F302" s="35">
        <f>'Preventative costs A'!F302-'Preventative costs B'!F302</f>
        <v>0</v>
      </c>
      <c r="G302" s="35">
        <f>'Preventative costs A'!G302-'Preventative costs B'!G302</f>
        <v>0</v>
      </c>
      <c r="H302" s="35">
        <f>'Preventative costs A'!H302-'Preventative costs B'!H302</f>
        <v>0</v>
      </c>
      <c r="I302" s="35">
        <f>'Preventative costs A'!I302-'Preventative costs B'!I302</f>
        <v>0</v>
      </c>
      <c r="J302" s="35">
        <f>'Preventative costs A'!J302-'Preventative costs B'!J302</f>
        <v>0</v>
      </c>
      <c r="K302" s="35">
        <f>'Preventative costs A'!K302-'Preventative costs B'!K302</f>
        <v>0</v>
      </c>
      <c r="M302" s="4" t="str">
        <f t="shared" si="10"/>
        <v>Mtonne</v>
      </c>
    </row>
    <row r="303" spans="1:13" s="7" customFormat="1" x14ac:dyDescent="0.25">
      <c r="A303" s="4" t="str">
        <v>CA N2O</v>
      </c>
      <c r="B303" s="35">
        <f>'Preventative costs A'!B303-'Preventative costs B'!B303</f>
        <v>0</v>
      </c>
      <c r="C303" s="35">
        <f>'Preventative costs A'!C303-'Preventative costs B'!C303</f>
        <v>0</v>
      </c>
      <c r="D303" s="35">
        <f>'Preventative costs A'!D303-'Preventative costs B'!D303</f>
        <v>0</v>
      </c>
      <c r="E303" s="35">
        <f>'Preventative costs A'!E303-'Preventative costs B'!E303</f>
        <v>0</v>
      </c>
      <c r="F303" s="35">
        <f>'Preventative costs A'!F303-'Preventative costs B'!F303</f>
        <v>0</v>
      </c>
      <c r="G303" s="35">
        <f>'Preventative costs A'!G303-'Preventative costs B'!G303</f>
        <v>0</v>
      </c>
      <c r="H303" s="35">
        <f>'Preventative costs A'!H303-'Preventative costs B'!H303</f>
        <v>0</v>
      </c>
      <c r="I303" s="35">
        <f>'Preventative costs A'!I303-'Preventative costs B'!I303</f>
        <v>0</v>
      </c>
      <c r="J303" s="35">
        <f>'Preventative costs A'!J303-'Preventative costs B'!J303</f>
        <v>0</v>
      </c>
      <c r="K303" s="35">
        <f>'Preventative costs A'!K303-'Preventative costs B'!K303</f>
        <v>0</v>
      </c>
      <c r="M303" s="4" t="str">
        <f t="shared" si="10"/>
        <v>Mtonne</v>
      </c>
    </row>
    <row r="304" spans="1:13" s="7" customFormat="1" x14ac:dyDescent="0.25">
      <c r="A304" s="4" t="str">
        <v>IA N2O</v>
      </c>
      <c r="B304" s="35">
        <f>'Preventative costs A'!B304-'Preventative costs B'!B304</f>
        <v>0</v>
      </c>
      <c r="C304" s="35">
        <f>'Preventative costs A'!C304-'Preventative costs B'!C304</f>
        <v>0</v>
      </c>
      <c r="D304" s="35">
        <f>'Preventative costs A'!D304-'Preventative costs B'!D304</f>
        <v>0</v>
      </c>
      <c r="E304" s="35">
        <f>'Preventative costs A'!E304-'Preventative costs B'!E304</f>
        <v>0</v>
      </c>
      <c r="F304" s="35">
        <f>'Preventative costs A'!F304-'Preventative costs B'!F304</f>
        <v>0</v>
      </c>
      <c r="G304" s="35">
        <f>'Preventative costs A'!G304-'Preventative costs B'!G304</f>
        <v>0</v>
      </c>
      <c r="H304" s="35">
        <f>'Preventative costs A'!H304-'Preventative costs B'!H304</f>
        <v>0</v>
      </c>
      <c r="I304" s="35">
        <f>'Preventative costs A'!I304-'Preventative costs B'!I304</f>
        <v>0</v>
      </c>
      <c r="J304" s="35">
        <f>'Preventative costs A'!J304-'Preventative costs B'!J304</f>
        <v>0</v>
      </c>
      <c r="K304" s="35">
        <f>'Preventative costs A'!K304-'Preventative costs B'!K304</f>
        <v>0</v>
      </c>
      <c r="M304" s="4" t="str">
        <f t="shared" si="10"/>
        <v>Mtonne</v>
      </c>
    </row>
    <row r="305" spans="1:13" s="7" customFormat="1" x14ac:dyDescent="0.25">
      <c r="A305" s="4" t="str">
        <v>AF N2O</v>
      </c>
      <c r="B305" s="35">
        <f>'Preventative costs A'!B305-'Preventative costs B'!B305</f>
        <v>0</v>
      </c>
      <c r="C305" s="35">
        <f>'Preventative costs A'!C305-'Preventative costs B'!C305</f>
        <v>0</v>
      </c>
      <c r="D305" s="35">
        <f>'Preventative costs A'!D305-'Preventative costs B'!D305</f>
        <v>0</v>
      </c>
      <c r="E305" s="35">
        <f>'Preventative costs A'!E305-'Preventative costs B'!E305</f>
        <v>0</v>
      </c>
      <c r="F305" s="35">
        <f>'Preventative costs A'!F305-'Preventative costs B'!F305</f>
        <v>0</v>
      </c>
      <c r="G305" s="35">
        <f>'Preventative costs A'!G305-'Preventative costs B'!G305</f>
        <v>0</v>
      </c>
      <c r="H305" s="35">
        <f>'Preventative costs A'!H305-'Preventative costs B'!H305</f>
        <v>0</v>
      </c>
      <c r="I305" s="35">
        <f>'Preventative costs A'!I305-'Preventative costs B'!I305</f>
        <v>0</v>
      </c>
      <c r="J305" s="35">
        <f>'Preventative costs A'!J305-'Preventative costs B'!J305</f>
        <v>0</v>
      </c>
      <c r="K305" s="35">
        <f>'Preventative costs A'!K305-'Preventative costs B'!K305</f>
        <v>0</v>
      </c>
      <c r="M305" s="4" t="str">
        <f t="shared" si="10"/>
        <v>Mtonne</v>
      </c>
    </row>
    <row r="306" spans="1:13" s="7" customFormat="1" ht="13" thickBot="1" x14ac:dyDescent="0.3">
      <c r="A306" s="4" t="str">
        <v>LA N2O</v>
      </c>
      <c r="B306" s="49">
        <f>'Preventative costs A'!B306-'Preventative costs B'!B306</f>
        <v>0</v>
      </c>
      <c r="C306" s="49">
        <f>'Preventative costs A'!C306-'Preventative costs B'!C306</f>
        <v>0</v>
      </c>
      <c r="D306" s="49">
        <f>'Preventative costs A'!D306-'Preventative costs B'!D306</f>
        <v>0</v>
      </c>
      <c r="E306" s="49">
        <f>'Preventative costs A'!E306-'Preventative costs B'!E306</f>
        <v>0</v>
      </c>
      <c r="F306" s="49">
        <f>'Preventative costs A'!F306-'Preventative costs B'!F306</f>
        <v>0</v>
      </c>
      <c r="G306" s="49">
        <f>'Preventative costs A'!G306-'Preventative costs B'!G306</f>
        <v>0</v>
      </c>
      <c r="H306" s="49">
        <f>'Preventative costs A'!H306-'Preventative costs B'!H306</f>
        <v>0</v>
      </c>
      <c r="I306" s="49">
        <f>'Preventative costs A'!I306-'Preventative costs B'!I306</f>
        <v>0</v>
      </c>
      <c r="J306" s="49">
        <f>'Preventative costs A'!J306-'Preventative costs B'!J306</f>
        <v>0</v>
      </c>
      <c r="K306" s="49">
        <f>'Preventative costs A'!K306-'Preventative costs B'!K306</f>
        <v>0</v>
      </c>
      <c r="M306" s="4" t="str">
        <f t="shared" si="10"/>
        <v>Mtonne</v>
      </c>
    </row>
    <row r="307" spans="1:13" s="8" customFormat="1" ht="15.5" thickTop="1" x14ac:dyDescent="0.4">
      <c r="A307" s="2" t="s">
        <v>363</v>
      </c>
      <c r="B307" s="2" t="s">
        <v>371</v>
      </c>
    </row>
    <row r="308" spans="1:13" s="7" customFormat="1" x14ac:dyDescent="0.25">
      <c r="A308" s="4" t="str">
        <f t="array" ref="A308:A315">R_CODE&amp;" "&amp;GLIN_NAME</f>
        <v>EU Lin</v>
      </c>
      <c r="B308" s="39">
        <f>'Preventative costs A'!B308-'Preventative costs B'!B308</f>
        <v>0</v>
      </c>
      <c r="C308" s="39">
        <f>'Preventative costs A'!C308-'Preventative costs B'!C308</f>
        <v>0</v>
      </c>
      <c r="D308" s="39">
        <f>'Preventative costs A'!D308-'Preventative costs B'!D308</f>
        <v>0</v>
      </c>
      <c r="E308" s="39">
        <f>'Preventative costs A'!E308-'Preventative costs B'!E308</f>
        <v>0</v>
      </c>
      <c r="F308" s="39">
        <f>'Preventative costs A'!F308-'Preventative costs B'!F308</f>
        <v>0</v>
      </c>
      <c r="G308" s="39">
        <f>'Preventative costs A'!G308-'Preventative costs B'!G308</f>
        <v>0</v>
      </c>
      <c r="H308" s="39">
        <f>'Preventative costs A'!H308-'Preventative costs B'!H308</f>
        <v>0</v>
      </c>
      <c r="I308" s="39">
        <f>'Preventative costs A'!I308-'Preventative costs B'!I308</f>
        <v>0</v>
      </c>
      <c r="J308" s="39">
        <f>'Preventative costs A'!J308-'Preventative costs B'!J308</f>
        <v>0</v>
      </c>
      <c r="K308" s="39">
        <f>'Preventative costs A'!K308-'Preventative costs B'!K308</f>
        <v>0</v>
      </c>
      <c r="M308" s="4" t="str">
        <f t="shared" ref="M308:M315" si="11">EMIT_NAME</f>
        <v>Mtonne</v>
      </c>
    </row>
    <row r="309" spans="1:13" s="7" customFormat="1" x14ac:dyDescent="0.25">
      <c r="A309" s="4" t="str">
        <v>US Lin</v>
      </c>
      <c r="B309" s="35">
        <f>'Preventative costs A'!B309-'Preventative costs B'!B309</f>
        <v>0</v>
      </c>
      <c r="C309" s="35">
        <f>'Preventative costs A'!C309-'Preventative costs B'!C309</f>
        <v>0</v>
      </c>
      <c r="D309" s="35">
        <f>'Preventative costs A'!D309-'Preventative costs B'!D309</f>
        <v>0</v>
      </c>
      <c r="E309" s="35">
        <f>'Preventative costs A'!E309-'Preventative costs B'!E309</f>
        <v>0</v>
      </c>
      <c r="F309" s="35">
        <f>'Preventative costs A'!F309-'Preventative costs B'!F309</f>
        <v>0</v>
      </c>
      <c r="G309" s="35">
        <f>'Preventative costs A'!G309-'Preventative costs B'!G309</f>
        <v>0</v>
      </c>
      <c r="H309" s="35">
        <f>'Preventative costs A'!H309-'Preventative costs B'!H309</f>
        <v>0</v>
      </c>
      <c r="I309" s="35">
        <f>'Preventative costs A'!I309-'Preventative costs B'!I309</f>
        <v>0</v>
      </c>
      <c r="J309" s="35">
        <f>'Preventative costs A'!J309-'Preventative costs B'!J309</f>
        <v>0</v>
      </c>
      <c r="K309" s="35">
        <f>'Preventative costs A'!K309-'Preventative costs B'!K309</f>
        <v>0</v>
      </c>
      <c r="M309" s="4" t="str">
        <f t="shared" si="11"/>
        <v>Mtonne</v>
      </c>
    </row>
    <row r="310" spans="1:13" s="7" customFormat="1" x14ac:dyDescent="0.25">
      <c r="A310" s="4" t="str">
        <v>OT Lin</v>
      </c>
      <c r="B310" s="35">
        <f>'Preventative costs A'!B310-'Preventative costs B'!B310</f>
        <v>0</v>
      </c>
      <c r="C310" s="35">
        <f>'Preventative costs A'!C310-'Preventative costs B'!C310</f>
        <v>0</v>
      </c>
      <c r="D310" s="35">
        <f>'Preventative costs A'!D310-'Preventative costs B'!D310</f>
        <v>0</v>
      </c>
      <c r="E310" s="35">
        <f>'Preventative costs A'!E310-'Preventative costs B'!E310</f>
        <v>0</v>
      </c>
      <c r="F310" s="35">
        <f>'Preventative costs A'!F310-'Preventative costs B'!F310</f>
        <v>0</v>
      </c>
      <c r="G310" s="35">
        <f>'Preventative costs A'!G310-'Preventative costs B'!G310</f>
        <v>0</v>
      </c>
      <c r="H310" s="35">
        <f>'Preventative costs A'!H310-'Preventative costs B'!H310</f>
        <v>0</v>
      </c>
      <c r="I310" s="35">
        <f>'Preventative costs A'!I310-'Preventative costs B'!I310</f>
        <v>0</v>
      </c>
      <c r="J310" s="35">
        <f>'Preventative costs A'!J310-'Preventative costs B'!J310</f>
        <v>0</v>
      </c>
      <c r="K310" s="35">
        <f>'Preventative costs A'!K310-'Preventative costs B'!K310</f>
        <v>0</v>
      </c>
      <c r="M310" s="4" t="str">
        <f t="shared" si="11"/>
        <v>Mtonne</v>
      </c>
    </row>
    <row r="311" spans="1:13" s="7" customFormat="1" x14ac:dyDescent="0.25">
      <c r="A311" s="4" t="str">
        <v>EE Lin</v>
      </c>
      <c r="B311" s="35">
        <f>'Preventative costs A'!B311-'Preventative costs B'!B311</f>
        <v>0</v>
      </c>
      <c r="C311" s="35">
        <f>'Preventative costs A'!C311-'Preventative costs B'!C311</f>
        <v>0</v>
      </c>
      <c r="D311" s="35">
        <f>'Preventative costs A'!D311-'Preventative costs B'!D311</f>
        <v>0</v>
      </c>
      <c r="E311" s="35">
        <f>'Preventative costs A'!E311-'Preventative costs B'!E311</f>
        <v>0</v>
      </c>
      <c r="F311" s="35">
        <f>'Preventative costs A'!F311-'Preventative costs B'!F311</f>
        <v>0</v>
      </c>
      <c r="G311" s="35">
        <f>'Preventative costs A'!G311-'Preventative costs B'!G311</f>
        <v>0</v>
      </c>
      <c r="H311" s="35">
        <f>'Preventative costs A'!H311-'Preventative costs B'!H311</f>
        <v>0</v>
      </c>
      <c r="I311" s="35">
        <f>'Preventative costs A'!I311-'Preventative costs B'!I311</f>
        <v>0</v>
      </c>
      <c r="J311" s="35">
        <f>'Preventative costs A'!J311-'Preventative costs B'!J311</f>
        <v>0</v>
      </c>
      <c r="K311" s="35">
        <f>'Preventative costs A'!K311-'Preventative costs B'!K311</f>
        <v>0</v>
      </c>
      <c r="M311" s="4" t="str">
        <f t="shared" si="11"/>
        <v>Mtonne</v>
      </c>
    </row>
    <row r="312" spans="1:13" s="7" customFormat="1" x14ac:dyDescent="0.25">
      <c r="A312" s="4" t="str">
        <v>CA Lin</v>
      </c>
      <c r="B312" s="35">
        <f>'Preventative costs A'!B312-'Preventative costs B'!B312</f>
        <v>0</v>
      </c>
      <c r="C312" s="35">
        <f>'Preventative costs A'!C312-'Preventative costs B'!C312</f>
        <v>0</v>
      </c>
      <c r="D312" s="35">
        <f>'Preventative costs A'!D312-'Preventative costs B'!D312</f>
        <v>0</v>
      </c>
      <c r="E312" s="35">
        <f>'Preventative costs A'!E312-'Preventative costs B'!E312</f>
        <v>0</v>
      </c>
      <c r="F312" s="35">
        <f>'Preventative costs A'!F312-'Preventative costs B'!F312</f>
        <v>0</v>
      </c>
      <c r="G312" s="35">
        <f>'Preventative costs A'!G312-'Preventative costs B'!G312</f>
        <v>0</v>
      </c>
      <c r="H312" s="35">
        <f>'Preventative costs A'!H312-'Preventative costs B'!H312</f>
        <v>0</v>
      </c>
      <c r="I312" s="35">
        <f>'Preventative costs A'!I312-'Preventative costs B'!I312</f>
        <v>0</v>
      </c>
      <c r="J312" s="35">
        <f>'Preventative costs A'!J312-'Preventative costs B'!J312</f>
        <v>0</v>
      </c>
      <c r="K312" s="35">
        <f>'Preventative costs A'!K312-'Preventative costs B'!K312</f>
        <v>0</v>
      </c>
      <c r="M312" s="4" t="str">
        <f t="shared" si="11"/>
        <v>Mtonne</v>
      </c>
    </row>
    <row r="313" spans="1:13" s="7" customFormat="1" x14ac:dyDescent="0.25">
      <c r="A313" s="4" t="str">
        <v>IA Lin</v>
      </c>
      <c r="B313" s="35">
        <f>'Preventative costs A'!B313-'Preventative costs B'!B313</f>
        <v>0</v>
      </c>
      <c r="C313" s="35">
        <f>'Preventative costs A'!C313-'Preventative costs B'!C313</f>
        <v>0</v>
      </c>
      <c r="D313" s="35">
        <f>'Preventative costs A'!D313-'Preventative costs B'!D313</f>
        <v>0</v>
      </c>
      <c r="E313" s="35">
        <f>'Preventative costs A'!E313-'Preventative costs B'!E313</f>
        <v>0</v>
      </c>
      <c r="F313" s="35">
        <f>'Preventative costs A'!F313-'Preventative costs B'!F313</f>
        <v>0</v>
      </c>
      <c r="G313" s="35">
        <f>'Preventative costs A'!G313-'Preventative costs B'!G313</f>
        <v>0</v>
      </c>
      <c r="H313" s="35">
        <f>'Preventative costs A'!H313-'Preventative costs B'!H313</f>
        <v>0</v>
      </c>
      <c r="I313" s="35">
        <f>'Preventative costs A'!I313-'Preventative costs B'!I313</f>
        <v>0</v>
      </c>
      <c r="J313" s="35">
        <f>'Preventative costs A'!J313-'Preventative costs B'!J313</f>
        <v>0</v>
      </c>
      <c r="K313" s="35">
        <f>'Preventative costs A'!K313-'Preventative costs B'!K313</f>
        <v>0</v>
      </c>
      <c r="M313" s="4" t="str">
        <f t="shared" si="11"/>
        <v>Mtonne</v>
      </c>
    </row>
    <row r="314" spans="1:13" s="7" customFormat="1" x14ac:dyDescent="0.25">
      <c r="A314" s="4" t="str">
        <v>AF Lin</v>
      </c>
      <c r="B314" s="35">
        <f>'Preventative costs A'!B314-'Preventative costs B'!B314</f>
        <v>0</v>
      </c>
      <c r="C314" s="35">
        <f>'Preventative costs A'!C314-'Preventative costs B'!C314</f>
        <v>0</v>
      </c>
      <c r="D314" s="35">
        <f>'Preventative costs A'!D314-'Preventative costs B'!D314</f>
        <v>0</v>
      </c>
      <c r="E314" s="35">
        <f>'Preventative costs A'!E314-'Preventative costs B'!E314</f>
        <v>0</v>
      </c>
      <c r="F314" s="35">
        <f>'Preventative costs A'!F314-'Preventative costs B'!F314</f>
        <v>0</v>
      </c>
      <c r="G314" s="35">
        <f>'Preventative costs A'!G314-'Preventative costs B'!G314</f>
        <v>0</v>
      </c>
      <c r="H314" s="35">
        <f>'Preventative costs A'!H314-'Preventative costs B'!H314</f>
        <v>0</v>
      </c>
      <c r="I314" s="35">
        <f>'Preventative costs A'!I314-'Preventative costs B'!I314</f>
        <v>0</v>
      </c>
      <c r="J314" s="35">
        <f>'Preventative costs A'!J314-'Preventative costs B'!J314</f>
        <v>0</v>
      </c>
      <c r="K314" s="35">
        <f>'Preventative costs A'!K314-'Preventative costs B'!K314</f>
        <v>0</v>
      </c>
      <c r="M314" s="4" t="str">
        <f t="shared" si="11"/>
        <v>Mtonne</v>
      </c>
    </row>
    <row r="315" spans="1:13" s="7" customFormat="1" ht="13" thickBot="1" x14ac:dyDescent="0.3">
      <c r="A315" s="4" t="str">
        <v>LA Lin</v>
      </c>
      <c r="B315" s="49">
        <f>'Preventative costs A'!B315-'Preventative costs B'!B315</f>
        <v>0</v>
      </c>
      <c r="C315" s="49">
        <f>'Preventative costs A'!C315-'Preventative costs B'!C315</f>
        <v>0</v>
      </c>
      <c r="D315" s="49">
        <f>'Preventative costs A'!D315-'Preventative costs B'!D315</f>
        <v>0</v>
      </c>
      <c r="E315" s="49">
        <f>'Preventative costs A'!E315-'Preventative costs B'!E315</f>
        <v>0</v>
      </c>
      <c r="F315" s="49">
        <f>'Preventative costs A'!F315-'Preventative costs B'!F315</f>
        <v>0</v>
      </c>
      <c r="G315" s="49">
        <f>'Preventative costs A'!G315-'Preventative costs B'!G315</f>
        <v>0</v>
      </c>
      <c r="H315" s="49">
        <f>'Preventative costs A'!H315-'Preventative costs B'!H315</f>
        <v>0</v>
      </c>
      <c r="I315" s="49">
        <f>'Preventative costs A'!I315-'Preventative costs B'!I315</f>
        <v>0</v>
      </c>
      <c r="J315" s="49">
        <f>'Preventative costs A'!J315-'Preventative costs B'!J315</f>
        <v>0</v>
      </c>
      <c r="K315" s="49">
        <f>'Preventative costs A'!K315-'Preventative costs B'!K315</f>
        <v>0</v>
      </c>
      <c r="M315" s="4" t="str">
        <f t="shared" si="11"/>
        <v>Mtonne</v>
      </c>
    </row>
    <row r="316" spans="1:13" s="2" customFormat="1" ht="15.5" thickTop="1" x14ac:dyDescent="0.4">
      <c r="A316" s="2" t="s">
        <v>376</v>
      </c>
      <c r="B316" s="2" t="s">
        <v>377</v>
      </c>
    </row>
    <row r="317" spans="1:13" s="6" customFormat="1" x14ac:dyDescent="0.25">
      <c r="A317" s="4" t="str">
        <f t="array" ref="A317:A324">R_CODE&amp;" "&amp;'Base data'!$B$11</f>
        <v>EU CO2</v>
      </c>
      <c r="B317" s="39">
        <f>'Preventative costs A'!B317-'Preventative costs B'!B317</f>
        <v>0</v>
      </c>
      <c r="C317" s="39">
        <f>'Preventative costs A'!C317-'Preventative costs B'!C317</f>
        <v>0</v>
      </c>
      <c r="D317" s="39">
        <f>'Preventative costs A'!D317-'Preventative costs B'!D317</f>
        <v>0</v>
      </c>
      <c r="E317" s="39">
        <f>'Preventative costs A'!E317-'Preventative costs B'!E317</f>
        <v>0</v>
      </c>
      <c r="F317" s="39">
        <f>'Preventative costs A'!F317-'Preventative costs B'!F317</f>
        <v>0</v>
      </c>
      <c r="G317" s="39">
        <f>'Preventative costs A'!G317-'Preventative costs B'!G317</f>
        <v>0</v>
      </c>
      <c r="H317" s="39">
        <f>'Preventative costs A'!H317-'Preventative costs B'!H317</f>
        <v>0</v>
      </c>
      <c r="I317" s="39">
        <f>'Preventative costs A'!I317-'Preventative costs B'!I317</f>
        <v>0</v>
      </c>
      <c r="J317" s="39">
        <f>'Preventative costs A'!J317-'Preventative costs B'!J317</f>
        <v>0</v>
      </c>
      <c r="K317" s="39">
        <f>'Preventative costs A'!K317-'Preventative costs B'!K317</f>
        <v>0</v>
      </c>
      <c r="M317" s="4" t="str">
        <f t="shared" ref="M317:M324" si="12">EMIT_NAME</f>
        <v>Mtonne</v>
      </c>
    </row>
    <row r="318" spans="1:13" s="6" customFormat="1" x14ac:dyDescent="0.25">
      <c r="A318" s="4" t="str">
        <v>US CO2</v>
      </c>
      <c r="B318" s="35">
        <f>'Preventative costs A'!B318-'Preventative costs B'!B318</f>
        <v>0</v>
      </c>
      <c r="C318" s="35">
        <f>'Preventative costs A'!C318-'Preventative costs B'!C318</f>
        <v>0</v>
      </c>
      <c r="D318" s="35">
        <f>'Preventative costs A'!D318-'Preventative costs B'!D318</f>
        <v>0</v>
      </c>
      <c r="E318" s="35">
        <f>'Preventative costs A'!E318-'Preventative costs B'!E318</f>
        <v>0</v>
      </c>
      <c r="F318" s="35">
        <f>'Preventative costs A'!F318-'Preventative costs B'!F318</f>
        <v>0</v>
      </c>
      <c r="G318" s="35">
        <f>'Preventative costs A'!G318-'Preventative costs B'!G318</f>
        <v>0</v>
      </c>
      <c r="H318" s="35">
        <f>'Preventative costs A'!H318-'Preventative costs B'!H318</f>
        <v>0</v>
      </c>
      <c r="I318" s="35">
        <f>'Preventative costs A'!I318-'Preventative costs B'!I318</f>
        <v>0</v>
      </c>
      <c r="J318" s="35">
        <f>'Preventative costs A'!J318-'Preventative costs B'!J318</f>
        <v>0</v>
      </c>
      <c r="K318" s="35">
        <f>'Preventative costs A'!K318-'Preventative costs B'!K318</f>
        <v>0</v>
      </c>
      <c r="M318" s="4" t="str">
        <f t="shared" si="12"/>
        <v>Mtonne</v>
      </c>
    </row>
    <row r="319" spans="1:13" s="6" customFormat="1" x14ac:dyDescent="0.25">
      <c r="A319" s="4" t="str">
        <v>OT CO2</v>
      </c>
      <c r="B319" s="35">
        <f>'Preventative costs A'!B319-'Preventative costs B'!B319</f>
        <v>0</v>
      </c>
      <c r="C319" s="35">
        <f>'Preventative costs A'!C319-'Preventative costs B'!C319</f>
        <v>0</v>
      </c>
      <c r="D319" s="35">
        <f>'Preventative costs A'!D319-'Preventative costs B'!D319</f>
        <v>0</v>
      </c>
      <c r="E319" s="35">
        <f>'Preventative costs A'!E319-'Preventative costs B'!E319</f>
        <v>0</v>
      </c>
      <c r="F319" s="35">
        <f>'Preventative costs A'!F319-'Preventative costs B'!F319</f>
        <v>0</v>
      </c>
      <c r="G319" s="35">
        <f>'Preventative costs A'!G319-'Preventative costs B'!G319</f>
        <v>0</v>
      </c>
      <c r="H319" s="35">
        <f>'Preventative costs A'!H319-'Preventative costs B'!H319</f>
        <v>0</v>
      </c>
      <c r="I319" s="35">
        <f>'Preventative costs A'!I319-'Preventative costs B'!I319</f>
        <v>0</v>
      </c>
      <c r="J319" s="35">
        <f>'Preventative costs A'!J319-'Preventative costs B'!J319</f>
        <v>0</v>
      </c>
      <c r="K319" s="35">
        <f>'Preventative costs A'!K319-'Preventative costs B'!K319</f>
        <v>0</v>
      </c>
      <c r="M319" s="4" t="str">
        <f t="shared" si="12"/>
        <v>Mtonne</v>
      </c>
    </row>
    <row r="320" spans="1:13" s="6" customFormat="1" x14ac:dyDescent="0.25">
      <c r="A320" s="4" t="str">
        <v>EE CO2</v>
      </c>
      <c r="B320" s="35">
        <f>'Preventative costs A'!B320-'Preventative costs B'!B320</f>
        <v>0</v>
      </c>
      <c r="C320" s="35">
        <f>'Preventative costs A'!C320-'Preventative costs B'!C320</f>
        <v>0</v>
      </c>
      <c r="D320" s="35">
        <f>'Preventative costs A'!D320-'Preventative costs B'!D320</f>
        <v>0</v>
      </c>
      <c r="E320" s="35">
        <f>'Preventative costs A'!E320-'Preventative costs B'!E320</f>
        <v>0</v>
      </c>
      <c r="F320" s="35">
        <f>'Preventative costs A'!F320-'Preventative costs B'!F320</f>
        <v>0</v>
      </c>
      <c r="G320" s="35">
        <f>'Preventative costs A'!G320-'Preventative costs B'!G320</f>
        <v>0</v>
      </c>
      <c r="H320" s="35">
        <f>'Preventative costs A'!H320-'Preventative costs B'!H320</f>
        <v>0</v>
      </c>
      <c r="I320" s="35">
        <f>'Preventative costs A'!I320-'Preventative costs B'!I320</f>
        <v>0</v>
      </c>
      <c r="J320" s="35">
        <f>'Preventative costs A'!J320-'Preventative costs B'!J320</f>
        <v>0</v>
      </c>
      <c r="K320" s="35">
        <f>'Preventative costs A'!K320-'Preventative costs B'!K320</f>
        <v>0</v>
      </c>
      <c r="M320" s="4" t="str">
        <f t="shared" si="12"/>
        <v>Mtonne</v>
      </c>
    </row>
    <row r="321" spans="1:13" s="6" customFormat="1" x14ac:dyDescent="0.25">
      <c r="A321" s="4" t="str">
        <v>CA CO2</v>
      </c>
      <c r="B321" s="35">
        <f>'Preventative costs A'!B321-'Preventative costs B'!B321</f>
        <v>0</v>
      </c>
      <c r="C321" s="35">
        <f>'Preventative costs A'!C321-'Preventative costs B'!C321</f>
        <v>0</v>
      </c>
      <c r="D321" s="35">
        <f>'Preventative costs A'!D321-'Preventative costs B'!D321</f>
        <v>0</v>
      </c>
      <c r="E321" s="35">
        <f>'Preventative costs A'!E321-'Preventative costs B'!E321</f>
        <v>0</v>
      </c>
      <c r="F321" s="35">
        <f>'Preventative costs A'!F321-'Preventative costs B'!F321</f>
        <v>0</v>
      </c>
      <c r="G321" s="35">
        <f>'Preventative costs A'!G321-'Preventative costs B'!G321</f>
        <v>0</v>
      </c>
      <c r="H321" s="35">
        <f>'Preventative costs A'!H321-'Preventative costs B'!H321</f>
        <v>0</v>
      </c>
      <c r="I321" s="35">
        <f>'Preventative costs A'!I321-'Preventative costs B'!I321</f>
        <v>0</v>
      </c>
      <c r="J321" s="35">
        <f>'Preventative costs A'!J321-'Preventative costs B'!J321</f>
        <v>0</v>
      </c>
      <c r="K321" s="35">
        <f>'Preventative costs A'!K321-'Preventative costs B'!K321</f>
        <v>0</v>
      </c>
      <c r="M321" s="4" t="str">
        <f t="shared" si="12"/>
        <v>Mtonne</v>
      </c>
    </row>
    <row r="322" spans="1:13" s="6" customFormat="1" x14ac:dyDescent="0.25">
      <c r="A322" s="4" t="str">
        <v>IA CO2</v>
      </c>
      <c r="B322" s="35">
        <f>'Preventative costs A'!B322-'Preventative costs B'!B322</f>
        <v>0</v>
      </c>
      <c r="C322" s="35">
        <f>'Preventative costs A'!C322-'Preventative costs B'!C322</f>
        <v>0</v>
      </c>
      <c r="D322" s="35">
        <f>'Preventative costs A'!D322-'Preventative costs B'!D322</f>
        <v>0</v>
      </c>
      <c r="E322" s="35">
        <f>'Preventative costs A'!E322-'Preventative costs B'!E322</f>
        <v>0</v>
      </c>
      <c r="F322" s="35">
        <f>'Preventative costs A'!F322-'Preventative costs B'!F322</f>
        <v>0</v>
      </c>
      <c r="G322" s="35">
        <f>'Preventative costs A'!G322-'Preventative costs B'!G322</f>
        <v>0</v>
      </c>
      <c r="H322" s="35">
        <f>'Preventative costs A'!H322-'Preventative costs B'!H322</f>
        <v>0</v>
      </c>
      <c r="I322" s="35">
        <f>'Preventative costs A'!I322-'Preventative costs B'!I322</f>
        <v>0</v>
      </c>
      <c r="J322" s="35">
        <f>'Preventative costs A'!J322-'Preventative costs B'!J322</f>
        <v>0</v>
      </c>
      <c r="K322" s="35">
        <f>'Preventative costs A'!K322-'Preventative costs B'!K322</f>
        <v>0</v>
      </c>
      <c r="M322" s="4" t="str">
        <f t="shared" si="12"/>
        <v>Mtonne</v>
      </c>
    </row>
    <row r="323" spans="1:13" s="6" customFormat="1" x14ac:dyDescent="0.25">
      <c r="A323" s="4" t="str">
        <v>AF CO2</v>
      </c>
      <c r="B323" s="35">
        <f>'Preventative costs A'!B323-'Preventative costs B'!B323</f>
        <v>0</v>
      </c>
      <c r="C323" s="35">
        <f>'Preventative costs A'!C323-'Preventative costs B'!C323</f>
        <v>0</v>
      </c>
      <c r="D323" s="35">
        <f>'Preventative costs A'!D323-'Preventative costs B'!D323</f>
        <v>0</v>
      </c>
      <c r="E323" s="35">
        <f>'Preventative costs A'!E323-'Preventative costs B'!E323</f>
        <v>0</v>
      </c>
      <c r="F323" s="35">
        <f>'Preventative costs A'!F323-'Preventative costs B'!F323</f>
        <v>0</v>
      </c>
      <c r="G323" s="35">
        <f>'Preventative costs A'!G323-'Preventative costs B'!G323</f>
        <v>0</v>
      </c>
      <c r="H323" s="35">
        <f>'Preventative costs A'!H323-'Preventative costs B'!H323</f>
        <v>0</v>
      </c>
      <c r="I323" s="35">
        <f>'Preventative costs A'!I323-'Preventative costs B'!I323</f>
        <v>0</v>
      </c>
      <c r="J323" s="35">
        <f>'Preventative costs A'!J323-'Preventative costs B'!J323</f>
        <v>0</v>
      </c>
      <c r="K323" s="35">
        <f>'Preventative costs A'!K323-'Preventative costs B'!K323</f>
        <v>0</v>
      </c>
      <c r="M323" s="4" t="str">
        <f t="shared" si="12"/>
        <v>Mtonne</v>
      </c>
    </row>
    <row r="324" spans="1:13" s="6" customFormat="1" ht="13" thickBot="1" x14ac:dyDescent="0.3">
      <c r="A324" s="4" t="str">
        <v>LA CO2</v>
      </c>
      <c r="B324" s="49">
        <f>'Preventative costs A'!B324-'Preventative costs B'!B324</f>
        <v>0</v>
      </c>
      <c r="C324" s="49">
        <f>'Preventative costs A'!C324-'Preventative costs B'!C324</f>
        <v>0</v>
      </c>
      <c r="D324" s="49">
        <f>'Preventative costs A'!D324-'Preventative costs B'!D324</f>
        <v>0</v>
      </c>
      <c r="E324" s="49">
        <f>'Preventative costs A'!E324-'Preventative costs B'!E324</f>
        <v>0</v>
      </c>
      <c r="F324" s="49">
        <f>'Preventative costs A'!F324-'Preventative costs B'!F324</f>
        <v>0</v>
      </c>
      <c r="G324" s="49">
        <f>'Preventative costs A'!G324-'Preventative costs B'!G324</f>
        <v>0</v>
      </c>
      <c r="H324" s="49">
        <f>'Preventative costs A'!H324-'Preventative costs B'!H324</f>
        <v>0</v>
      </c>
      <c r="I324" s="49">
        <f>'Preventative costs A'!I324-'Preventative costs B'!I324</f>
        <v>0</v>
      </c>
      <c r="J324" s="49">
        <f>'Preventative costs A'!J324-'Preventative costs B'!J324</f>
        <v>0</v>
      </c>
      <c r="K324" s="49">
        <f>'Preventative costs A'!K324-'Preventative costs B'!K324</f>
        <v>0</v>
      </c>
      <c r="M324" s="4" t="str">
        <f t="shared" si="12"/>
        <v>Mtonne</v>
      </c>
    </row>
    <row r="325" spans="1:13" s="2" customFormat="1" ht="15.5" thickTop="1" x14ac:dyDescent="0.4">
      <c r="A325" s="2" t="s">
        <v>376</v>
      </c>
      <c r="B325" s="2" t="s">
        <v>378</v>
      </c>
    </row>
    <row r="326" spans="1:13" s="7" customFormat="1" x14ac:dyDescent="0.25">
      <c r="A326" s="4" t="str">
        <f t="array" ref="A326:A333">R_CODE&amp;" "&amp;'Base data'!$C$11</f>
        <v>EU CH4</v>
      </c>
      <c r="B326" s="39">
        <f>'Preventative costs A'!B326-'Preventative costs B'!B326</f>
        <v>0</v>
      </c>
      <c r="C326" s="39">
        <f>'Preventative costs A'!C326-'Preventative costs B'!C326</f>
        <v>0</v>
      </c>
      <c r="D326" s="39">
        <f>'Preventative costs A'!D326-'Preventative costs B'!D326</f>
        <v>0</v>
      </c>
      <c r="E326" s="39">
        <f>'Preventative costs A'!E326-'Preventative costs B'!E326</f>
        <v>0</v>
      </c>
      <c r="F326" s="39">
        <f>'Preventative costs A'!F326-'Preventative costs B'!F326</f>
        <v>0</v>
      </c>
      <c r="G326" s="39">
        <f>'Preventative costs A'!G326-'Preventative costs B'!G326</f>
        <v>0</v>
      </c>
      <c r="H326" s="39">
        <f>'Preventative costs A'!H326-'Preventative costs B'!H326</f>
        <v>0</v>
      </c>
      <c r="I326" s="39">
        <f>'Preventative costs A'!I326-'Preventative costs B'!I326</f>
        <v>0</v>
      </c>
      <c r="J326" s="39">
        <f>'Preventative costs A'!J326-'Preventative costs B'!J326</f>
        <v>0</v>
      </c>
      <c r="K326" s="39">
        <f>'Preventative costs A'!K326-'Preventative costs B'!K326</f>
        <v>0</v>
      </c>
      <c r="M326" s="4" t="str">
        <f t="shared" ref="M326:M333" si="13">EMIT_NAME</f>
        <v>Mtonne</v>
      </c>
    </row>
    <row r="327" spans="1:13" s="7" customFormat="1" x14ac:dyDescent="0.25">
      <c r="A327" s="4" t="str">
        <v>US CH4</v>
      </c>
      <c r="B327" s="35">
        <f>'Preventative costs A'!B327-'Preventative costs B'!B327</f>
        <v>0</v>
      </c>
      <c r="C327" s="35">
        <f>'Preventative costs A'!C327-'Preventative costs B'!C327</f>
        <v>0</v>
      </c>
      <c r="D327" s="35">
        <f>'Preventative costs A'!D327-'Preventative costs B'!D327</f>
        <v>0</v>
      </c>
      <c r="E327" s="35">
        <f>'Preventative costs A'!E327-'Preventative costs B'!E327</f>
        <v>0</v>
      </c>
      <c r="F327" s="35">
        <f>'Preventative costs A'!F327-'Preventative costs B'!F327</f>
        <v>0</v>
      </c>
      <c r="G327" s="35">
        <f>'Preventative costs A'!G327-'Preventative costs B'!G327</f>
        <v>0</v>
      </c>
      <c r="H327" s="35">
        <f>'Preventative costs A'!H327-'Preventative costs B'!H327</f>
        <v>0</v>
      </c>
      <c r="I327" s="35">
        <f>'Preventative costs A'!I327-'Preventative costs B'!I327</f>
        <v>0</v>
      </c>
      <c r="J327" s="35">
        <f>'Preventative costs A'!J327-'Preventative costs B'!J327</f>
        <v>0</v>
      </c>
      <c r="K327" s="35">
        <f>'Preventative costs A'!K327-'Preventative costs B'!K327</f>
        <v>0</v>
      </c>
      <c r="M327" s="4" t="str">
        <f t="shared" si="13"/>
        <v>Mtonne</v>
      </c>
    </row>
    <row r="328" spans="1:13" s="7" customFormat="1" x14ac:dyDescent="0.25">
      <c r="A328" s="4" t="str">
        <v>OT CH4</v>
      </c>
      <c r="B328" s="35">
        <f>'Preventative costs A'!B328-'Preventative costs B'!B328</f>
        <v>0</v>
      </c>
      <c r="C328" s="35">
        <f>'Preventative costs A'!C328-'Preventative costs B'!C328</f>
        <v>0</v>
      </c>
      <c r="D328" s="35">
        <f>'Preventative costs A'!D328-'Preventative costs B'!D328</f>
        <v>0</v>
      </c>
      <c r="E328" s="35">
        <f>'Preventative costs A'!E328-'Preventative costs B'!E328</f>
        <v>0</v>
      </c>
      <c r="F328" s="35">
        <f>'Preventative costs A'!F328-'Preventative costs B'!F328</f>
        <v>0</v>
      </c>
      <c r="G328" s="35">
        <f>'Preventative costs A'!G328-'Preventative costs B'!G328</f>
        <v>0</v>
      </c>
      <c r="H328" s="35">
        <f>'Preventative costs A'!H328-'Preventative costs B'!H328</f>
        <v>0</v>
      </c>
      <c r="I328" s="35">
        <f>'Preventative costs A'!I328-'Preventative costs B'!I328</f>
        <v>0</v>
      </c>
      <c r="J328" s="35">
        <f>'Preventative costs A'!J328-'Preventative costs B'!J328</f>
        <v>0</v>
      </c>
      <c r="K328" s="35">
        <f>'Preventative costs A'!K328-'Preventative costs B'!K328</f>
        <v>0</v>
      </c>
      <c r="M328" s="4" t="str">
        <f t="shared" si="13"/>
        <v>Mtonne</v>
      </c>
    </row>
    <row r="329" spans="1:13" s="7" customFormat="1" x14ac:dyDescent="0.25">
      <c r="A329" s="4" t="str">
        <v>EE CH4</v>
      </c>
      <c r="B329" s="35">
        <f>'Preventative costs A'!B329-'Preventative costs B'!B329</f>
        <v>0</v>
      </c>
      <c r="C329" s="35">
        <f>'Preventative costs A'!C329-'Preventative costs B'!C329</f>
        <v>0</v>
      </c>
      <c r="D329" s="35">
        <f>'Preventative costs A'!D329-'Preventative costs B'!D329</f>
        <v>0</v>
      </c>
      <c r="E329" s="35">
        <f>'Preventative costs A'!E329-'Preventative costs B'!E329</f>
        <v>0</v>
      </c>
      <c r="F329" s="35">
        <f>'Preventative costs A'!F329-'Preventative costs B'!F329</f>
        <v>0</v>
      </c>
      <c r="G329" s="35">
        <f>'Preventative costs A'!G329-'Preventative costs B'!G329</f>
        <v>0</v>
      </c>
      <c r="H329" s="35">
        <f>'Preventative costs A'!H329-'Preventative costs B'!H329</f>
        <v>0</v>
      </c>
      <c r="I329" s="35">
        <f>'Preventative costs A'!I329-'Preventative costs B'!I329</f>
        <v>0</v>
      </c>
      <c r="J329" s="35">
        <f>'Preventative costs A'!J329-'Preventative costs B'!J329</f>
        <v>0</v>
      </c>
      <c r="K329" s="35">
        <f>'Preventative costs A'!K329-'Preventative costs B'!K329</f>
        <v>0</v>
      </c>
      <c r="M329" s="4" t="str">
        <f t="shared" si="13"/>
        <v>Mtonne</v>
      </c>
    </row>
    <row r="330" spans="1:13" s="7" customFormat="1" x14ac:dyDescent="0.25">
      <c r="A330" s="4" t="str">
        <v>CA CH4</v>
      </c>
      <c r="B330" s="35">
        <f>'Preventative costs A'!B330-'Preventative costs B'!B330</f>
        <v>0</v>
      </c>
      <c r="C330" s="35">
        <f>'Preventative costs A'!C330-'Preventative costs B'!C330</f>
        <v>0</v>
      </c>
      <c r="D330" s="35">
        <f>'Preventative costs A'!D330-'Preventative costs B'!D330</f>
        <v>0</v>
      </c>
      <c r="E330" s="35">
        <f>'Preventative costs A'!E330-'Preventative costs B'!E330</f>
        <v>0</v>
      </c>
      <c r="F330" s="35">
        <f>'Preventative costs A'!F330-'Preventative costs B'!F330</f>
        <v>0</v>
      </c>
      <c r="G330" s="35">
        <f>'Preventative costs A'!G330-'Preventative costs B'!G330</f>
        <v>0</v>
      </c>
      <c r="H330" s="35">
        <f>'Preventative costs A'!H330-'Preventative costs B'!H330</f>
        <v>0</v>
      </c>
      <c r="I330" s="35">
        <f>'Preventative costs A'!I330-'Preventative costs B'!I330</f>
        <v>0</v>
      </c>
      <c r="J330" s="35">
        <f>'Preventative costs A'!J330-'Preventative costs B'!J330</f>
        <v>0</v>
      </c>
      <c r="K330" s="35">
        <f>'Preventative costs A'!K330-'Preventative costs B'!K330</f>
        <v>0</v>
      </c>
      <c r="M330" s="4" t="str">
        <f t="shared" si="13"/>
        <v>Mtonne</v>
      </c>
    </row>
    <row r="331" spans="1:13" s="7" customFormat="1" x14ac:dyDescent="0.25">
      <c r="A331" s="4" t="str">
        <v>IA CH4</v>
      </c>
      <c r="B331" s="35">
        <f>'Preventative costs A'!B331-'Preventative costs B'!B331</f>
        <v>0</v>
      </c>
      <c r="C331" s="35">
        <f>'Preventative costs A'!C331-'Preventative costs B'!C331</f>
        <v>0</v>
      </c>
      <c r="D331" s="35">
        <f>'Preventative costs A'!D331-'Preventative costs B'!D331</f>
        <v>0</v>
      </c>
      <c r="E331" s="35">
        <f>'Preventative costs A'!E331-'Preventative costs B'!E331</f>
        <v>0</v>
      </c>
      <c r="F331" s="35">
        <f>'Preventative costs A'!F331-'Preventative costs B'!F331</f>
        <v>0</v>
      </c>
      <c r="G331" s="35">
        <f>'Preventative costs A'!G331-'Preventative costs B'!G331</f>
        <v>0</v>
      </c>
      <c r="H331" s="35">
        <f>'Preventative costs A'!H331-'Preventative costs B'!H331</f>
        <v>0</v>
      </c>
      <c r="I331" s="35">
        <f>'Preventative costs A'!I331-'Preventative costs B'!I331</f>
        <v>0</v>
      </c>
      <c r="J331" s="35">
        <f>'Preventative costs A'!J331-'Preventative costs B'!J331</f>
        <v>0</v>
      </c>
      <c r="K331" s="35">
        <f>'Preventative costs A'!K331-'Preventative costs B'!K331</f>
        <v>0</v>
      </c>
      <c r="M331" s="4" t="str">
        <f t="shared" si="13"/>
        <v>Mtonne</v>
      </c>
    </row>
    <row r="332" spans="1:13" s="7" customFormat="1" x14ac:dyDescent="0.25">
      <c r="A332" s="4" t="str">
        <v>AF CH4</v>
      </c>
      <c r="B332" s="35">
        <f>'Preventative costs A'!B332-'Preventative costs B'!B332</f>
        <v>0</v>
      </c>
      <c r="C332" s="35">
        <f>'Preventative costs A'!C332-'Preventative costs B'!C332</f>
        <v>0</v>
      </c>
      <c r="D332" s="35">
        <f>'Preventative costs A'!D332-'Preventative costs B'!D332</f>
        <v>0</v>
      </c>
      <c r="E332" s="35">
        <f>'Preventative costs A'!E332-'Preventative costs B'!E332</f>
        <v>0</v>
      </c>
      <c r="F332" s="35">
        <f>'Preventative costs A'!F332-'Preventative costs B'!F332</f>
        <v>0</v>
      </c>
      <c r="G332" s="35">
        <f>'Preventative costs A'!G332-'Preventative costs B'!G332</f>
        <v>0</v>
      </c>
      <c r="H332" s="35">
        <f>'Preventative costs A'!H332-'Preventative costs B'!H332</f>
        <v>0</v>
      </c>
      <c r="I332" s="35">
        <f>'Preventative costs A'!I332-'Preventative costs B'!I332</f>
        <v>0</v>
      </c>
      <c r="J332" s="35">
        <f>'Preventative costs A'!J332-'Preventative costs B'!J332</f>
        <v>0</v>
      </c>
      <c r="K332" s="35">
        <f>'Preventative costs A'!K332-'Preventative costs B'!K332</f>
        <v>0</v>
      </c>
      <c r="M332" s="4" t="str">
        <f t="shared" si="13"/>
        <v>Mtonne</v>
      </c>
    </row>
    <row r="333" spans="1:13" s="7" customFormat="1" ht="13" thickBot="1" x14ac:dyDescent="0.3">
      <c r="A333" s="4" t="str">
        <v>LA CH4</v>
      </c>
      <c r="B333" s="49">
        <f>'Preventative costs A'!B333-'Preventative costs B'!B333</f>
        <v>0</v>
      </c>
      <c r="C333" s="49">
        <f>'Preventative costs A'!C333-'Preventative costs B'!C333</f>
        <v>0</v>
      </c>
      <c r="D333" s="49">
        <f>'Preventative costs A'!D333-'Preventative costs B'!D333</f>
        <v>0</v>
      </c>
      <c r="E333" s="49">
        <f>'Preventative costs A'!E333-'Preventative costs B'!E333</f>
        <v>0</v>
      </c>
      <c r="F333" s="49">
        <f>'Preventative costs A'!F333-'Preventative costs B'!F333</f>
        <v>0</v>
      </c>
      <c r="G333" s="49">
        <f>'Preventative costs A'!G333-'Preventative costs B'!G333</f>
        <v>0</v>
      </c>
      <c r="H333" s="49">
        <f>'Preventative costs A'!H333-'Preventative costs B'!H333</f>
        <v>0</v>
      </c>
      <c r="I333" s="49">
        <f>'Preventative costs A'!I333-'Preventative costs B'!I333</f>
        <v>0</v>
      </c>
      <c r="J333" s="49">
        <f>'Preventative costs A'!J333-'Preventative costs B'!J333</f>
        <v>0</v>
      </c>
      <c r="K333" s="49">
        <f>'Preventative costs A'!K333-'Preventative costs B'!K333</f>
        <v>0</v>
      </c>
      <c r="M333" s="4" t="str">
        <f t="shared" si="13"/>
        <v>Mtonne</v>
      </c>
    </row>
    <row r="334" spans="1:13" s="2" customFormat="1" ht="15.5" thickTop="1" x14ac:dyDescent="0.4">
      <c r="A334" s="2" t="s">
        <v>376</v>
      </c>
      <c r="B334" s="2" t="s">
        <v>379</v>
      </c>
    </row>
    <row r="335" spans="1:13" s="7" customFormat="1" x14ac:dyDescent="0.25">
      <c r="A335" s="4" t="str">
        <f t="array" ref="A335:A342">R_CODE&amp;" "&amp;'Base data'!$D$11</f>
        <v>EU N2O</v>
      </c>
      <c r="B335" s="39">
        <f>'Preventative costs A'!B335-'Preventative costs B'!B335</f>
        <v>0</v>
      </c>
      <c r="C335" s="39">
        <f>'Preventative costs A'!C335-'Preventative costs B'!C335</f>
        <v>0</v>
      </c>
      <c r="D335" s="39">
        <f>'Preventative costs A'!D335-'Preventative costs B'!D335</f>
        <v>0</v>
      </c>
      <c r="E335" s="39">
        <f>'Preventative costs A'!E335-'Preventative costs B'!E335</f>
        <v>0</v>
      </c>
      <c r="F335" s="39">
        <f>'Preventative costs A'!F335-'Preventative costs B'!F335</f>
        <v>0</v>
      </c>
      <c r="G335" s="39">
        <f>'Preventative costs A'!G335-'Preventative costs B'!G335</f>
        <v>0</v>
      </c>
      <c r="H335" s="39">
        <f>'Preventative costs A'!H335-'Preventative costs B'!H335</f>
        <v>0</v>
      </c>
      <c r="I335" s="39">
        <f>'Preventative costs A'!I335-'Preventative costs B'!I335</f>
        <v>0</v>
      </c>
      <c r="J335" s="39">
        <f>'Preventative costs A'!J335-'Preventative costs B'!J335</f>
        <v>0</v>
      </c>
      <c r="K335" s="39">
        <f>'Preventative costs A'!K335-'Preventative costs B'!K335</f>
        <v>0</v>
      </c>
      <c r="M335" s="4" t="str">
        <f t="shared" ref="M335:M342" si="14">EMIT_NAME</f>
        <v>Mtonne</v>
      </c>
    </row>
    <row r="336" spans="1:13" s="7" customFormat="1" x14ac:dyDescent="0.25">
      <c r="A336" s="4" t="str">
        <v>US N2O</v>
      </c>
      <c r="B336" s="35">
        <f>'Preventative costs A'!B336-'Preventative costs B'!B336</f>
        <v>0</v>
      </c>
      <c r="C336" s="35">
        <f>'Preventative costs A'!C336-'Preventative costs B'!C336</f>
        <v>0</v>
      </c>
      <c r="D336" s="35">
        <f>'Preventative costs A'!D336-'Preventative costs B'!D336</f>
        <v>0</v>
      </c>
      <c r="E336" s="35">
        <f>'Preventative costs A'!E336-'Preventative costs B'!E336</f>
        <v>0</v>
      </c>
      <c r="F336" s="35">
        <f>'Preventative costs A'!F336-'Preventative costs B'!F336</f>
        <v>0</v>
      </c>
      <c r="G336" s="35">
        <f>'Preventative costs A'!G336-'Preventative costs B'!G336</f>
        <v>0</v>
      </c>
      <c r="H336" s="35">
        <f>'Preventative costs A'!H336-'Preventative costs B'!H336</f>
        <v>0</v>
      </c>
      <c r="I336" s="35">
        <f>'Preventative costs A'!I336-'Preventative costs B'!I336</f>
        <v>0</v>
      </c>
      <c r="J336" s="35">
        <f>'Preventative costs A'!J336-'Preventative costs B'!J336</f>
        <v>0</v>
      </c>
      <c r="K336" s="35">
        <f>'Preventative costs A'!K336-'Preventative costs B'!K336</f>
        <v>0</v>
      </c>
      <c r="M336" s="4" t="str">
        <f t="shared" si="14"/>
        <v>Mtonne</v>
      </c>
    </row>
    <row r="337" spans="1:13" s="7" customFormat="1" x14ac:dyDescent="0.25">
      <c r="A337" s="4" t="str">
        <v>OT N2O</v>
      </c>
      <c r="B337" s="35">
        <f>'Preventative costs A'!B337-'Preventative costs B'!B337</f>
        <v>0</v>
      </c>
      <c r="C337" s="35">
        <f>'Preventative costs A'!C337-'Preventative costs B'!C337</f>
        <v>0</v>
      </c>
      <c r="D337" s="35">
        <f>'Preventative costs A'!D337-'Preventative costs B'!D337</f>
        <v>0</v>
      </c>
      <c r="E337" s="35">
        <f>'Preventative costs A'!E337-'Preventative costs B'!E337</f>
        <v>0</v>
      </c>
      <c r="F337" s="35">
        <f>'Preventative costs A'!F337-'Preventative costs B'!F337</f>
        <v>0</v>
      </c>
      <c r="G337" s="35">
        <f>'Preventative costs A'!G337-'Preventative costs B'!G337</f>
        <v>0</v>
      </c>
      <c r="H337" s="35">
        <f>'Preventative costs A'!H337-'Preventative costs B'!H337</f>
        <v>0</v>
      </c>
      <c r="I337" s="35">
        <f>'Preventative costs A'!I337-'Preventative costs B'!I337</f>
        <v>0</v>
      </c>
      <c r="J337" s="35">
        <f>'Preventative costs A'!J337-'Preventative costs B'!J337</f>
        <v>0</v>
      </c>
      <c r="K337" s="35">
        <f>'Preventative costs A'!K337-'Preventative costs B'!K337</f>
        <v>0</v>
      </c>
      <c r="M337" s="4" t="str">
        <f t="shared" si="14"/>
        <v>Mtonne</v>
      </c>
    </row>
    <row r="338" spans="1:13" s="7" customFormat="1" x14ac:dyDescent="0.25">
      <c r="A338" s="4" t="str">
        <v>EE N2O</v>
      </c>
      <c r="B338" s="35">
        <f>'Preventative costs A'!B338-'Preventative costs B'!B338</f>
        <v>0</v>
      </c>
      <c r="C338" s="35">
        <f>'Preventative costs A'!C338-'Preventative costs B'!C338</f>
        <v>0</v>
      </c>
      <c r="D338" s="35">
        <f>'Preventative costs A'!D338-'Preventative costs B'!D338</f>
        <v>0</v>
      </c>
      <c r="E338" s="35">
        <f>'Preventative costs A'!E338-'Preventative costs B'!E338</f>
        <v>0</v>
      </c>
      <c r="F338" s="35">
        <f>'Preventative costs A'!F338-'Preventative costs B'!F338</f>
        <v>0</v>
      </c>
      <c r="G338" s="35">
        <f>'Preventative costs A'!G338-'Preventative costs B'!G338</f>
        <v>0</v>
      </c>
      <c r="H338" s="35">
        <f>'Preventative costs A'!H338-'Preventative costs B'!H338</f>
        <v>0</v>
      </c>
      <c r="I338" s="35">
        <f>'Preventative costs A'!I338-'Preventative costs B'!I338</f>
        <v>0</v>
      </c>
      <c r="J338" s="35">
        <f>'Preventative costs A'!J338-'Preventative costs B'!J338</f>
        <v>0</v>
      </c>
      <c r="K338" s="35">
        <f>'Preventative costs A'!K338-'Preventative costs B'!K338</f>
        <v>0</v>
      </c>
      <c r="M338" s="4" t="str">
        <f t="shared" si="14"/>
        <v>Mtonne</v>
      </c>
    </row>
    <row r="339" spans="1:13" s="7" customFormat="1" x14ac:dyDescent="0.25">
      <c r="A339" s="4" t="str">
        <v>CA N2O</v>
      </c>
      <c r="B339" s="35">
        <f>'Preventative costs A'!B339-'Preventative costs B'!B339</f>
        <v>0</v>
      </c>
      <c r="C339" s="35">
        <f>'Preventative costs A'!C339-'Preventative costs B'!C339</f>
        <v>0</v>
      </c>
      <c r="D339" s="35">
        <f>'Preventative costs A'!D339-'Preventative costs B'!D339</f>
        <v>0</v>
      </c>
      <c r="E339" s="35">
        <f>'Preventative costs A'!E339-'Preventative costs B'!E339</f>
        <v>0</v>
      </c>
      <c r="F339" s="35">
        <f>'Preventative costs A'!F339-'Preventative costs B'!F339</f>
        <v>0</v>
      </c>
      <c r="G339" s="35">
        <f>'Preventative costs A'!G339-'Preventative costs B'!G339</f>
        <v>0</v>
      </c>
      <c r="H339" s="35">
        <f>'Preventative costs A'!H339-'Preventative costs B'!H339</f>
        <v>0</v>
      </c>
      <c r="I339" s="35">
        <f>'Preventative costs A'!I339-'Preventative costs B'!I339</f>
        <v>0</v>
      </c>
      <c r="J339" s="35">
        <f>'Preventative costs A'!J339-'Preventative costs B'!J339</f>
        <v>0</v>
      </c>
      <c r="K339" s="35">
        <f>'Preventative costs A'!K339-'Preventative costs B'!K339</f>
        <v>0</v>
      </c>
      <c r="M339" s="4" t="str">
        <f t="shared" si="14"/>
        <v>Mtonne</v>
      </c>
    </row>
    <row r="340" spans="1:13" s="7" customFormat="1" x14ac:dyDescent="0.25">
      <c r="A340" s="4" t="str">
        <v>IA N2O</v>
      </c>
      <c r="B340" s="35">
        <f>'Preventative costs A'!B340-'Preventative costs B'!B340</f>
        <v>0</v>
      </c>
      <c r="C340" s="35">
        <f>'Preventative costs A'!C340-'Preventative costs B'!C340</f>
        <v>0</v>
      </c>
      <c r="D340" s="35">
        <f>'Preventative costs A'!D340-'Preventative costs B'!D340</f>
        <v>0</v>
      </c>
      <c r="E340" s="35">
        <f>'Preventative costs A'!E340-'Preventative costs B'!E340</f>
        <v>0</v>
      </c>
      <c r="F340" s="35">
        <f>'Preventative costs A'!F340-'Preventative costs B'!F340</f>
        <v>0</v>
      </c>
      <c r="G340" s="35">
        <f>'Preventative costs A'!G340-'Preventative costs B'!G340</f>
        <v>0</v>
      </c>
      <c r="H340" s="35">
        <f>'Preventative costs A'!H340-'Preventative costs B'!H340</f>
        <v>0</v>
      </c>
      <c r="I340" s="35">
        <f>'Preventative costs A'!I340-'Preventative costs B'!I340</f>
        <v>0</v>
      </c>
      <c r="J340" s="35">
        <f>'Preventative costs A'!J340-'Preventative costs B'!J340</f>
        <v>0</v>
      </c>
      <c r="K340" s="35">
        <f>'Preventative costs A'!K340-'Preventative costs B'!K340</f>
        <v>0</v>
      </c>
      <c r="M340" s="4" t="str">
        <f t="shared" si="14"/>
        <v>Mtonne</v>
      </c>
    </row>
    <row r="341" spans="1:13" s="7" customFormat="1" x14ac:dyDescent="0.25">
      <c r="A341" s="4" t="str">
        <v>AF N2O</v>
      </c>
      <c r="B341" s="35">
        <f>'Preventative costs A'!B341-'Preventative costs B'!B341</f>
        <v>0</v>
      </c>
      <c r="C341" s="35">
        <f>'Preventative costs A'!C341-'Preventative costs B'!C341</f>
        <v>0</v>
      </c>
      <c r="D341" s="35">
        <f>'Preventative costs A'!D341-'Preventative costs B'!D341</f>
        <v>0</v>
      </c>
      <c r="E341" s="35">
        <f>'Preventative costs A'!E341-'Preventative costs B'!E341</f>
        <v>0</v>
      </c>
      <c r="F341" s="35">
        <f>'Preventative costs A'!F341-'Preventative costs B'!F341</f>
        <v>0</v>
      </c>
      <c r="G341" s="35">
        <f>'Preventative costs A'!G341-'Preventative costs B'!G341</f>
        <v>0</v>
      </c>
      <c r="H341" s="35">
        <f>'Preventative costs A'!H341-'Preventative costs B'!H341</f>
        <v>0</v>
      </c>
      <c r="I341" s="35">
        <f>'Preventative costs A'!I341-'Preventative costs B'!I341</f>
        <v>0</v>
      </c>
      <c r="J341" s="35">
        <f>'Preventative costs A'!J341-'Preventative costs B'!J341</f>
        <v>0</v>
      </c>
      <c r="K341" s="35">
        <f>'Preventative costs A'!K341-'Preventative costs B'!K341</f>
        <v>0</v>
      </c>
      <c r="M341" s="4" t="str">
        <f t="shared" si="14"/>
        <v>Mtonne</v>
      </c>
    </row>
    <row r="342" spans="1:13" s="7" customFormat="1" ht="13" thickBot="1" x14ac:dyDescent="0.3">
      <c r="A342" s="4" t="str">
        <v>LA N2O</v>
      </c>
      <c r="B342" s="49">
        <f>'Preventative costs A'!B342-'Preventative costs B'!B342</f>
        <v>0</v>
      </c>
      <c r="C342" s="49">
        <f>'Preventative costs A'!C342-'Preventative costs B'!C342</f>
        <v>0</v>
      </c>
      <c r="D342" s="49">
        <f>'Preventative costs A'!D342-'Preventative costs B'!D342</f>
        <v>0</v>
      </c>
      <c r="E342" s="49">
        <f>'Preventative costs A'!E342-'Preventative costs B'!E342</f>
        <v>0</v>
      </c>
      <c r="F342" s="49">
        <f>'Preventative costs A'!F342-'Preventative costs B'!F342</f>
        <v>0</v>
      </c>
      <c r="G342" s="49">
        <f>'Preventative costs A'!G342-'Preventative costs B'!G342</f>
        <v>0</v>
      </c>
      <c r="H342" s="49">
        <f>'Preventative costs A'!H342-'Preventative costs B'!H342</f>
        <v>0</v>
      </c>
      <c r="I342" s="49">
        <f>'Preventative costs A'!I342-'Preventative costs B'!I342</f>
        <v>0</v>
      </c>
      <c r="J342" s="49">
        <f>'Preventative costs A'!J342-'Preventative costs B'!J342</f>
        <v>0</v>
      </c>
      <c r="K342" s="49">
        <f>'Preventative costs A'!K342-'Preventative costs B'!K342</f>
        <v>0</v>
      </c>
      <c r="M342" s="4" t="str">
        <f t="shared" si="14"/>
        <v>Mtonne</v>
      </c>
    </row>
    <row r="343" spans="1:13" s="2" customFormat="1" ht="15.5" thickTop="1" x14ac:dyDescent="0.4">
      <c r="A343" s="2" t="s">
        <v>376</v>
      </c>
      <c r="B343" s="2" t="s">
        <v>380</v>
      </c>
    </row>
    <row r="344" spans="1:13" s="7" customFormat="1" x14ac:dyDescent="0.25">
      <c r="A344" s="4" t="str">
        <f t="array" ref="A344:A351">R_CODE&amp;" "&amp;GLIN_NAME</f>
        <v>EU Lin</v>
      </c>
      <c r="B344" s="39">
        <f>'Preventative costs A'!B344-'Preventative costs B'!B344</f>
        <v>0</v>
      </c>
      <c r="C344" s="39">
        <f>'Preventative costs A'!C344-'Preventative costs B'!C344</f>
        <v>0</v>
      </c>
      <c r="D344" s="39">
        <f>'Preventative costs A'!D344-'Preventative costs B'!D344</f>
        <v>0</v>
      </c>
      <c r="E344" s="39">
        <f>'Preventative costs A'!E344-'Preventative costs B'!E344</f>
        <v>0</v>
      </c>
      <c r="F344" s="39">
        <f>'Preventative costs A'!F344-'Preventative costs B'!F344</f>
        <v>0</v>
      </c>
      <c r="G344" s="39">
        <f>'Preventative costs A'!G344-'Preventative costs B'!G344</f>
        <v>0</v>
      </c>
      <c r="H344" s="39">
        <f>'Preventative costs A'!H344-'Preventative costs B'!H344</f>
        <v>0</v>
      </c>
      <c r="I344" s="39">
        <f>'Preventative costs A'!I344-'Preventative costs B'!I344</f>
        <v>0</v>
      </c>
      <c r="J344" s="39">
        <f>'Preventative costs A'!J344-'Preventative costs B'!J344</f>
        <v>0</v>
      </c>
      <c r="K344" s="39">
        <f>'Preventative costs A'!K344-'Preventative costs B'!K344</f>
        <v>0</v>
      </c>
      <c r="M344" s="4" t="str">
        <f t="shared" ref="M344:M351" si="15">EMIT_NAME</f>
        <v>Mtonne</v>
      </c>
    </row>
    <row r="345" spans="1:13" s="7" customFormat="1" x14ac:dyDescent="0.25">
      <c r="A345" s="4" t="str">
        <v>US Lin</v>
      </c>
      <c r="B345" s="35">
        <f>'Preventative costs A'!B345-'Preventative costs B'!B345</f>
        <v>0</v>
      </c>
      <c r="C345" s="35">
        <f>'Preventative costs A'!C345-'Preventative costs B'!C345</f>
        <v>0</v>
      </c>
      <c r="D345" s="35">
        <f>'Preventative costs A'!D345-'Preventative costs B'!D345</f>
        <v>0</v>
      </c>
      <c r="E345" s="35">
        <f>'Preventative costs A'!E345-'Preventative costs B'!E345</f>
        <v>0</v>
      </c>
      <c r="F345" s="35">
        <f>'Preventative costs A'!F345-'Preventative costs B'!F345</f>
        <v>0</v>
      </c>
      <c r="G345" s="35">
        <f>'Preventative costs A'!G345-'Preventative costs B'!G345</f>
        <v>0</v>
      </c>
      <c r="H345" s="35">
        <f>'Preventative costs A'!H345-'Preventative costs B'!H345</f>
        <v>0</v>
      </c>
      <c r="I345" s="35">
        <f>'Preventative costs A'!I345-'Preventative costs B'!I345</f>
        <v>0</v>
      </c>
      <c r="J345" s="35">
        <f>'Preventative costs A'!J345-'Preventative costs B'!J345</f>
        <v>0</v>
      </c>
      <c r="K345" s="35">
        <f>'Preventative costs A'!K345-'Preventative costs B'!K345</f>
        <v>0</v>
      </c>
      <c r="M345" s="4" t="str">
        <f t="shared" si="15"/>
        <v>Mtonne</v>
      </c>
    </row>
    <row r="346" spans="1:13" s="7" customFormat="1" x14ac:dyDescent="0.25">
      <c r="A346" s="4" t="str">
        <v>OT Lin</v>
      </c>
      <c r="B346" s="35">
        <f>'Preventative costs A'!B346-'Preventative costs B'!B346</f>
        <v>0</v>
      </c>
      <c r="C346" s="35">
        <f>'Preventative costs A'!C346-'Preventative costs B'!C346</f>
        <v>0</v>
      </c>
      <c r="D346" s="35">
        <f>'Preventative costs A'!D346-'Preventative costs B'!D346</f>
        <v>0</v>
      </c>
      <c r="E346" s="35">
        <f>'Preventative costs A'!E346-'Preventative costs B'!E346</f>
        <v>0</v>
      </c>
      <c r="F346" s="35">
        <f>'Preventative costs A'!F346-'Preventative costs B'!F346</f>
        <v>0</v>
      </c>
      <c r="G346" s="35">
        <f>'Preventative costs A'!G346-'Preventative costs B'!G346</f>
        <v>0</v>
      </c>
      <c r="H346" s="35">
        <f>'Preventative costs A'!H346-'Preventative costs B'!H346</f>
        <v>0</v>
      </c>
      <c r="I346" s="35">
        <f>'Preventative costs A'!I346-'Preventative costs B'!I346</f>
        <v>0</v>
      </c>
      <c r="J346" s="35">
        <f>'Preventative costs A'!J346-'Preventative costs B'!J346</f>
        <v>0</v>
      </c>
      <c r="K346" s="35">
        <f>'Preventative costs A'!K346-'Preventative costs B'!K346</f>
        <v>0</v>
      </c>
      <c r="M346" s="4" t="str">
        <f t="shared" si="15"/>
        <v>Mtonne</v>
      </c>
    </row>
    <row r="347" spans="1:13" s="7" customFormat="1" x14ac:dyDescent="0.25">
      <c r="A347" s="4" t="str">
        <v>EE Lin</v>
      </c>
      <c r="B347" s="35">
        <f>'Preventative costs A'!B347-'Preventative costs B'!B347</f>
        <v>0</v>
      </c>
      <c r="C347" s="35">
        <f>'Preventative costs A'!C347-'Preventative costs B'!C347</f>
        <v>0</v>
      </c>
      <c r="D347" s="35">
        <f>'Preventative costs A'!D347-'Preventative costs B'!D347</f>
        <v>0</v>
      </c>
      <c r="E347" s="35">
        <f>'Preventative costs A'!E347-'Preventative costs B'!E347</f>
        <v>0</v>
      </c>
      <c r="F347" s="35">
        <f>'Preventative costs A'!F347-'Preventative costs B'!F347</f>
        <v>0</v>
      </c>
      <c r="G347" s="35">
        <f>'Preventative costs A'!G347-'Preventative costs B'!G347</f>
        <v>0</v>
      </c>
      <c r="H347" s="35">
        <f>'Preventative costs A'!H347-'Preventative costs B'!H347</f>
        <v>0</v>
      </c>
      <c r="I347" s="35">
        <f>'Preventative costs A'!I347-'Preventative costs B'!I347</f>
        <v>0</v>
      </c>
      <c r="J347" s="35">
        <f>'Preventative costs A'!J347-'Preventative costs B'!J347</f>
        <v>0</v>
      </c>
      <c r="K347" s="35">
        <f>'Preventative costs A'!K347-'Preventative costs B'!K347</f>
        <v>0</v>
      </c>
      <c r="M347" s="4" t="str">
        <f t="shared" si="15"/>
        <v>Mtonne</v>
      </c>
    </row>
    <row r="348" spans="1:13" s="7" customFormat="1" x14ac:dyDescent="0.25">
      <c r="A348" s="4" t="str">
        <v>CA Lin</v>
      </c>
      <c r="B348" s="35">
        <f>'Preventative costs A'!B348-'Preventative costs B'!B348</f>
        <v>0</v>
      </c>
      <c r="C348" s="35">
        <f>'Preventative costs A'!C348-'Preventative costs B'!C348</f>
        <v>0</v>
      </c>
      <c r="D348" s="35">
        <f>'Preventative costs A'!D348-'Preventative costs B'!D348</f>
        <v>0</v>
      </c>
      <c r="E348" s="35">
        <f>'Preventative costs A'!E348-'Preventative costs B'!E348</f>
        <v>0</v>
      </c>
      <c r="F348" s="35">
        <f>'Preventative costs A'!F348-'Preventative costs B'!F348</f>
        <v>0</v>
      </c>
      <c r="G348" s="35">
        <f>'Preventative costs A'!G348-'Preventative costs B'!G348</f>
        <v>0</v>
      </c>
      <c r="H348" s="35">
        <f>'Preventative costs A'!H348-'Preventative costs B'!H348</f>
        <v>0</v>
      </c>
      <c r="I348" s="35">
        <f>'Preventative costs A'!I348-'Preventative costs B'!I348</f>
        <v>0</v>
      </c>
      <c r="J348" s="35">
        <f>'Preventative costs A'!J348-'Preventative costs B'!J348</f>
        <v>0</v>
      </c>
      <c r="K348" s="35">
        <f>'Preventative costs A'!K348-'Preventative costs B'!K348</f>
        <v>0</v>
      </c>
      <c r="M348" s="4" t="str">
        <f t="shared" si="15"/>
        <v>Mtonne</v>
      </c>
    </row>
    <row r="349" spans="1:13" s="7" customFormat="1" x14ac:dyDescent="0.25">
      <c r="A349" s="4" t="str">
        <v>IA Lin</v>
      </c>
      <c r="B349" s="35">
        <f>'Preventative costs A'!B349-'Preventative costs B'!B349</f>
        <v>0</v>
      </c>
      <c r="C349" s="35">
        <f>'Preventative costs A'!C349-'Preventative costs B'!C349</f>
        <v>0</v>
      </c>
      <c r="D349" s="35">
        <f>'Preventative costs A'!D349-'Preventative costs B'!D349</f>
        <v>0</v>
      </c>
      <c r="E349" s="35">
        <f>'Preventative costs A'!E349-'Preventative costs B'!E349</f>
        <v>0</v>
      </c>
      <c r="F349" s="35">
        <f>'Preventative costs A'!F349-'Preventative costs B'!F349</f>
        <v>0</v>
      </c>
      <c r="G349" s="35">
        <f>'Preventative costs A'!G349-'Preventative costs B'!G349</f>
        <v>0</v>
      </c>
      <c r="H349" s="35">
        <f>'Preventative costs A'!H349-'Preventative costs B'!H349</f>
        <v>0</v>
      </c>
      <c r="I349" s="35">
        <f>'Preventative costs A'!I349-'Preventative costs B'!I349</f>
        <v>0</v>
      </c>
      <c r="J349" s="35">
        <f>'Preventative costs A'!J349-'Preventative costs B'!J349</f>
        <v>0</v>
      </c>
      <c r="K349" s="35">
        <f>'Preventative costs A'!K349-'Preventative costs B'!K349</f>
        <v>0</v>
      </c>
      <c r="M349" s="4" t="str">
        <f t="shared" si="15"/>
        <v>Mtonne</v>
      </c>
    </row>
    <row r="350" spans="1:13" s="7" customFormat="1" x14ac:dyDescent="0.25">
      <c r="A350" s="4" t="str">
        <v>AF Lin</v>
      </c>
      <c r="B350" s="35">
        <f>'Preventative costs A'!B350-'Preventative costs B'!B350</f>
        <v>0</v>
      </c>
      <c r="C350" s="35">
        <f>'Preventative costs A'!C350-'Preventative costs B'!C350</f>
        <v>0</v>
      </c>
      <c r="D350" s="35">
        <f>'Preventative costs A'!D350-'Preventative costs B'!D350</f>
        <v>0</v>
      </c>
      <c r="E350" s="35">
        <f>'Preventative costs A'!E350-'Preventative costs B'!E350</f>
        <v>0</v>
      </c>
      <c r="F350" s="35">
        <f>'Preventative costs A'!F350-'Preventative costs B'!F350</f>
        <v>0</v>
      </c>
      <c r="G350" s="35">
        <f>'Preventative costs A'!G350-'Preventative costs B'!G350</f>
        <v>0</v>
      </c>
      <c r="H350" s="35">
        <f>'Preventative costs A'!H350-'Preventative costs B'!H350</f>
        <v>0</v>
      </c>
      <c r="I350" s="35">
        <f>'Preventative costs A'!I350-'Preventative costs B'!I350</f>
        <v>0</v>
      </c>
      <c r="J350" s="35">
        <f>'Preventative costs A'!J350-'Preventative costs B'!J350</f>
        <v>0</v>
      </c>
      <c r="K350" s="35">
        <f>'Preventative costs A'!K350-'Preventative costs B'!K350</f>
        <v>0</v>
      </c>
      <c r="M350" s="4" t="str">
        <f t="shared" si="15"/>
        <v>Mtonne</v>
      </c>
    </row>
    <row r="351" spans="1:13" s="7" customFormat="1" ht="13" thickBot="1" x14ac:dyDescent="0.3">
      <c r="A351" s="4" t="str">
        <v>LA Lin</v>
      </c>
      <c r="B351" s="49">
        <f>'Preventative costs A'!B351-'Preventative costs B'!B351</f>
        <v>0</v>
      </c>
      <c r="C351" s="49">
        <f>'Preventative costs A'!C351-'Preventative costs B'!C351</f>
        <v>0</v>
      </c>
      <c r="D351" s="49">
        <f>'Preventative costs A'!D351-'Preventative costs B'!D351</f>
        <v>0</v>
      </c>
      <c r="E351" s="49">
        <f>'Preventative costs A'!E351-'Preventative costs B'!E351</f>
        <v>0</v>
      </c>
      <c r="F351" s="49">
        <f>'Preventative costs A'!F351-'Preventative costs B'!F351</f>
        <v>0</v>
      </c>
      <c r="G351" s="49">
        <f>'Preventative costs A'!G351-'Preventative costs B'!G351</f>
        <v>0</v>
      </c>
      <c r="H351" s="49">
        <f>'Preventative costs A'!H351-'Preventative costs B'!H351</f>
        <v>0</v>
      </c>
      <c r="I351" s="49">
        <f>'Preventative costs A'!I351-'Preventative costs B'!I351</f>
        <v>0</v>
      </c>
      <c r="J351" s="49">
        <f>'Preventative costs A'!J351-'Preventative costs B'!J351</f>
        <v>0</v>
      </c>
      <c r="K351" s="49">
        <f>'Preventative costs A'!K351-'Preventative costs B'!K351</f>
        <v>0</v>
      </c>
      <c r="M351" s="4" t="str">
        <f t="shared" si="15"/>
        <v>Mtonne</v>
      </c>
    </row>
    <row r="352" spans="1:13" s="2" customFormat="1" ht="15.5" thickTop="1" x14ac:dyDescent="0.4">
      <c r="A352" s="2" t="s">
        <v>381</v>
      </c>
      <c r="B352" s="2" t="s">
        <v>382</v>
      </c>
    </row>
    <row r="353" spans="1:13" s="6" customFormat="1" x14ac:dyDescent="0.25">
      <c r="A353" s="4" t="str">
        <f t="array" ref="A353:A360">R_CODE&amp;" "&amp;'Base data'!$B$11</f>
        <v>EU CO2</v>
      </c>
      <c r="B353" s="39">
        <f>'Preventative costs A'!B353-'Preventative costs B'!B353</f>
        <v>0</v>
      </c>
      <c r="C353" s="39">
        <f>'Preventative costs A'!C353-'Preventative costs B'!C353</f>
        <v>0</v>
      </c>
      <c r="D353" s="39">
        <f>'Preventative costs A'!D353-'Preventative costs B'!D353</f>
        <v>0</v>
      </c>
      <c r="E353" s="39">
        <f>'Preventative costs A'!E353-'Preventative costs B'!E353</f>
        <v>0</v>
      </c>
      <c r="F353" s="39">
        <f>'Preventative costs A'!F353-'Preventative costs B'!F353</f>
        <v>0</v>
      </c>
      <c r="G353" s="39">
        <f>'Preventative costs A'!G353-'Preventative costs B'!G353</f>
        <v>0</v>
      </c>
      <c r="H353" s="39">
        <f>'Preventative costs A'!H353-'Preventative costs B'!H353</f>
        <v>0</v>
      </c>
      <c r="I353" s="39">
        <f>'Preventative costs A'!I353-'Preventative costs B'!I353</f>
        <v>0</v>
      </c>
      <c r="J353" s="39">
        <f>'Preventative costs A'!J353-'Preventative costs B'!J353</f>
        <v>0</v>
      </c>
      <c r="K353" s="39">
        <f>'Preventative costs A'!K353-'Preventative costs B'!K353</f>
        <v>0</v>
      </c>
      <c r="M353" s="43" t="str">
        <f t="shared" ref="M353:M360" si="16">CURRENCY_NAME&amp;" per "&amp;EMIT_NAME</f>
        <v>$million per Mtonne</v>
      </c>
    </row>
    <row r="354" spans="1:13" s="6" customFormat="1" x14ac:dyDescent="0.25">
      <c r="A354" s="4" t="str">
        <v>US CO2</v>
      </c>
      <c r="B354" s="35">
        <f>'Preventative costs A'!B354-'Preventative costs B'!B354</f>
        <v>0</v>
      </c>
      <c r="C354" s="35">
        <f>'Preventative costs A'!C354-'Preventative costs B'!C354</f>
        <v>0</v>
      </c>
      <c r="D354" s="35">
        <f>'Preventative costs A'!D354-'Preventative costs B'!D354</f>
        <v>0</v>
      </c>
      <c r="E354" s="35">
        <f>'Preventative costs A'!E354-'Preventative costs B'!E354</f>
        <v>0</v>
      </c>
      <c r="F354" s="35">
        <f>'Preventative costs A'!F354-'Preventative costs B'!F354</f>
        <v>0</v>
      </c>
      <c r="G354" s="35">
        <f>'Preventative costs A'!G354-'Preventative costs B'!G354</f>
        <v>0</v>
      </c>
      <c r="H354" s="35">
        <f>'Preventative costs A'!H354-'Preventative costs B'!H354</f>
        <v>0</v>
      </c>
      <c r="I354" s="35">
        <f>'Preventative costs A'!I354-'Preventative costs B'!I354</f>
        <v>0</v>
      </c>
      <c r="J354" s="35">
        <f>'Preventative costs A'!J354-'Preventative costs B'!J354</f>
        <v>0</v>
      </c>
      <c r="K354" s="35">
        <f>'Preventative costs A'!K354-'Preventative costs B'!K354</f>
        <v>0</v>
      </c>
      <c r="M354" s="43" t="str">
        <f t="shared" si="16"/>
        <v>$million per Mtonne</v>
      </c>
    </row>
    <row r="355" spans="1:13" s="6" customFormat="1" x14ac:dyDescent="0.25">
      <c r="A355" s="4" t="str">
        <v>OT CO2</v>
      </c>
      <c r="B355" s="35">
        <f>'Preventative costs A'!B355-'Preventative costs B'!B355</f>
        <v>0</v>
      </c>
      <c r="C355" s="35">
        <f>'Preventative costs A'!C355-'Preventative costs B'!C355</f>
        <v>0</v>
      </c>
      <c r="D355" s="35">
        <f>'Preventative costs A'!D355-'Preventative costs B'!D355</f>
        <v>0</v>
      </c>
      <c r="E355" s="35">
        <f>'Preventative costs A'!E355-'Preventative costs B'!E355</f>
        <v>0</v>
      </c>
      <c r="F355" s="35">
        <f>'Preventative costs A'!F355-'Preventative costs B'!F355</f>
        <v>0</v>
      </c>
      <c r="G355" s="35">
        <f>'Preventative costs A'!G355-'Preventative costs B'!G355</f>
        <v>0</v>
      </c>
      <c r="H355" s="35">
        <f>'Preventative costs A'!H355-'Preventative costs B'!H355</f>
        <v>0</v>
      </c>
      <c r="I355" s="35">
        <f>'Preventative costs A'!I355-'Preventative costs B'!I355</f>
        <v>0</v>
      </c>
      <c r="J355" s="35">
        <f>'Preventative costs A'!J355-'Preventative costs B'!J355</f>
        <v>0</v>
      </c>
      <c r="K355" s="35">
        <f>'Preventative costs A'!K355-'Preventative costs B'!K355</f>
        <v>0</v>
      </c>
      <c r="M355" s="43" t="str">
        <f t="shared" si="16"/>
        <v>$million per Mtonne</v>
      </c>
    </row>
    <row r="356" spans="1:13" s="6" customFormat="1" x14ac:dyDescent="0.25">
      <c r="A356" s="4" t="str">
        <v>EE CO2</v>
      </c>
      <c r="B356" s="35">
        <f>'Preventative costs A'!B356-'Preventative costs B'!B356</f>
        <v>0</v>
      </c>
      <c r="C356" s="35">
        <f>'Preventative costs A'!C356-'Preventative costs B'!C356</f>
        <v>0</v>
      </c>
      <c r="D356" s="35">
        <f>'Preventative costs A'!D356-'Preventative costs B'!D356</f>
        <v>0</v>
      </c>
      <c r="E356" s="35">
        <f>'Preventative costs A'!E356-'Preventative costs B'!E356</f>
        <v>0</v>
      </c>
      <c r="F356" s="35">
        <f>'Preventative costs A'!F356-'Preventative costs B'!F356</f>
        <v>0</v>
      </c>
      <c r="G356" s="35">
        <f>'Preventative costs A'!G356-'Preventative costs B'!G356</f>
        <v>0</v>
      </c>
      <c r="H356" s="35">
        <f>'Preventative costs A'!H356-'Preventative costs B'!H356</f>
        <v>0</v>
      </c>
      <c r="I356" s="35">
        <f>'Preventative costs A'!I356-'Preventative costs B'!I356</f>
        <v>0</v>
      </c>
      <c r="J356" s="35">
        <f>'Preventative costs A'!J356-'Preventative costs B'!J356</f>
        <v>0</v>
      </c>
      <c r="K356" s="35">
        <f>'Preventative costs A'!K356-'Preventative costs B'!K356</f>
        <v>0</v>
      </c>
      <c r="M356" s="43" t="str">
        <f t="shared" si="16"/>
        <v>$million per Mtonne</v>
      </c>
    </row>
    <row r="357" spans="1:13" s="6" customFormat="1" x14ac:dyDescent="0.25">
      <c r="A357" s="4" t="str">
        <v>CA CO2</v>
      </c>
      <c r="B357" s="35">
        <f>'Preventative costs A'!B357-'Preventative costs B'!B357</f>
        <v>0</v>
      </c>
      <c r="C357" s="35">
        <f>'Preventative costs A'!C357-'Preventative costs B'!C357</f>
        <v>0</v>
      </c>
      <c r="D357" s="35">
        <f>'Preventative costs A'!D357-'Preventative costs B'!D357</f>
        <v>0</v>
      </c>
      <c r="E357" s="35">
        <f>'Preventative costs A'!E357-'Preventative costs B'!E357</f>
        <v>0</v>
      </c>
      <c r="F357" s="35">
        <f>'Preventative costs A'!F357-'Preventative costs B'!F357</f>
        <v>0</v>
      </c>
      <c r="G357" s="35">
        <f>'Preventative costs A'!G357-'Preventative costs B'!G357</f>
        <v>0</v>
      </c>
      <c r="H357" s="35">
        <f>'Preventative costs A'!H357-'Preventative costs B'!H357</f>
        <v>0</v>
      </c>
      <c r="I357" s="35">
        <f>'Preventative costs A'!I357-'Preventative costs B'!I357</f>
        <v>0</v>
      </c>
      <c r="J357" s="35">
        <f>'Preventative costs A'!J357-'Preventative costs B'!J357</f>
        <v>0</v>
      </c>
      <c r="K357" s="35">
        <f>'Preventative costs A'!K357-'Preventative costs B'!K357</f>
        <v>0</v>
      </c>
      <c r="M357" s="43" t="str">
        <f t="shared" si="16"/>
        <v>$million per Mtonne</v>
      </c>
    </row>
    <row r="358" spans="1:13" s="6" customFormat="1" x14ac:dyDescent="0.25">
      <c r="A358" s="4" t="str">
        <v>IA CO2</v>
      </c>
      <c r="B358" s="35">
        <f>'Preventative costs A'!B358-'Preventative costs B'!B358</f>
        <v>0</v>
      </c>
      <c r="C358" s="35">
        <f>'Preventative costs A'!C358-'Preventative costs B'!C358</f>
        <v>0</v>
      </c>
      <c r="D358" s="35">
        <f>'Preventative costs A'!D358-'Preventative costs B'!D358</f>
        <v>0</v>
      </c>
      <c r="E358" s="35">
        <f>'Preventative costs A'!E358-'Preventative costs B'!E358</f>
        <v>0</v>
      </c>
      <c r="F358" s="35">
        <f>'Preventative costs A'!F358-'Preventative costs B'!F358</f>
        <v>0</v>
      </c>
      <c r="G358" s="35">
        <f>'Preventative costs A'!G358-'Preventative costs B'!G358</f>
        <v>0</v>
      </c>
      <c r="H358" s="35">
        <f>'Preventative costs A'!H358-'Preventative costs B'!H358</f>
        <v>0</v>
      </c>
      <c r="I358" s="35">
        <f>'Preventative costs A'!I358-'Preventative costs B'!I358</f>
        <v>0</v>
      </c>
      <c r="J358" s="35">
        <f>'Preventative costs A'!J358-'Preventative costs B'!J358</f>
        <v>0</v>
      </c>
      <c r="K358" s="35">
        <f>'Preventative costs A'!K358-'Preventative costs B'!K358</f>
        <v>0</v>
      </c>
      <c r="M358" s="43" t="str">
        <f t="shared" si="16"/>
        <v>$million per Mtonne</v>
      </c>
    </row>
    <row r="359" spans="1:13" s="6" customFormat="1" x14ac:dyDescent="0.25">
      <c r="A359" s="4" t="str">
        <v>AF CO2</v>
      </c>
      <c r="B359" s="35">
        <f>'Preventative costs A'!B359-'Preventative costs B'!B359</f>
        <v>0</v>
      </c>
      <c r="C359" s="35">
        <f>'Preventative costs A'!C359-'Preventative costs B'!C359</f>
        <v>0</v>
      </c>
      <c r="D359" s="35">
        <f>'Preventative costs A'!D359-'Preventative costs B'!D359</f>
        <v>0</v>
      </c>
      <c r="E359" s="35">
        <f>'Preventative costs A'!E359-'Preventative costs B'!E359</f>
        <v>0</v>
      </c>
      <c r="F359" s="35">
        <f>'Preventative costs A'!F359-'Preventative costs B'!F359</f>
        <v>0</v>
      </c>
      <c r="G359" s="35">
        <f>'Preventative costs A'!G359-'Preventative costs B'!G359</f>
        <v>0</v>
      </c>
      <c r="H359" s="35">
        <f>'Preventative costs A'!H359-'Preventative costs B'!H359</f>
        <v>0</v>
      </c>
      <c r="I359" s="35">
        <f>'Preventative costs A'!I359-'Preventative costs B'!I359</f>
        <v>0</v>
      </c>
      <c r="J359" s="35">
        <f>'Preventative costs A'!J359-'Preventative costs B'!J359</f>
        <v>0</v>
      </c>
      <c r="K359" s="35">
        <f>'Preventative costs A'!K359-'Preventative costs B'!K359</f>
        <v>0</v>
      </c>
      <c r="M359" s="43" t="str">
        <f t="shared" si="16"/>
        <v>$million per Mtonne</v>
      </c>
    </row>
    <row r="360" spans="1:13" s="6" customFormat="1" ht="13" thickBot="1" x14ac:dyDescent="0.3">
      <c r="A360" s="4" t="str">
        <v>LA CO2</v>
      </c>
      <c r="B360" s="49">
        <f>'Preventative costs A'!B360-'Preventative costs B'!B360</f>
        <v>0</v>
      </c>
      <c r="C360" s="49">
        <f>'Preventative costs A'!C360-'Preventative costs B'!C360</f>
        <v>0</v>
      </c>
      <c r="D360" s="49">
        <f>'Preventative costs A'!D360-'Preventative costs B'!D360</f>
        <v>0</v>
      </c>
      <c r="E360" s="49">
        <f>'Preventative costs A'!E360-'Preventative costs B'!E360</f>
        <v>0</v>
      </c>
      <c r="F360" s="49">
        <f>'Preventative costs A'!F360-'Preventative costs B'!F360</f>
        <v>0</v>
      </c>
      <c r="G360" s="49">
        <f>'Preventative costs A'!G360-'Preventative costs B'!G360</f>
        <v>0</v>
      </c>
      <c r="H360" s="49">
        <f>'Preventative costs A'!H360-'Preventative costs B'!H360</f>
        <v>0</v>
      </c>
      <c r="I360" s="49">
        <f>'Preventative costs A'!I360-'Preventative costs B'!I360</f>
        <v>0</v>
      </c>
      <c r="J360" s="49">
        <f>'Preventative costs A'!J360-'Preventative costs B'!J360</f>
        <v>0</v>
      </c>
      <c r="K360" s="49">
        <f>'Preventative costs A'!K360-'Preventative costs B'!K360</f>
        <v>0</v>
      </c>
      <c r="M360" s="43" t="str">
        <f t="shared" si="16"/>
        <v>$million per Mtonne</v>
      </c>
    </row>
    <row r="361" spans="1:13" s="2" customFormat="1" ht="15.5" thickTop="1" x14ac:dyDescent="0.4">
      <c r="A361" s="2" t="s">
        <v>381</v>
      </c>
      <c r="B361" s="2" t="s">
        <v>383</v>
      </c>
    </row>
    <row r="362" spans="1:13" s="6" customFormat="1" x14ac:dyDescent="0.25">
      <c r="A362" s="4" t="str">
        <f t="array" ref="A362:A369">R_CODE&amp;" "&amp;'Base data'!$C$11</f>
        <v>EU CH4</v>
      </c>
      <c r="B362" s="39">
        <f>'Preventative costs A'!B362-'Preventative costs B'!B362</f>
        <v>0</v>
      </c>
      <c r="C362" s="39">
        <f>'Preventative costs A'!C362-'Preventative costs B'!C362</f>
        <v>0</v>
      </c>
      <c r="D362" s="39">
        <f>'Preventative costs A'!D362-'Preventative costs B'!D362</f>
        <v>0</v>
      </c>
      <c r="E362" s="39">
        <f>'Preventative costs A'!E362-'Preventative costs B'!E362</f>
        <v>0</v>
      </c>
      <c r="F362" s="39">
        <f>'Preventative costs A'!F362-'Preventative costs B'!F362</f>
        <v>0</v>
      </c>
      <c r="G362" s="39">
        <f>'Preventative costs A'!G362-'Preventative costs B'!G362</f>
        <v>0</v>
      </c>
      <c r="H362" s="39">
        <f>'Preventative costs A'!H362-'Preventative costs B'!H362</f>
        <v>0</v>
      </c>
      <c r="I362" s="39">
        <f>'Preventative costs A'!I362-'Preventative costs B'!I362</f>
        <v>0</v>
      </c>
      <c r="J362" s="39">
        <f>'Preventative costs A'!J362-'Preventative costs B'!J362</f>
        <v>0</v>
      </c>
      <c r="K362" s="39">
        <f>'Preventative costs A'!K362-'Preventative costs B'!K362</f>
        <v>0</v>
      </c>
      <c r="M362" s="43" t="str">
        <f t="shared" ref="M362:M369" si="17">CURRENCY_NAME&amp;" per "&amp;EMIT_NAME</f>
        <v>$million per Mtonne</v>
      </c>
    </row>
    <row r="363" spans="1:13" s="6" customFormat="1" x14ac:dyDescent="0.25">
      <c r="A363" s="4" t="str">
        <v>US CH4</v>
      </c>
      <c r="B363" s="35">
        <f>'Preventative costs A'!B363-'Preventative costs B'!B363</f>
        <v>0</v>
      </c>
      <c r="C363" s="35">
        <f>'Preventative costs A'!C363-'Preventative costs B'!C363</f>
        <v>0</v>
      </c>
      <c r="D363" s="35">
        <f>'Preventative costs A'!D363-'Preventative costs B'!D363</f>
        <v>0</v>
      </c>
      <c r="E363" s="35">
        <f>'Preventative costs A'!E363-'Preventative costs B'!E363</f>
        <v>0</v>
      </c>
      <c r="F363" s="35">
        <f>'Preventative costs A'!F363-'Preventative costs B'!F363</f>
        <v>0</v>
      </c>
      <c r="G363" s="35">
        <f>'Preventative costs A'!G363-'Preventative costs B'!G363</f>
        <v>0</v>
      </c>
      <c r="H363" s="35">
        <f>'Preventative costs A'!H363-'Preventative costs B'!H363</f>
        <v>0</v>
      </c>
      <c r="I363" s="35">
        <f>'Preventative costs A'!I363-'Preventative costs B'!I363</f>
        <v>0</v>
      </c>
      <c r="J363" s="35">
        <f>'Preventative costs A'!J363-'Preventative costs B'!J363</f>
        <v>0</v>
      </c>
      <c r="K363" s="35">
        <f>'Preventative costs A'!K363-'Preventative costs B'!K363</f>
        <v>0</v>
      </c>
      <c r="M363" s="43" t="str">
        <f t="shared" si="17"/>
        <v>$million per Mtonne</v>
      </c>
    </row>
    <row r="364" spans="1:13" s="6" customFormat="1" x14ac:dyDescent="0.25">
      <c r="A364" s="4" t="str">
        <v>OT CH4</v>
      </c>
      <c r="B364" s="35">
        <f>'Preventative costs A'!B364-'Preventative costs B'!B364</f>
        <v>0</v>
      </c>
      <c r="C364" s="35">
        <f>'Preventative costs A'!C364-'Preventative costs B'!C364</f>
        <v>0</v>
      </c>
      <c r="D364" s="35">
        <f>'Preventative costs A'!D364-'Preventative costs B'!D364</f>
        <v>0</v>
      </c>
      <c r="E364" s="35">
        <f>'Preventative costs A'!E364-'Preventative costs B'!E364</f>
        <v>0</v>
      </c>
      <c r="F364" s="35">
        <f>'Preventative costs A'!F364-'Preventative costs B'!F364</f>
        <v>0</v>
      </c>
      <c r="G364" s="35">
        <f>'Preventative costs A'!G364-'Preventative costs B'!G364</f>
        <v>0</v>
      </c>
      <c r="H364" s="35">
        <f>'Preventative costs A'!H364-'Preventative costs B'!H364</f>
        <v>0</v>
      </c>
      <c r="I364" s="35">
        <f>'Preventative costs A'!I364-'Preventative costs B'!I364</f>
        <v>0</v>
      </c>
      <c r="J364" s="35">
        <f>'Preventative costs A'!J364-'Preventative costs B'!J364</f>
        <v>0</v>
      </c>
      <c r="K364" s="35">
        <f>'Preventative costs A'!K364-'Preventative costs B'!K364</f>
        <v>0</v>
      </c>
      <c r="M364" s="43" t="str">
        <f t="shared" si="17"/>
        <v>$million per Mtonne</v>
      </c>
    </row>
    <row r="365" spans="1:13" s="6" customFormat="1" x14ac:dyDescent="0.25">
      <c r="A365" s="4" t="str">
        <v>EE CH4</v>
      </c>
      <c r="B365" s="35">
        <f>'Preventative costs A'!B365-'Preventative costs B'!B365</f>
        <v>0</v>
      </c>
      <c r="C365" s="35">
        <f>'Preventative costs A'!C365-'Preventative costs B'!C365</f>
        <v>0</v>
      </c>
      <c r="D365" s="35">
        <f>'Preventative costs A'!D365-'Preventative costs B'!D365</f>
        <v>0</v>
      </c>
      <c r="E365" s="35">
        <f>'Preventative costs A'!E365-'Preventative costs B'!E365</f>
        <v>0</v>
      </c>
      <c r="F365" s="35">
        <f>'Preventative costs A'!F365-'Preventative costs B'!F365</f>
        <v>0</v>
      </c>
      <c r="G365" s="35">
        <f>'Preventative costs A'!G365-'Preventative costs B'!G365</f>
        <v>0</v>
      </c>
      <c r="H365" s="35">
        <f>'Preventative costs A'!H365-'Preventative costs B'!H365</f>
        <v>0</v>
      </c>
      <c r="I365" s="35">
        <f>'Preventative costs A'!I365-'Preventative costs B'!I365</f>
        <v>0</v>
      </c>
      <c r="J365" s="35">
        <f>'Preventative costs A'!J365-'Preventative costs B'!J365</f>
        <v>0</v>
      </c>
      <c r="K365" s="35">
        <f>'Preventative costs A'!K365-'Preventative costs B'!K365</f>
        <v>0</v>
      </c>
      <c r="M365" s="43" t="str">
        <f t="shared" si="17"/>
        <v>$million per Mtonne</v>
      </c>
    </row>
    <row r="366" spans="1:13" s="6" customFormat="1" x14ac:dyDescent="0.25">
      <c r="A366" s="4" t="str">
        <v>CA CH4</v>
      </c>
      <c r="B366" s="35">
        <f>'Preventative costs A'!B366-'Preventative costs B'!B366</f>
        <v>0</v>
      </c>
      <c r="C366" s="35">
        <f>'Preventative costs A'!C366-'Preventative costs B'!C366</f>
        <v>0</v>
      </c>
      <c r="D366" s="35">
        <f>'Preventative costs A'!D366-'Preventative costs B'!D366</f>
        <v>0</v>
      </c>
      <c r="E366" s="35">
        <f>'Preventative costs A'!E366-'Preventative costs B'!E366</f>
        <v>0</v>
      </c>
      <c r="F366" s="35">
        <f>'Preventative costs A'!F366-'Preventative costs B'!F366</f>
        <v>0</v>
      </c>
      <c r="G366" s="35">
        <f>'Preventative costs A'!G366-'Preventative costs B'!G366</f>
        <v>0</v>
      </c>
      <c r="H366" s="35">
        <f>'Preventative costs A'!H366-'Preventative costs B'!H366</f>
        <v>0</v>
      </c>
      <c r="I366" s="35">
        <f>'Preventative costs A'!I366-'Preventative costs B'!I366</f>
        <v>0</v>
      </c>
      <c r="J366" s="35">
        <f>'Preventative costs A'!J366-'Preventative costs B'!J366</f>
        <v>0</v>
      </c>
      <c r="K366" s="35">
        <f>'Preventative costs A'!K366-'Preventative costs B'!K366</f>
        <v>0</v>
      </c>
      <c r="M366" s="43" t="str">
        <f t="shared" si="17"/>
        <v>$million per Mtonne</v>
      </c>
    </row>
    <row r="367" spans="1:13" s="6" customFormat="1" x14ac:dyDescent="0.25">
      <c r="A367" s="4" t="str">
        <v>IA CH4</v>
      </c>
      <c r="B367" s="35">
        <f>'Preventative costs A'!B367-'Preventative costs B'!B367</f>
        <v>0</v>
      </c>
      <c r="C367" s="35">
        <f>'Preventative costs A'!C367-'Preventative costs B'!C367</f>
        <v>0</v>
      </c>
      <c r="D367" s="35">
        <f>'Preventative costs A'!D367-'Preventative costs B'!D367</f>
        <v>0</v>
      </c>
      <c r="E367" s="35">
        <f>'Preventative costs A'!E367-'Preventative costs B'!E367</f>
        <v>0</v>
      </c>
      <c r="F367" s="35">
        <f>'Preventative costs A'!F367-'Preventative costs B'!F367</f>
        <v>0</v>
      </c>
      <c r="G367" s="35">
        <f>'Preventative costs A'!G367-'Preventative costs B'!G367</f>
        <v>0</v>
      </c>
      <c r="H367" s="35">
        <f>'Preventative costs A'!H367-'Preventative costs B'!H367</f>
        <v>0</v>
      </c>
      <c r="I367" s="35">
        <f>'Preventative costs A'!I367-'Preventative costs B'!I367</f>
        <v>0</v>
      </c>
      <c r="J367" s="35">
        <f>'Preventative costs A'!J367-'Preventative costs B'!J367</f>
        <v>0</v>
      </c>
      <c r="K367" s="35">
        <f>'Preventative costs A'!K367-'Preventative costs B'!K367</f>
        <v>0</v>
      </c>
      <c r="M367" s="43" t="str">
        <f t="shared" si="17"/>
        <v>$million per Mtonne</v>
      </c>
    </row>
    <row r="368" spans="1:13" s="6" customFormat="1" x14ac:dyDescent="0.25">
      <c r="A368" s="4" t="str">
        <v>AF CH4</v>
      </c>
      <c r="B368" s="35">
        <f>'Preventative costs A'!B368-'Preventative costs B'!B368</f>
        <v>0</v>
      </c>
      <c r="C368" s="35">
        <f>'Preventative costs A'!C368-'Preventative costs B'!C368</f>
        <v>0</v>
      </c>
      <c r="D368" s="35">
        <f>'Preventative costs A'!D368-'Preventative costs B'!D368</f>
        <v>0</v>
      </c>
      <c r="E368" s="35">
        <f>'Preventative costs A'!E368-'Preventative costs B'!E368</f>
        <v>0</v>
      </c>
      <c r="F368" s="35">
        <f>'Preventative costs A'!F368-'Preventative costs B'!F368</f>
        <v>0</v>
      </c>
      <c r="G368" s="35">
        <f>'Preventative costs A'!G368-'Preventative costs B'!G368</f>
        <v>0</v>
      </c>
      <c r="H368" s="35">
        <f>'Preventative costs A'!H368-'Preventative costs B'!H368</f>
        <v>0</v>
      </c>
      <c r="I368" s="35">
        <f>'Preventative costs A'!I368-'Preventative costs B'!I368</f>
        <v>0</v>
      </c>
      <c r="J368" s="35">
        <f>'Preventative costs A'!J368-'Preventative costs B'!J368</f>
        <v>0</v>
      </c>
      <c r="K368" s="35">
        <f>'Preventative costs A'!K368-'Preventative costs B'!K368</f>
        <v>0</v>
      </c>
      <c r="M368" s="43" t="str">
        <f t="shared" si="17"/>
        <v>$million per Mtonne</v>
      </c>
    </row>
    <row r="369" spans="1:13" s="6" customFormat="1" ht="13" thickBot="1" x14ac:dyDescent="0.3">
      <c r="A369" s="4" t="str">
        <v>LA CH4</v>
      </c>
      <c r="B369" s="49">
        <f>'Preventative costs A'!B369-'Preventative costs B'!B369</f>
        <v>0</v>
      </c>
      <c r="C369" s="49">
        <f>'Preventative costs A'!C369-'Preventative costs B'!C369</f>
        <v>0</v>
      </c>
      <c r="D369" s="49">
        <f>'Preventative costs A'!D369-'Preventative costs B'!D369</f>
        <v>0</v>
      </c>
      <c r="E369" s="49">
        <f>'Preventative costs A'!E369-'Preventative costs B'!E369</f>
        <v>0</v>
      </c>
      <c r="F369" s="49">
        <f>'Preventative costs A'!F369-'Preventative costs B'!F369</f>
        <v>0</v>
      </c>
      <c r="G369" s="49">
        <f>'Preventative costs A'!G369-'Preventative costs B'!G369</f>
        <v>0</v>
      </c>
      <c r="H369" s="49">
        <f>'Preventative costs A'!H369-'Preventative costs B'!H369</f>
        <v>0</v>
      </c>
      <c r="I369" s="49">
        <f>'Preventative costs A'!I369-'Preventative costs B'!I369</f>
        <v>0</v>
      </c>
      <c r="J369" s="49">
        <f>'Preventative costs A'!J369-'Preventative costs B'!J369</f>
        <v>0</v>
      </c>
      <c r="K369" s="49">
        <f>'Preventative costs A'!K369-'Preventative costs B'!K369</f>
        <v>0</v>
      </c>
      <c r="M369" s="43" t="str">
        <f t="shared" si="17"/>
        <v>$million per Mtonne</v>
      </c>
    </row>
    <row r="370" spans="1:13" s="2" customFormat="1" ht="15.5" thickTop="1" x14ac:dyDescent="0.4">
      <c r="A370" s="2" t="s">
        <v>381</v>
      </c>
      <c r="B370" s="2" t="s">
        <v>384</v>
      </c>
    </row>
    <row r="371" spans="1:13" s="7" customFormat="1" x14ac:dyDescent="0.25">
      <c r="A371" s="4" t="str">
        <f t="array" ref="A371:A378">R_CODE&amp;" "&amp;'Base data'!$D$11</f>
        <v>EU N2O</v>
      </c>
      <c r="B371" s="39">
        <f>'Preventative costs A'!B371-'Preventative costs B'!B371</f>
        <v>0</v>
      </c>
      <c r="C371" s="39">
        <f>'Preventative costs A'!C371-'Preventative costs B'!C371</f>
        <v>0</v>
      </c>
      <c r="D371" s="39">
        <f>'Preventative costs A'!D371-'Preventative costs B'!D371</f>
        <v>0</v>
      </c>
      <c r="E371" s="39">
        <f>'Preventative costs A'!E371-'Preventative costs B'!E371</f>
        <v>0</v>
      </c>
      <c r="F371" s="39">
        <f>'Preventative costs A'!F371-'Preventative costs B'!F371</f>
        <v>0</v>
      </c>
      <c r="G371" s="39">
        <f>'Preventative costs A'!G371-'Preventative costs B'!G371</f>
        <v>0</v>
      </c>
      <c r="H371" s="39">
        <f>'Preventative costs A'!H371-'Preventative costs B'!H371</f>
        <v>0</v>
      </c>
      <c r="I371" s="39">
        <f>'Preventative costs A'!I371-'Preventative costs B'!I371</f>
        <v>0</v>
      </c>
      <c r="J371" s="39">
        <f>'Preventative costs A'!J371-'Preventative costs B'!J371</f>
        <v>0</v>
      </c>
      <c r="K371" s="39">
        <f>'Preventative costs A'!K371-'Preventative costs B'!K371</f>
        <v>0</v>
      </c>
      <c r="M371" s="43" t="str">
        <f t="shared" ref="M371:M378" si="18">CURRENCY_NAME&amp;" per "&amp;EMIT_NAME</f>
        <v>$million per Mtonne</v>
      </c>
    </row>
    <row r="372" spans="1:13" s="7" customFormat="1" x14ac:dyDescent="0.25">
      <c r="A372" s="4" t="str">
        <v>US N2O</v>
      </c>
      <c r="B372" s="35">
        <f>'Preventative costs A'!B372-'Preventative costs B'!B372</f>
        <v>0</v>
      </c>
      <c r="C372" s="35">
        <f>'Preventative costs A'!C372-'Preventative costs B'!C372</f>
        <v>0</v>
      </c>
      <c r="D372" s="35">
        <f>'Preventative costs A'!D372-'Preventative costs B'!D372</f>
        <v>0</v>
      </c>
      <c r="E372" s="35">
        <f>'Preventative costs A'!E372-'Preventative costs B'!E372</f>
        <v>0</v>
      </c>
      <c r="F372" s="35">
        <f>'Preventative costs A'!F372-'Preventative costs B'!F372</f>
        <v>0</v>
      </c>
      <c r="G372" s="35">
        <f>'Preventative costs A'!G372-'Preventative costs B'!G372</f>
        <v>0</v>
      </c>
      <c r="H372" s="35">
        <f>'Preventative costs A'!H372-'Preventative costs B'!H372</f>
        <v>0</v>
      </c>
      <c r="I372" s="35">
        <f>'Preventative costs A'!I372-'Preventative costs B'!I372</f>
        <v>0</v>
      </c>
      <c r="J372" s="35">
        <f>'Preventative costs A'!J372-'Preventative costs B'!J372</f>
        <v>0</v>
      </c>
      <c r="K372" s="35">
        <f>'Preventative costs A'!K372-'Preventative costs B'!K372</f>
        <v>0</v>
      </c>
      <c r="M372" s="43" t="str">
        <f t="shared" si="18"/>
        <v>$million per Mtonne</v>
      </c>
    </row>
    <row r="373" spans="1:13" s="7" customFormat="1" x14ac:dyDescent="0.25">
      <c r="A373" s="4" t="str">
        <v>OT N2O</v>
      </c>
      <c r="B373" s="35">
        <f>'Preventative costs A'!B373-'Preventative costs B'!B373</f>
        <v>0</v>
      </c>
      <c r="C373" s="35">
        <f>'Preventative costs A'!C373-'Preventative costs B'!C373</f>
        <v>0</v>
      </c>
      <c r="D373" s="35">
        <f>'Preventative costs A'!D373-'Preventative costs B'!D373</f>
        <v>0</v>
      </c>
      <c r="E373" s="35">
        <f>'Preventative costs A'!E373-'Preventative costs B'!E373</f>
        <v>0</v>
      </c>
      <c r="F373" s="35">
        <f>'Preventative costs A'!F373-'Preventative costs B'!F373</f>
        <v>0</v>
      </c>
      <c r="G373" s="35">
        <f>'Preventative costs A'!G373-'Preventative costs B'!G373</f>
        <v>0</v>
      </c>
      <c r="H373" s="35">
        <f>'Preventative costs A'!H373-'Preventative costs B'!H373</f>
        <v>0</v>
      </c>
      <c r="I373" s="35">
        <f>'Preventative costs A'!I373-'Preventative costs B'!I373</f>
        <v>0</v>
      </c>
      <c r="J373" s="35">
        <f>'Preventative costs A'!J373-'Preventative costs B'!J373</f>
        <v>0</v>
      </c>
      <c r="K373" s="35">
        <f>'Preventative costs A'!K373-'Preventative costs B'!K373</f>
        <v>0</v>
      </c>
      <c r="M373" s="43" t="str">
        <f t="shared" si="18"/>
        <v>$million per Mtonne</v>
      </c>
    </row>
    <row r="374" spans="1:13" s="7" customFormat="1" x14ac:dyDescent="0.25">
      <c r="A374" s="4" t="str">
        <v>EE N2O</v>
      </c>
      <c r="B374" s="35">
        <f>'Preventative costs A'!B374-'Preventative costs B'!B374</f>
        <v>0</v>
      </c>
      <c r="C374" s="35">
        <f>'Preventative costs A'!C374-'Preventative costs B'!C374</f>
        <v>0</v>
      </c>
      <c r="D374" s="35">
        <f>'Preventative costs A'!D374-'Preventative costs B'!D374</f>
        <v>0</v>
      </c>
      <c r="E374" s="35">
        <f>'Preventative costs A'!E374-'Preventative costs B'!E374</f>
        <v>0</v>
      </c>
      <c r="F374" s="35">
        <f>'Preventative costs A'!F374-'Preventative costs B'!F374</f>
        <v>0</v>
      </c>
      <c r="G374" s="35">
        <f>'Preventative costs A'!G374-'Preventative costs B'!G374</f>
        <v>0</v>
      </c>
      <c r="H374" s="35">
        <f>'Preventative costs A'!H374-'Preventative costs B'!H374</f>
        <v>0</v>
      </c>
      <c r="I374" s="35">
        <f>'Preventative costs A'!I374-'Preventative costs B'!I374</f>
        <v>0</v>
      </c>
      <c r="J374" s="35">
        <f>'Preventative costs A'!J374-'Preventative costs B'!J374</f>
        <v>0</v>
      </c>
      <c r="K374" s="35">
        <f>'Preventative costs A'!K374-'Preventative costs B'!K374</f>
        <v>0</v>
      </c>
      <c r="M374" s="43" t="str">
        <f t="shared" si="18"/>
        <v>$million per Mtonne</v>
      </c>
    </row>
    <row r="375" spans="1:13" s="7" customFormat="1" x14ac:dyDescent="0.25">
      <c r="A375" s="4" t="str">
        <v>CA N2O</v>
      </c>
      <c r="B375" s="35">
        <f>'Preventative costs A'!B375-'Preventative costs B'!B375</f>
        <v>0</v>
      </c>
      <c r="C375" s="35">
        <f>'Preventative costs A'!C375-'Preventative costs B'!C375</f>
        <v>0</v>
      </c>
      <c r="D375" s="35">
        <f>'Preventative costs A'!D375-'Preventative costs B'!D375</f>
        <v>0</v>
      </c>
      <c r="E375" s="35">
        <f>'Preventative costs A'!E375-'Preventative costs B'!E375</f>
        <v>0</v>
      </c>
      <c r="F375" s="35">
        <f>'Preventative costs A'!F375-'Preventative costs B'!F375</f>
        <v>0</v>
      </c>
      <c r="G375" s="35">
        <f>'Preventative costs A'!G375-'Preventative costs B'!G375</f>
        <v>0</v>
      </c>
      <c r="H375" s="35">
        <f>'Preventative costs A'!H375-'Preventative costs B'!H375</f>
        <v>0</v>
      </c>
      <c r="I375" s="35">
        <f>'Preventative costs A'!I375-'Preventative costs B'!I375</f>
        <v>0</v>
      </c>
      <c r="J375" s="35">
        <f>'Preventative costs A'!J375-'Preventative costs B'!J375</f>
        <v>0</v>
      </c>
      <c r="K375" s="35">
        <f>'Preventative costs A'!K375-'Preventative costs B'!K375</f>
        <v>0</v>
      </c>
      <c r="M375" s="43" t="str">
        <f t="shared" si="18"/>
        <v>$million per Mtonne</v>
      </c>
    </row>
    <row r="376" spans="1:13" s="7" customFormat="1" x14ac:dyDescent="0.25">
      <c r="A376" s="4" t="str">
        <v>IA N2O</v>
      </c>
      <c r="B376" s="35">
        <f>'Preventative costs A'!B376-'Preventative costs B'!B376</f>
        <v>0</v>
      </c>
      <c r="C376" s="35">
        <f>'Preventative costs A'!C376-'Preventative costs B'!C376</f>
        <v>0</v>
      </c>
      <c r="D376" s="35">
        <f>'Preventative costs A'!D376-'Preventative costs B'!D376</f>
        <v>0</v>
      </c>
      <c r="E376" s="35">
        <f>'Preventative costs A'!E376-'Preventative costs B'!E376</f>
        <v>0</v>
      </c>
      <c r="F376" s="35">
        <f>'Preventative costs A'!F376-'Preventative costs B'!F376</f>
        <v>0</v>
      </c>
      <c r="G376" s="35">
        <f>'Preventative costs A'!G376-'Preventative costs B'!G376</f>
        <v>0</v>
      </c>
      <c r="H376" s="35">
        <f>'Preventative costs A'!H376-'Preventative costs B'!H376</f>
        <v>0</v>
      </c>
      <c r="I376" s="35">
        <f>'Preventative costs A'!I376-'Preventative costs B'!I376</f>
        <v>0</v>
      </c>
      <c r="J376" s="35">
        <f>'Preventative costs A'!J376-'Preventative costs B'!J376</f>
        <v>0</v>
      </c>
      <c r="K376" s="35">
        <f>'Preventative costs A'!K376-'Preventative costs B'!K376</f>
        <v>0</v>
      </c>
      <c r="M376" s="43" t="str">
        <f t="shared" si="18"/>
        <v>$million per Mtonne</v>
      </c>
    </row>
    <row r="377" spans="1:13" s="7" customFormat="1" x14ac:dyDescent="0.25">
      <c r="A377" s="4" t="str">
        <v>AF N2O</v>
      </c>
      <c r="B377" s="35">
        <f>'Preventative costs A'!B377-'Preventative costs B'!B377</f>
        <v>0</v>
      </c>
      <c r="C377" s="35">
        <f>'Preventative costs A'!C377-'Preventative costs B'!C377</f>
        <v>0</v>
      </c>
      <c r="D377" s="35">
        <f>'Preventative costs A'!D377-'Preventative costs B'!D377</f>
        <v>0</v>
      </c>
      <c r="E377" s="35">
        <f>'Preventative costs A'!E377-'Preventative costs B'!E377</f>
        <v>0</v>
      </c>
      <c r="F377" s="35">
        <f>'Preventative costs A'!F377-'Preventative costs B'!F377</f>
        <v>0</v>
      </c>
      <c r="G377" s="35">
        <f>'Preventative costs A'!G377-'Preventative costs B'!G377</f>
        <v>0</v>
      </c>
      <c r="H377" s="35">
        <f>'Preventative costs A'!H377-'Preventative costs B'!H377</f>
        <v>0</v>
      </c>
      <c r="I377" s="35">
        <f>'Preventative costs A'!I377-'Preventative costs B'!I377</f>
        <v>0</v>
      </c>
      <c r="J377" s="35">
        <f>'Preventative costs A'!J377-'Preventative costs B'!J377</f>
        <v>0</v>
      </c>
      <c r="K377" s="35">
        <f>'Preventative costs A'!K377-'Preventative costs B'!K377</f>
        <v>0</v>
      </c>
      <c r="M377" s="43" t="str">
        <f t="shared" si="18"/>
        <v>$million per Mtonne</v>
      </c>
    </row>
    <row r="378" spans="1:13" s="7" customFormat="1" ht="13" thickBot="1" x14ac:dyDescent="0.3">
      <c r="A378" s="4" t="str">
        <v>LA N2O</v>
      </c>
      <c r="B378" s="49">
        <f>'Preventative costs A'!B378-'Preventative costs B'!B378</f>
        <v>0</v>
      </c>
      <c r="C378" s="49">
        <f>'Preventative costs A'!C378-'Preventative costs B'!C378</f>
        <v>0</v>
      </c>
      <c r="D378" s="49">
        <f>'Preventative costs A'!D378-'Preventative costs B'!D378</f>
        <v>0</v>
      </c>
      <c r="E378" s="49">
        <f>'Preventative costs A'!E378-'Preventative costs B'!E378</f>
        <v>0</v>
      </c>
      <c r="F378" s="49">
        <f>'Preventative costs A'!F378-'Preventative costs B'!F378</f>
        <v>0</v>
      </c>
      <c r="G378" s="49">
        <f>'Preventative costs A'!G378-'Preventative costs B'!G378</f>
        <v>0</v>
      </c>
      <c r="H378" s="49">
        <f>'Preventative costs A'!H378-'Preventative costs B'!H378</f>
        <v>0</v>
      </c>
      <c r="I378" s="49">
        <f>'Preventative costs A'!I378-'Preventative costs B'!I378</f>
        <v>0</v>
      </c>
      <c r="J378" s="49">
        <f>'Preventative costs A'!J378-'Preventative costs B'!J378</f>
        <v>0</v>
      </c>
      <c r="K378" s="49">
        <f>'Preventative costs A'!K378-'Preventative costs B'!K378</f>
        <v>0</v>
      </c>
      <c r="M378" s="43" t="str">
        <f t="shared" si="18"/>
        <v>$million per Mtonne</v>
      </c>
    </row>
    <row r="379" spans="1:13" s="2" customFormat="1" ht="15.5" thickTop="1" x14ac:dyDescent="0.4">
      <c r="A379" s="2" t="s">
        <v>381</v>
      </c>
      <c r="B379" s="2" t="s">
        <v>385</v>
      </c>
    </row>
    <row r="380" spans="1:13" s="7" customFormat="1" x14ac:dyDescent="0.25">
      <c r="A380" s="4" t="str">
        <f t="array" ref="A380:A387">R_CODE&amp;" "&amp;GLIN_NAME</f>
        <v>EU Lin</v>
      </c>
      <c r="B380" s="39">
        <f>'Preventative costs A'!B380-'Preventative costs B'!B380</f>
        <v>0</v>
      </c>
      <c r="C380" s="39">
        <f>'Preventative costs A'!C380-'Preventative costs B'!C380</f>
        <v>0</v>
      </c>
      <c r="D380" s="39">
        <f>'Preventative costs A'!D380-'Preventative costs B'!D380</f>
        <v>0</v>
      </c>
      <c r="E380" s="39">
        <f>'Preventative costs A'!E380-'Preventative costs B'!E380</f>
        <v>0</v>
      </c>
      <c r="F380" s="39">
        <f>'Preventative costs A'!F380-'Preventative costs B'!F380</f>
        <v>0</v>
      </c>
      <c r="G380" s="39">
        <f>'Preventative costs A'!G380-'Preventative costs B'!G380</f>
        <v>0</v>
      </c>
      <c r="H380" s="39">
        <f>'Preventative costs A'!H380-'Preventative costs B'!H380</f>
        <v>0</v>
      </c>
      <c r="I380" s="39">
        <f>'Preventative costs A'!I380-'Preventative costs B'!I380</f>
        <v>0</v>
      </c>
      <c r="J380" s="39">
        <f>'Preventative costs A'!J380-'Preventative costs B'!J380</f>
        <v>0</v>
      </c>
      <c r="K380" s="39">
        <f>'Preventative costs A'!K380-'Preventative costs B'!K380</f>
        <v>0</v>
      </c>
      <c r="M380" s="43" t="str">
        <f t="shared" ref="M380:M387" si="19">CURRENCY_NAME&amp;" per "&amp;EMIT_NAME</f>
        <v>$million per Mtonne</v>
      </c>
    </row>
    <row r="381" spans="1:13" s="7" customFormat="1" x14ac:dyDescent="0.25">
      <c r="A381" s="4" t="str">
        <v>US Lin</v>
      </c>
      <c r="B381" s="35">
        <f>'Preventative costs A'!B381-'Preventative costs B'!B381</f>
        <v>0</v>
      </c>
      <c r="C381" s="35">
        <f>'Preventative costs A'!C381-'Preventative costs B'!C381</f>
        <v>0</v>
      </c>
      <c r="D381" s="35">
        <f>'Preventative costs A'!D381-'Preventative costs B'!D381</f>
        <v>0</v>
      </c>
      <c r="E381" s="35">
        <f>'Preventative costs A'!E381-'Preventative costs B'!E381</f>
        <v>0</v>
      </c>
      <c r="F381" s="35">
        <f>'Preventative costs A'!F381-'Preventative costs B'!F381</f>
        <v>0</v>
      </c>
      <c r="G381" s="35">
        <f>'Preventative costs A'!G381-'Preventative costs B'!G381</f>
        <v>0</v>
      </c>
      <c r="H381" s="35">
        <f>'Preventative costs A'!H381-'Preventative costs B'!H381</f>
        <v>0</v>
      </c>
      <c r="I381" s="35">
        <f>'Preventative costs A'!I381-'Preventative costs B'!I381</f>
        <v>0</v>
      </c>
      <c r="J381" s="35">
        <f>'Preventative costs A'!J381-'Preventative costs B'!J381</f>
        <v>0</v>
      </c>
      <c r="K381" s="35">
        <f>'Preventative costs A'!K381-'Preventative costs B'!K381</f>
        <v>0</v>
      </c>
      <c r="M381" s="43" t="str">
        <f t="shared" si="19"/>
        <v>$million per Mtonne</v>
      </c>
    </row>
    <row r="382" spans="1:13" s="7" customFormat="1" x14ac:dyDescent="0.25">
      <c r="A382" s="4" t="str">
        <v>OT Lin</v>
      </c>
      <c r="B382" s="35">
        <f>'Preventative costs A'!B382-'Preventative costs B'!B382</f>
        <v>0</v>
      </c>
      <c r="C382" s="35">
        <f>'Preventative costs A'!C382-'Preventative costs B'!C382</f>
        <v>0</v>
      </c>
      <c r="D382" s="35">
        <f>'Preventative costs A'!D382-'Preventative costs B'!D382</f>
        <v>0</v>
      </c>
      <c r="E382" s="35">
        <f>'Preventative costs A'!E382-'Preventative costs B'!E382</f>
        <v>0</v>
      </c>
      <c r="F382" s="35">
        <f>'Preventative costs A'!F382-'Preventative costs B'!F382</f>
        <v>0</v>
      </c>
      <c r="G382" s="35">
        <f>'Preventative costs A'!G382-'Preventative costs B'!G382</f>
        <v>0</v>
      </c>
      <c r="H382" s="35">
        <f>'Preventative costs A'!H382-'Preventative costs B'!H382</f>
        <v>0</v>
      </c>
      <c r="I382" s="35">
        <f>'Preventative costs A'!I382-'Preventative costs B'!I382</f>
        <v>0</v>
      </c>
      <c r="J382" s="35">
        <f>'Preventative costs A'!J382-'Preventative costs B'!J382</f>
        <v>0</v>
      </c>
      <c r="K382" s="35">
        <f>'Preventative costs A'!K382-'Preventative costs B'!K382</f>
        <v>0</v>
      </c>
      <c r="M382" s="43" t="str">
        <f t="shared" si="19"/>
        <v>$million per Mtonne</v>
      </c>
    </row>
    <row r="383" spans="1:13" s="7" customFormat="1" x14ac:dyDescent="0.25">
      <c r="A383" s="4" t="str">
        <v>EE Lin</v>
      </c>
      <c r="B383" s="35">
        <f>'Preventative costs A'!B383-'Preventative costs B'!B383</f>
        <v>0</v>
      </c>
      <c r="C383" s="35">
        <f>'Preventative costs A'!C383-'Preventative costs B'!C383</f>
        <v>0</v>
      </c>
      <c r="D383" s="35">
        <f>'Preventative costs A'!D383-'Preventative costs B'!D383</f>
        <v>0</v>
      </c>
      <c r="E383" s="35">
        <f>'Preventative costs A'!E383-'Preventative costs B'!E383</f>
        <v>0</v>
      </c>
      <c r="F383" s="35">
        <f>'Preventative costs A'!F383-'Preventative costs B'!F383</f>
        <v>0</v>
      </c>
      <c r="G383" s="35">
        <f>'Preventative costs A'!G383-'Preventative costs B'!G383</f>
        <v>0</v>
      </c>
      <c r="H383" s="35">
        <f>'Preventative costs A'!H383-'Preventative costs B'!H383</f>
        <v>0</v>
      </c>
      <c r="I383" s="35">
        <f>'Preventative costs A'!I383-'Preventative costs B'!I383</f>
        <v>0</v>
      </c>
      <c r="J383" s="35">
        <f>'Preventative costs A'!J383-'Preventative costs B'!J383</f>
        <v>0</v>
      </c>
      <c r="K383" s="35">
        <f>'Preventative costs A'!K383-'Preventative costs B'!K383</f>
        <v>0</v>
      </c>
      <c r="M383" s="43" t="str">
        <f t="shared" si="19"/>
        <v>$million per Mtonne</v>
      </c>
    </row>
    <row r="384" spans="1:13" s="7" customFormat="1" x14ac:dyDescent="0.25">
      <c r="A384" s="4" t="str">
        <v>CA Lin</v>
      </c>
      <c r="B384" s="35">
        <f>'Preventative costs A'!B384-'Preventative costs B'!B384</f>
        <v>0</v>
      </c>
      <c r="C384" s="35">
        <f>'Preventative costs A'!C384-'Preventative costs B'!C384</f>
        <v>0</v>
      </c>
      <c r="D384" s="35">
        <f>'Preventative costs A'!D384-'Preventative costs B'!D384</f>
        <v>0</v>
      </c>
      <c r="E384" s="35">
        <f>'Preventative costs A'!E384-'Preventative costs B'!E384</f>
        <v>0</v>
      </c>
      <c r="F384" s="35">
        <f>'Preventative costs A'!F384-'Preventative costs B'!F384</f>
        <v>0</v>
      </c>
      <c r="G384" s="35">
        <f>'Preventative costs A'!G384-'Preventative costs B'!G384</f>
        <v>0</v>
      </c>
      <c r="H384" s="35">
        <f>'Preventative costs A'!H384-'Preventative costs B'!H384</f>
        <v>0</v>
      </c>
      <c r="I384" s="35">
        <f>'Preventative costs A'!I384-'Preventative costs B'!I384</f>
        <v>0</v>
      </c>
      <c r="J384" s="35">
        <f>'Preventative costs A'!J384-'Preventative costs B'!J384</f>
        <v>0</v>
      </c>
      <c r="K384" s="35">
        <f>'Preventative costs A'!K384-'Preventative costs B'!K384</f>
        <v>0</v>
      </c>
      <c r="M384" s="43" t="str">
        <f t="shared" si="19"/>
        <v>$million per Mtonne</v>
      </c>
    </row>
    <row r="385" spans="1:13" s="7" customFormat="1" x14ac:dyDescent="0.25">
      <c r="A385" s="4" t="str">
        <v>IA Lin</v>
      </c>
      <c r="B385" s="35">
        <f>'Preventative costs A'!B385-'Preventative costs B'!B385</f>
        <v>0</v>
      </c>
      <c r="C385" s="35">
        <f>'Preventative costs A'!C385-'Preventative costs B'!C385</f>
        <v>0</v>
      </c>
      <c r="D385" s="35">
        <f>'Preventative costs A'!D385-'Preventative costs B'!D385</f>
        <v>0</v>
      </c>
      <c r="E385" s="35">
        <f>'Preventative costs A'!E385-'Preventative costs B'!E385</f>
        <v>0</v>
      </c>
      <c r="F385" s="35">
        <f>'Preventative costs A'!F385-'Preventative costs B'!F385</f>
        <v>0</v>
      </c>
      <c r="G385" s="35">
        <f>'Preventative costs A'!G385-'Preventative costs B'!G385</f>
        <v>0</v>
      </c>
      <c r="H385" s="35">
        <f>'Preventative costs A'!H385-'Preventative costs B'!H385</f>
        <v>0</v>
      </c>
      <c r="I385" s="35">
        <f>'Preventative costs A'!I385-'Preventative costs B'!I385</f>
        <v>0</v>
      </c>
      <c r="J385" s="35">
        <f>'Preventative costs A'!J385-'Preventative costs B'!J385</f>
        <v>0</v>
      </c>
      <c r="K385" s="35">
        <f>'Preventative costs A'!K385-'Preventative costs B'!K385</f>
        <v>0</v>
      </c>
      <c r="M385" s="43" t="str">
        <f t="shared" si="19"/>
        <v>$million per Mtonne</v>
      </c>
    </row>
    <row r="386" spans="1:13" s="7" customFormat="1" x14ac:dyDescent="0.25">
      <c r="A386" s="4" t="str">
        <v>AF Lin</v>
      </c>
      <c r="B386" s="35">
        <f>'Preventative costs A'!B386-'Preventative costs B'!B386</f>
        <v>0</v>
      </c>
      <c r="C386" s="35">
        <f>'Preventative costs A'!C386-'Preventative costs B'!C386</f>
        <v>0</v>
      </c>
      <c r="D386" s="35">
        <f>'Preventative costs A'!D386-'Preventative costs B'!D386</f>
        <v>0</v>
      </c>
      <c r="E386" s="35">
        <f>'Preventative costs A'!E386-'Preventative costs B'!E386</f>
        <v>0</v>
      </c>
      <c r="F386" s="35">
        <f>'Preventative costs A'!F386-'Preventative costs B'!F386</f>
        <v>0</v>
      </c>
      <c r="G386" s="35">
        <f>'Preventative costs A'!G386-'Preventative costs B'!G386</f>
        <v>0</v>
      </c>
      <c r="H386" s="35">
        <f>'Preventative costs A'!H386-'Preventative costs B'!H386</f>
        <v>0</v>
      </c>
      <c r="I386" s="35">
        <f>'Preventative costs A'!I386-'Preventative costs B'!I386</f>
        <v>0</v>
      </c>
      <c r="J386" s="35">
        <f>'Preventative costs A'!J386-'Preventative costs B'!J386</f>
        <v>0</v>
      </c>
      <c r="K386" s="35">
        <f>'Preventative costs A'!K386-'Preventative costs B'!K386</f>
        <v>0</v>
      </c>
      <c r="M386" s="43" t="str">
        <f t="shared" si="19"/>
        <v>$million per Mtonne</v>
      </c>
    </row>
    <row r="387" spans="1:13" s="7" customFormat="1" ht="13" thickBot="1" x14ac:dyDescent="0.3">
      <c r="A387" s="4" t="str">
        <v>LA Lin</v>
      </c>
      <c r="B387" s="49">
        <f>'Preventative costs A'!B387-'Preventative costs B'!B387</f>
        <v>0</v>
      </c>
      <c r="C387" s="49">
        <f>'Preventative costs A'!C387-'Preventative costs B'!C387</f>
        <v>0</v>
      </c>
      <c r="D387" s="49">
        <f>'Preventative costs A'!D387-'Preventative costs B'!D387</f>
        <v>0</v>
      </c>
      <c r="E387" s="49">
        <f>'Preventative costs A'!E387-'Preventative costs B'!E387</f>
        <v>0</v>
      </c>
      <c r="F387" s="49">
        <f>'Preventative costs A'!F387-'Preventative costs B'!F387</f>
        <v>0</v>
      </c>
      <c r="G387" s="49">
        <f>'Preventative costs A'!G387-'Preventative costs B'!G387</f>
        <v>0</v>
      </c>
      <c r="H387" s="49">
        <f>'Preventative costs A'!H387-'Preventative costs B'!H387</f>
        <v>0</v>
      </c>
      <c r="I387" s="49">
        <f>'Preventative costs A'!I387-'Preventative costs B'!I387</f>
        <v>0</v>
      </c>
      <c r="J387" s="49">
        <f>'Preventative costs A'!J387-'Preventative costs B'!J387</f>
        <v>0</v>
      </c>
      <c r="K387" s="49">
        <f>'Preventative costs A'!K387-'Preventative costs B'!K387</f>
        <v>0</v>
      </c>
      <c r="M387" s="43" t="str">
        <f t="shared" si="19"/>
        <v>$million per Mtonne</v>
      </c>
    </row>
    <row r="388" spans="1:13" s="2" customFormat="1" ht="15.5" thickTop="1" x14ac:dyDescent="0.4">
      <c r="A388" s="2" t="s">
        <v>387</v>
      </c>
      <c r="B388" s="2" t="s">
        <v>388</v>
      </c>
    </row>
    <row r="389" spans="1:13" s="6" customFormat="1" x14ac:dyDescent="0.25">
      <c r="A389" s="4" t="str">
        <f t="array" ref="A389:A396">R_CODE&amp;" "&amp;'Base data'!$B$11</f>
        <v>EU CO2</v>
      </c>
      <c r="B389" s="39">
        <f>'Preventative costs A'!B389-'Preventative costs B'!B389</f>
        <v>0</v>
      </c>
      <c r="C389" s="39">
        <f>'Preventative costs A'!C389-'Preventative costs B'!C389</f>
        <v>0</v>
      </c>
      <c r="D389" s="39">
        <f>'Preventative costs A'!D389-'Preventative costs B'!D389</f>
        <v>0</v>
      </c>
      <c r="E389" s="39">
        <f>'Preventative costs A'!E389-'Preventative costs B'!E389</f>
        <v>0</v>
      </c>
      <c r="F389" s="39">
        <f>'Preventative costs A'!F389-'Preventative costs B'!F389</f>
        <v>0</v>
      </c>
      <c r="G389" s="39">
        <f>'Preventative costs A'!G389-'Preventative costs B'!G389</f>
        <v>0</v>
      </c>
      <c r="H389" s="39">
        <f>'Preventative costs A'!H389-'Preventative costs B'!H389</f>
        <v>0</v>
      </c>
      <c r="I389" s="39">
        <f>'Preventative costs A'!I389-'Preventative costs B'!I389</f>
        <v>0</v>
      </c>
      <c r="J389" s="39">
        <f>'Preventative costs A'!J389-'Preventative costs B'!J389</f>
        <v>0</v>
      </c>
      <c r="K389" s="39">
        <f>'Preventative costs A'!K389-'Preventative costs B'!K389</f>
        <v>0</v>
      </c>
      <c r="M389" s="4" t="str">
        <f t="shared" ref="M389:M396" si="20">"per "&amp;EMIT_NAME</f>
        <v>per Mtonne</v>
      </c>
    </row>
    <row r="390" spans="1:13" s="6" customFormat="1" x14ac:dyDescent="0.25">
      <c r="A390" s="4" t="str">
        <v>US CO2</v>
      </c>
      <c r="B390" s="35">
        <f>'Preventative costs A'!B390-'Preventative costs B'!B390</f>
        <v>0</v>
      </c>
      <c r="C390" s="35">
        <f>'Preventative costs A'!C390-'Preventative costs B'!C390</f>
        <v>0</v>
      </c>
      <c r="D390" s="35">
        <f>'Preventative costs A'!D390-'Preventative costs B'!D390</f>
        <v>0</v>
      </c>
      <c r="E390" s="35">
        <f>'Preventative costs A'!E390-'Preventative costs B'!E390</f>
        <v>0</v>
      </c>
      <c r="F390" s="35">
        <f>'Preventative costs A'!F390-'Preventative costs B'!F390</f>
        <v>0</v>
      </c>
      <c r="G390" s="35">
        <f>'Preventative costs A'!G390-'Preventative costs B'!G390</f>
        <v>0</v>
      </c>
      <c r="H390" s="35">
        <f>'Preventative costs A'!H390-'Preventative costs B'!H390</f>
        <v>0</v>
      </c>
      <c r="I390" s="35">
        <f>'Preventative costs A'!I390-'Preventative costs B'!I390</f>
        <v>0</v>
      </c>
      <c r="J390" s="35">
        <f>'Preventative costs A'!J390-'Preventative costs B'!J390</f>
        <v>0</v>
      </c>
      <c r="K390" s="35">
        <f>'Preventative costs A'!K390-'Preventative costs B'!K390</f>
        <v>0</v>
      </c>
      <c r="M390" s="4" t="str">
        <f t="shared" si="20"/>
        <v>per Mtonne</v>
      </c>
    </row>
    <row r="391" spans="1:13" s="6" customFormat="1" x14ac:dyDescent="0.25">
      <c r="A391" s="4" t="str">
        <v>OT CO2</v>
      </c>
      <c r="B391" s="35">
        <f>'Preventative costs A'!B391-'Preventative costs B'!B391</f>
        <v>0</v>
      </c>
      <c r="C391" s="35">
        <f>'Preventative costs A'!C391-'Preventative costs B'!C391</f>
        <v>0</v>
      </c>
      <c r="D391" s="35">
        <f>'Preventative costs A'!D391-'Preventative costs B'!D391</f>
        <v>0</v>
      </c>
      <c r="E391" s="35">
        <f>'Preventative costs A'!E391-'Preventative costs B'!E391</f>
        <v>0</v>
      </c>
      <c r="F391" s="35">
        <f>'Preventative costs A'!F391-'Preventative costs B'!F391</f>
        <v>0</v>
      </c>
      <c r="G391" s="35">
        <f>'Preventative costs A'!G391-'Preventative costs B'!G391</f>
        <v>0</v>
      </c>
      <c r="H391" s="35">
        <f>'Preventative costs A'!H391-'Preventative costs B'!H391</f>
        <v>0</v>
      </c>
      <c r="I391" s="35">
        <f>'Preventative costs A'!I391-'Preventative costs B'!I391</f>
        <v>0</v>
      </c>
      <c r="J391" s="35">
        <f>'Preventative costs A'!J391-'Preventative costs B'!J391</f>
        <v>0</v>
      </c>
      <c r="K391" s="35">
        <f>'Preventative costs A'!K391-'Preventative costs B'!K391</f>
        <v>0</v>
      </c>
      <c r="M391" s="4" t="str">
        <f t="shared" si="20"/>
        <v>per Mtonne</v>
      </c>
    </row>
    <row r="392" spans="1:13" s="6" customFormat="1" x14ac:dyDescent="0.25">
      <c r="A392" s="4" t="str">
        <v>EE CO2</v>
      </c>
      <c r="B392" s="35">
        <f>'Preventative costs A'!B392-'Preventative costs B'!B392</f>
        <v>0</v>
      </c>
      <c r="C392" s="35">
        <f>'Preventative costs A'!C392-'Preventative costs B'!C392</f>
        <v>0</v>
      </c>
      <c r="D392" s="35">
        <f>'Preventative costs A'!D392-'Preventative costs B'!D392</f>
        <v>0</v>
      </c>
      <c r="E392" s="35">
        <f>'Preventative costs A'!E392-'Preventative costs B'!E392</f>
        <v>0</v>
      </c>
      <c r="F392" s="35">
        <f>'Preventative costs A'!F392-'Preventative costs B'!F392</f>
        <v>0</v>
      </c>
      <c r="G392" s="35">
        <f>'Preventative costs A'!G392-'Preventative costs B'!G392</f>
        <v>0</v>
      </c>
      <c r="H392" s="35">
        <f>'Preventative costs A'!H392-'Preventative costs B'!H392</f>
        <v>0</v>
      </c>
      <c r="I392" s="35">
        <f>'Preventative costs A'!I392-'Preventative costs B'!I392</f>
        <v>0</v>
      </c>
      <c r="J392" s="35">
        <f>'Preventative costs A'!J392-'Preventative costs B'!J392</f>
        <v>0</v>
      </c>
      <c r="K392" s="35">
        <f>'Preventative costs A'!K392-'Preventative costs B'!K392</f>
        <v>0</v>
      </c>
      <c r="M392" s="4" t="str">
        <f t="shared" si="20"/>
        <v>per Mtonne</v>
      </c>
    </row>
    <row r="393" spans="1:13" s="6" customFormat="1" x14ac:dyDescent="0.25">
      <c r="A393" s="4" t="str">
        <v>CA CO2</v>
      </c>
      <c r="B393" s="35">
        <f>'Preventative costs A'!B393-'Preventative costs B'!B393</f>
        <v>0</v>
      </c>
      <c r="C393" s="35">
        <f>'Preventative costs A'!C393-'Preventative costs B'!C393</f>
        <v>0</v>
      </c>
      <c r="D393" s="35">
        <f>'Preventative costs A'!D393-'Preventative costs B'!D393</f>
        <v>0</v>
      </c>
      <c r="E393" s="35">
        <f>'Preventative costs A'!E393-'Preventative costs B'!E393</f>
        <v>0</v>
      </c>
      <c r="F393" s="35">
        <f>'Preventative costs A'!F393-'Preventative costs B'!F393</f>
        <v>0</v>
      </c>
      <c r="G393" s="35">
        <f>'Preventative costs A'!G393-'Preventative costs B'!G393</f>
        <v>0</v>
      </c>
      <c r="H393" s="35">
        <f>'Preventative costs A'!H393-'Preventative costs B'!H393</f>
        <v>0</v>
      </c>
      <c r="I393" s="35">
        <f>'Preventative costs A'!I393-'Preventative costs B'!I393</f>
        <v>0</v>
      </c>
      <c r="J393" s="35">
        <f>'Preventative costs A'!J393-'Preventative costs B'!J393</f>
        <v>0</v>
      </c>
      <c r="K393" s="35">
        <f>'Preventative costs A'!K393-'Preventative costs B'!K393</f>
        <v>0</v>
      </c>
      <c r="M393" s="4" t="str">
        <f t="shared" si="20"/>
        <v>per Mtonne</v>
      </c>
    </row>
    <row r="394" spans="1:13" s="6" customFormat="1" x14ac:dyDescent="0.25">
      <c r="A394" s="4" t="str">
        <v>IA CO2</v>
      </c>
      <c r="B394" s="35">
        <f>'Preventative costs A'!B394-'Preventative costs B'!B394</f>
        <v>0</v>
      </c>
      <c r="C394" s="35">
        <f>'Preventative costs A'!C394-'Preventative costs B'!C394</f>
        <v>0</v>
      </c>
      <c r="D394" s="35">
        <f>'Preventative costs A'!D394-'Preventative costs B'!D394</f>
        <v>0</v>
      </c>
      <c r="E394" s="35">
        <f>'Preventative costs A'!E394-'Preventative costs B'!E394</f>
        <v>0</v>
      </c>
      <c r="F394" s="35">
        <f>'Preventative costs A'!F394-'Preventative costs B'!F394</f>
        <v>0</v>
      </c>
      <c r="G394" s="35">
        <f>'Preventative costs A'!G394-'Preventative costs B'!G394</f>
        <v>0</v>
      </c>
      <c r="H394" s="35">
        <f>'Preventative costs A'!H394-'Preventative costs B'!H394</f>
        <v>0</v>
      </c>
      <c r="I394" s="35">
        <f>'Preventative costs A'!I394-'Preventative costs B'!I394</f>
        <v>0</v>
      </c>
      <c r="J394" s="35">
        <f>'Preventative costs A'!J394-'Preventative costs B'!J394</f>
        <v>0</v>
      </c>
      <c r="K394" s="35">
        <f>'Preventative costs A'!K394-'Preventative costs B'!K394</f>
        <v>0</v>
      </c>
      <c r="M394" s="4" t="str">
        <f t="shared" si="20"/>
        <v>per Mtonne</v>
      </c>
    </row>
    <row r="395" spans="1:13" s="6" customFormat="1" x14ac:dyDescent="0.25">
      <c r="A395" s="4" t="str">
        <v>AF CO2</v>
      </c>
      <c r="B395" s="35">
        <f>'Preventative costs A'!B395-'Preventative costs B'!B395</f>
        <v>0</v>
      </c>
      <c r="C395" s="35">
        <f>'Preventative costs A'!C395-'Preventative costs B'!C395</f>
        <v>0</v>
      </c>
      <c r="D395" s="35">
        <f>'Preventative costs A'!D395-'Preventative costs B'!D395</f>
        <v>0</v>
      </c>
      <c r="E395" s="35">
        <f>'Preventative costs A'!E395-'Preventative costs B'!E395</f>
        <v>0</v>
      </c>
      <c r="F395" s="35">
        <f>'Preventative costs A'!F395-'Preventative costs B'!F395</f>
        <v>0</v>
      </c>
      <c r="G395" s="35">
        <f>'Preventative costs A'!G395-'Preventative costs B'!G395</f>
        <v>0</v>
      </c>
      <c r="H395" s="35">
        <f>'Preventative costs A'!H395-'Preventative costs B'!H395</f>
        <v>0</v>
      </c>
      <c r="I395" s="35">
        <f>'Preventative costs A'!I395-'Preventative costs B'!I395</f>
        <v>0</v>
      </c>
      <c r="J395" s="35">
        <f>'Preventative costs A'!J395-'Preventative costs B'!J395</f>
        <v>0</v>
      </c>
      <c r="K395" s="35">
        <f>'Preventative costs A'!K395-'Preventative costs B'!K395</f>
        <v>0</v>
      </c>
      <c r="M395" s="4" t="str">
        <f t="shared" si="20"/>
        <v>per Mtonne</v>
      </c>
    </row>
    <row r="396" spans="1:13" s="6" customFormat="1" ht="13" thickBot="1" x14ac:dyDescent="0.3">
      <c r="A396" s="4" t="str">
        <v>LA CO2</v>
      </c>
      <c r="B396" s="49">
        <f>'Preventative costs A'!B396-'Preventative costs B'!B396</f>
        <v>0</v>
      </c>
      <c r="C396" s="49">
        <f>'Preventative costs A'!C396-'Preventative costs B'!C396</f>
        <v>0</v>
      </c>
      <c r="D396" s="49">
        <f>'Preventative costs A'!D396-'Preventative costs B'!D396</f>
        <v>0</v>
      </c>
      <c r="E396" s="49">
        <f>'Preventative costs A'!E396-'Preventative costs B'!E396</f>
        <v>0</v>
      </c>
      <c r="F396" s="49">
        <f>'Preventative costs A'!F396-'Preventative costs B'!F396</f>
        <v>0</v>
      </c>
      <c r="G396" s="49">
        <f>'Preventative costs A'!G396-'Preventative costs B'!G396</f>
        <v>0</v>
      </c>
      <c r="H396" s="49">
        <f>'Preventative costs A'!H396-'Preventative costs B'!H396</f>
        <v>0</v>
      </c>
      <c r="I396" s="49">
        <f>'Preventative costs A'!I396-'Preventative costs B'!I396</f>
        <v>0</v>
      </c>
      <c r="J396" s="49">
        <f>'Preventative costs A'!J396-'Preventative costs B'!J396</f>
        <v>0</v>
      </c>
      <c r="K396" s="49">
        <f>'Preventative costs A'!K396-'Preventative costs B'!K396</f>
        <v>0</v>
      </c>
      <c r="M396" s="4" t="str">
        <f t="shared" si="20"/>
        <v>per Mtonne</v>
      </c>
    </row>
    <row r="397" spans="1:13" s="2" customFormat="1" ht="15.5" thickTop="1" x14ac:dyDescent="0.4">
      <c r="A397" s="2" t="s">
        <v>387</v>
      </c>
      <c r="B397" s="2" t="s">
        <v>389</v>
      </c>
    </row>
    <row r="398" spans="1:13" s="7" customFormat="1" x14ac:dyDescent="0.25">
      <c r="A398" s="4" t="str">
        <f t="array" ref="A398:A405">R_CODE&amp;" "&amp;'Base data'!$C$11</f>
        <v>EU CH4</v>
      </c>
      <c r="B398" s="39">
        <f>'Preventative costs A'!B398-'Preventative costs B'!B398</f>
        <v>0</v>
      </c>
      <c r="C398" s="39">
        <f>'Preventative costs A'!C398-'Preventative costs B'!C398</f>
        <v>0</v>
      </c>
      <c r="D398" s="39">
        <f>'Preventative costs A'!D398-'Preventative costs B'!D398</f>
        <v>0</v>
      </c>
      <c r="E398" s="39">
        <f>'Preventative costs A'!E398-'Preventative costs B'!E398</f>
        <v>0</v>
      </c>
      <c r="F398" s="39">
        <f>'Preventative costs A'!F398-'Preventative costs B'!F398</f>
        <v>0</v>
      </c>
      <c r="G398" s="39">
        <f>'Preventative costs A'!G398-'Preventative costs B'!G398</f>
        <v>0</v>
      </c>
      <c r="H398" s="39">
        <f>'Preventative costs A'!H398-'Preventative costs B'!H398</f>
        <v>0</v>
      </c>
      <c r="I398" s="39">
        <f>'Preventative costs A'!I398-'Preventative costs B'!I398</f>
        <v>0</v>
      </c>
      <c r="J398" s="39">
        <f>'Preventative costs A'!J398-'Preventative costs B'!J398</f>
        <v>0</v>
      </c>
      <c r="K398" s="39">
        <f>'Preventative costs A'!K398-'Preventative costs B'!K398</f>
        <v>0</v>
      </c>
      <c r="M398" s="4" t="str">
        <f t="shared" ref="M398:M405" si="21">"per "&amp;EMIT_NAME</f>
        <v>per Mtonne</v>
      </c>
    </row>
    <row r="399" spans="1:13" s="7" customFormat="1" x14ac:dyDescent="0.25">
      <c r="A399" s="4" t="str">
        <v>US CH4</v>
      </c>
      <c r="B399" s="35">
        <f>'Preventative costs A'!B399-'Preventative costs B'!B399</f>
        <v>0</v>
      </c>
      <c r="C399" s="35">
        <f>'Preventative costs A'!C399-'Preventative costs B'!C399</f>
        <v>0</v>
      </c>
      <c r="D399" s="35">
        <f>'Preventative costs A'!D399-'Preventative costs B'!D399</f>
        <v>0</v>
      </c>
      <c r="E399" s="35">
        <f>'Preventative costs A'!E399-'Preventative costs B'!E399</f>
        <v>0</v>
      </c>
      <c r="F399" s="35">
        <f>'Preventative costs A'!F399-'Preventative costs B'!F399</f>
        <v>0</v>
      </c>
      <c r="G399" s="35">
        <f>'Preventative costs A'!G399-'Preventative costs B'!G399</f>
        <v>0</v>
      </c>
      <c r="H399" s="35">
        <f>'Preventative costs A'!H399-'Preventative costs B'!H399</f>
        <v>0</v>
      </c>
      <c r="I399" s="35">
        <f>'Preventative costs A'!I399-'Preventative costs B'!I399</f>
        <v>0</v>
      </c>
      <c r="J399" s="35">
        <f>'Preventative costs A'!J399-'Preventative costs B'!J399</f>
        <v>0</v>
      </c>
      <c r="K399" s="35">
        <f>'Preventative costs A'!K399-'Preventative costs B'!K399</f>
        <v>0</v>
      </c>
      <c r="M399" s="4" t="str">
        <f t="shared" si="21"/>
        <v>per Mtonne</v>
      </c>
    </row>
    <row r="400" spans="1:13" s="7" customFormat="1" x14ac:dyDescent="0.25">
      <c r="A400" s="4" t="str">
        <v>OT CH4</v>
      </c>
      <c r="B400" s="35">
        <f>'Preventative costs A'!B400-'Preventative costs B'!B400</f>
        <v>0</v>
      </c>
      <c r="C400" s="35">
        <f>'Preventative costs A'!C400-'Preventative costs B'!C400</f>
        <v>0</v>
      </c>
      <c r="D400" s="35">
        <f>'Preventative costs A'!D400-'Preventative costs B'!D400</f>
        <v>0</v>
      </c>
      <c r="E400" s="35">
        <f>'Preventative costs A'!E400-'Preventative costs B'!E400</f>
        <v>0</v>
      </c>
      <c r="F400" s="35">
        <f>'Preventative costs A'!F400-'Preventative costs B'!F400</f>
        <v>0</v>
      </c>
      <c r="G400" s="35">
        <f>'Preventative costs A'!G400-'Preventative costs B'!G400</f>
        <v>0</v>
      </c>
      <c r="H400" s="35">
        <f>'Preventative costs A'!H400-'Preventative costs B'!H400</f>
        <v>0</v>
      </c>
      <c r="I400" s="35">
        <f>'Preventative costs A'!I400-'Preventative costs B'!I400</f>
        <v>0</v>
      </c>
      <c r="J400" s="35">
        <f>'Preventative costs A'!J400-'Preventative costs B'!J400</f>
        <v>0</v>
      </c>
      <c r="K400" s="35">
        <f>'Preventative costs A'!K400-'Preventative costs B'!K400</f>
        <v>0</v>
      </c>
      <c r="M400" s="4" t="str">
        <f t="shared" si="21"/>
        <v>per Mtonne</v>
      </c>
    </row>
    <row r="401" spans="1:13" s="7" customFormat="1" x14ac:dyDescent="0.25">
      <c r="A401" s="4" t="str">
        <v>EE CH4</v>
      </c>
      <c r="B401" s="35">
        <f>'Preventative costs A'!B401-'Preventative costs B'!B401</f>
        <v>0</v>
      </c>
      <c r="C401" s="35">
        <f>'Preventative costs A'!C401-'Preventative costs B'!C401</f>
        <v>0</v>
      </c>
      <c r="D401" s="35">
        <f>'Preventative costs A'!D401-'Preventative costs B'!D401</f>
        <v>0</v>
      </c>
      <c r="E401" s="35">
        <f>'Preventative costs A'!E401-'Preventative costs B'!E401</f>
        <v>0</v>
      </c>
      <c r="F401" s="35">
        <f>'Preventative costs A'!F401-'Preventative costs B'!F401</f>
        <v>0</v>
      </c>
      <c r="G401" s="35">
        <f>'Preventative costs A'!G401-'Preventative costs B'!G401</f>
        <v>0</v>
      </c>
      <c r="H401" s="35">
        <f>'Preventative costs A'!H401-'Preventative costs B'!H401</f>
        <v>0</v>
      </c>
      <c r="I401" s="35">
        <f>'Preventative costs A'!I401-'Preventative costs B'!I401</f>
        <v>0</v>
      </c>
      <c r="J401" s="35">
        <f>'Preventative costs A'!J401-'Preventative costs B'!J401</f>
        <v>0</v>
      </c>
      <c r="K401" s="35">
        <f>'Preventative costs A'!K401-'Preventative costs B'!K401</f>
        <v>0</v>
      </c>
      <c r="M401" s="4" t="str">
        <f t="shared" si="21"/>
        <v>per Mtonne</v>
      </c>
    </row>
    <row r="402" spans="1:13" s="7" customFormat="1" x14ac:dyDescent="0.25">
      <c r="A402" s="4" t="str">
        <v>CA CH4</v>
      </c>
      <c r="B402" s="35">
        <f>'Preventative costs A'!B402-'Preventative costs B'!B402</f>
        <v>0</v>
      </c>
      <c r="C402" s="35">
        <f>'Preventative costs A'!C402-'Preventative costs B'!C402</f>
        <v>0</v>
      </c>
      <c r="D402" s="35">
        <f>'Preventative costs A'!D402-'Preventative costs B'!D402</f>
        <v>0</v>
      </c>
      <c r="E402" s="35">
        <f>'Preventative costs A'!E402-'Preventative costs B'!E402</f>
        <v>0</v>
      </c>
      <c r="F402" s="35">
        <f>'Preventative costs A'!F402-'Preventative costs B'!F402</f>
        <v>0</v>
      </c>
      <c r="G402" s="35">
        <f>'Preventative costs A'!G402-'Preventative costs B'!G402</f>
        <v>0</v>
      </c>
      <c r="H402" s="35">
        <f>'Preventative costs A'!H402-'Preventative costs B'!H402</f>
        <v>0</v>
      </c>
      <c r="I402" s="35">
        <f>'Preventative costs A'!I402-'Preventative costs B'!I402</f>
        <v>0</v>
      </c>
      <c r="J402" s="35">
        <f>'Preventative costs A'!J402-'Preventative costs B'!J402</f>
        <v>0</v>
      </c>
      <c r="K402" s="35">
        <f>'Preventative costs A'!K402-'Preventative costs B'!K402</f>
        <v>0</v>
      </c>
      <c r="M402" s="4" t="str">
        <f t="shared" si="21"/>
        <v>per Mtonne</v>
      </c>
    </row>
    <row r="403" spans="1:13" s="7" customFormat="1" x14ac:dyDescent="0.25">
      <c r="A403" s="4" t="str">
        <v>IA CH4</v>
      </c>
      <c r="B403" s="35">
        <f>'Preventative costs A'!B403-'Preventative costs B'!B403</f>
        <v>0</v>
      </c>
      <c r="C403" s="35">
        <f>'Preventative costs A'!C403-'Preventative costs B'!C403</f>
        <v>0</v>
      </c>
      <c r="D403" s="35">
        <f>'Preventative costs A'!D403-'Preventative costs B'!D403</f>
        <v>0</v>
      </c>
      <c r="E403" s="35">
        <f>'Preventative costs A'!E403-'Preventative costs B'!E403</f>
        <v>0</v>
      </c>
      <c r="F403" s="35">
        <f>'Preventative costs A'!F403-'Preventative costs B'!F403</f>
        <v>0</v>
      </c>
      <c r="G403" s="35">
        <f>'Preventative costs A'!G403-'Preventative costs B'!G403</f>
        <v>0</v>
      </c>
      <c r="H403" s="35">
        <f>'Preventative costs A'!H403-'Preventative costs B'!H403</f>
        <v>0</v>
      </c>
      <c r="I403" s="35">
        <f>'Preventative costs A'!I403-'Preventative costs B'!I403</f>
        <v>0</v>
      </c>
      <c r="J403" s="35">
        <f>'Preventative costs A'!J403-'Preventative costs B'!J403</f>
        <v>0</v>
      </c>
      <c r="K403" s="35">
        <f>'Preventative costs A'!K403-'Preventative costs B'!K403</f>
        <v>0</v>
      </c>
      <c r="M403" s="4" t="str">
        <f t="shared" si="21"/>
        <v>per Mtonne</v>
      </c>
    </row>
    <row r="404" spans="1:13" s="7" customFormat="1" x14ac:dyDescent="0.25">
      <c r="A404" s="4" t="str">
        <v>AF CH4</v>
      </c>
      <c r="B404" s="35">
        <f>'Preventative costs A'!B404-'Preventative costs B'!B404</f>
        <v>0</v>
      </c>
      <c r="C404" s="35">
        <f>'Preventative costs A'!C404-'Preventative costs B'!C404</f>
        <v>0</v>
      </c>
      <c r="D404" s="35">
        <f>'Preventative costs A'!D404-'Preventative costs B'!D404</f>
        <v>0</v>
      </c>
      <c r="E404" s="35">
        <f>'Preventative costs A'!E404-'Preventative costs B'!E404</f>
        <v>0</v>
      </c>
      <c r="F404" s="35">
        <f>'Preventative costs A'!F404-'Preventative costs B'!F404</f>
        <v>0</v>
      </c>
      <c r="G404" s="35">
        <f>'Preventative costs A'!G404-'Preventative costs B'!G404</f>
        <v>0</v>
      </c>
      <c r="H404" s="35">
        <f>'Preventative costs A'!H404-'Preventative costs B'!H404</f>
        <v>0</v>
      </c>
      <c r="I404" s="35">
        <f>'Preventative costs A'!I404-'Preventative costs B'!I404</f>
        <v>0</v>
      </c>
      <c r="J404" s="35">
        <f>'Preventative costs A'!J404-'Preventative costs B'!J404</f>
        <v>0</v>
      </c>
      <c r="K404" s="35">
        <f>'Preventative costs A'!K404-'Preventative costs B'!K404</f>
        <v>0</v>
      </c>
      <c r="M404" s="4" t="str">
        <f t="shared" si="21"/>
        <v>per Mtonne</v>
      </c>
    </row>
    <row r="405" spans="1:13" s="7" customFormat="1" ht="13" thickBot="1" x14ac:dyDescent="0.3">
      <c r="A405" s="4" t="str">
        <v>LA CH4</v>
      </c>
      <c r="B405" s="49">
        <f>'Preventative costs A'!B405-'Preventative costs B'!B405</f>
        <v>0</v>
      </c>
      <c r="C405" s="49">
        <f>'Preventative costs A'!C405-'Preventative costs B'!C405</f>
        <v>0</v>
      </c>
      <c r="D405" s="49">
        <f>'Preventative costs A'!D405-'Preventative costs B'!D405</f>
        <v>0</v>
      </c>
      <c r="E405" s="49">
        <f>'Preventative costs A'!E405-'Preventative costs B'!E405</f>
        <v>0</v>
      </c>
      <c r="F405" s="49">
        <f>'Preventative costs A'!F405-'Preventative costs B'!F405</f>
        <v>0</v>
      </c>
      <c r="G405" s="49">
        <f>'Preventative costs A'!G405-'Preventative costs B'!G405</f>
        <v>0</v>
      </c>
      <c r="H405" s="49">
        <f>'Preventative costs A'!H405-'Preventative costs B'!H405</f>
        <v>0</v>
      </c>
      <c r="I405" s="49">
        <f>'Preventative costs A'!I405-'Preventative costs B'!I405</f>
        <v>0</v>
      </c>
      <c r="J405" s="49">
        <f>'Preventative costs A'!J405-'Preventative costs B'!J405</f>
        <v>0</v>
      </c>
      <c r="K405" s="49">
        <f>'Preventative costs A'!K405-'Preventative costs B'!K405</f>
        <v>0</v>
      </c>
      <c r="M405" s="4" t="str">
        <f t="shared" si="21"/>
        <v>per Mtonne</v>
      </c>
    </row>
    <row r="406" spans="1:13" s="2" customFormat="1" ht="15.5" thickTop="1" x14ac:dyDescent="0.4">
      <c r="A406" s="2" t="s">
        <v>387</v>
      </c>
      <c r="B406" s="2" t="s">
        <v>390</v>
      </c>
    </row>
    <row r="407" spans="1:13" s="7" customFormat="1" x14ac:dyDescent="0.25">
      <c r="A407" s="4" t="str">
        <f t="array" ref="A407:A414">R_CODE&amp;" "&amp;'Base data'!$D$11</f>
        <v>EU N2O</v>
      </c>
      <c r="B407" s="39">
        <f>'Preventative costs A'!B407-'Preventative costs B'!B407</f>
        <v>0</v>
      </c>
      <c r="C407" s="39">
        <f>'Preventative costs A'!C407-'Preventative costs B'!C407</f>
        <v>0</v>
      </c>
      <c r="D407" s="39">
        <f>'Preventative costs A'!D407-'Preventative costs B'!D407</f>
        <v>0</v>
      </c>
      <c r="E407" s="39">
        <f>'Preventative costs A'!E407-'Preventative costs B'!E407</f>
        <v>0</v>
      </c>
      <c r="F407" s="39">
        <f>'Preventative costs A'!F407-'Preventative costs B'!F407</f>
        <v>0</v>
      </c>
      <c r="G407" s="39">
        <f>'Preventative costs A'!G407-'Preventative costs B'!G407</f>
        <v>0</v>
      </c>
      <c r="H407" s="39">
        <f>'Preventative costs A'!H407-'Preventative costs B'!H407</f>
        <v>0</v>
      </c>
      <c r="I407" s="39">
        <f>'Preventative costs A'!I407-'Preventative costs B'!I407</f>
        <v>0</v>
      </c>
      <c r="J407" s="39">
        <f>'Preventative costs A'!J407-'Preventative costs B'!J407</f>
        <v>0</v>
      </c>
      <c r="K407" s="39">
        <f>'Preventative costs A'!K407-'Preventative costs B'!K407</f>
        <v>0</v>
      </c>
      <c r="M407" s="4" t="str">
        <f t="shared" ref="M407:M414" si="22">"per "&amp;EMIT_NAME</f>
        <v>per Mtonne</v>
      </c>
    </row>
    <row r="408" spans="1:13" s="7" customFormat="1" x14ac:dyDescent="0.25">
      <c r="A408" s="4" t="str">
        <v>US N2O</v>
      </c>
      <c r="B408" s="35">
        <f>'Preventative costs A'!B408-'Preventative costs B'!B408</f>
        <v>0</v>
      </c>
      <c r="C408" s="35">
        <f>'Preventative costs A'!C408-'Preventative costs B'!C408</f>
        <v>0</v>
      </c>
      <c r="D408" s="35">
        <f>'Preventative costs A'!D408-'Preventative costs B'!D408</f>
        <v>0</v>
      </c>
      <c r="E408" s="35">
        <f>'Preventative costs A'!E408-'Preventative costs B'!E408</f>
        <v>0</v>
      </c>
      <c r="F408" s="35">
        <f>'Preventative costs A'!F408-'Preventative costs B'!F408</f>
        <v>0</v>
      </c>
      <c r="G408" s="35">
        <f>'Preventative costs A'!G408-'Preventative costs B'!G408</f>
        <v>0</v>
      </c>
      <c r="H408" s="35">
        <f>'Preventative costs A'!H408-'Preventative costs B'!H408</f>
        <v>0</v>
      </c>
      <c r="I408" s="35">
        <f>'Preventative costs A'!I408-'Preventative costs B'!I408</f>
        <v>0</v>
      </c>
      <c r="J408" s="35">
        <f>'Preventative costs A'!J408-'Preventative costs B'!J408</f>
        <v>0</v>
      </c>
      <c r="K408" s="35">
        <f>'Preventative costs A'!K408-'Preventative costs B'!K408</f>
        <v>0</v>
      </c>
      <c r="M408" s="4" t="str">
        <f t="shared" si="22"/>
        <v>per Mtonne</v>
      </c>
    </row>
    <row r="409" spans="1:13" s="7" customFormat="1" x14ac:dyDescent="0.25">
      <c r="A409" s="4" t="str">
        <v>OT N2O</v>
      </c>
      <c r="B409" s="35">
        <f>'Preventative costs A'!B409-'Preventative costs B'!B409</f>
        <v>0</v>
      </c>
      <c r="C409" s="35">
        <f>'Preventative costs A'!C409-'Preventative costs B'!C409</f>
        <v>0</v>
      </c>
      <c r="D409" s="35">
        <f>'Preventative costs A'!D409-'Preventative costs B'!D409</f>
        <v>0</v>
      </c>
      <c r="E409" s="35">
        <f>'Preventative costs A'!E409-'Preventative costs B'!E409</f>
        <v>0</v>
      </c>
      <c r="F409" s="35">
        <f>'Preventative costs A'!F409-'Preventative costs B'!F409</f>
        <v>0</v>
      </c>
      <c r="G409" s="35">
        <f>'Preventative costs A'!G409-'Preventative costs B'!G409</f>
        <v>0</v>
      </c>
      <c r="H409" s="35">
        <f>'Preventative costs A'!H409-'Preventative costs B'!H409</f>
        <v>0</v>
      </c>
      <c r="I409" s="35">
        <f>'Preventative costs A'!I409-'Preventative costs B'!I409</f>
        <v>0</v>
      </c>
      <c r="J409" s="35">
        <f>'Preventative costs A'!J409-'Preventative costs B'!J409</f>
        <v>0</v>
      </c>
      <c r="K409" s="35">
        <f>'Preventative costs A'!K409-'Preventative costs B'!K409</f>
        <v>0</v>
      </c>
      <c r="M409" s="4" t="str">
        <f t="shared" si="22"/>
        <v>per Mtonne</v>
      </c>
    </row>
    <row r="410" spans="1:13" s="7" customFormat="1" x14ac:dyDescent="0.25">
      <c r="A410" s="4" t="str">
        <v>EE N2O</v>
      </c>
      <c r="B410" s="35">
        <f>'Preventative costs A'!B410-'Preventative costs B'!B410</f>
        <v>0</v>
      </c>
      <c r="C410" s="35">
        <f>'Preventative costs A'!C410-'Preventative costs B'!C410</f>
        <v>0</v>
      </c>
      <c r="D410" s="35">
        <f>'Preventative costs A'!D410-'Preventative costs B'!D410</f>
        <v>0</v>
      </c>
      <c r="E410" s="35">
        <f>'Preventative costs A'!E410-'Preventative costs B'!E410</f>
        <v>0</v>
      </c>
      <c r="F410" s="35">
        <f>'Preventative costs A'!F410-'Preventative costs B'!F410</f>
        <v>0</v>
      </c>
      <c r="G410" s="35">
        <f>'Preventative costs A'!G410-'Preventative costs B'!G410</f>
        <v>0</v>
      </c>
      <c r="H410" s="35">
        <f>'Preventative costs A'!H410-'Preventative costs B'!H410</f>
        <v>0</v>
      </c>
      <c r="I410" s="35">
        <f>'Preventative costs A'!I410-'Preventative costs B'!I410</f>
        <v>0</v>
      </c>
      <c r="J410" s="35">
        <f>'Preventative costs A'!J410-'Preventative costs B'!J410</f>
        <v>0</v>
      </c>
      <c r="K410" s="35">
        <f>'Preventative costs A'!K410-'Preventative costs B'!K410</f>
        <v>0</v>
      </c>
      <c r="M410" s="4" t="str">
        <f t="shared" si="22"/>
        <v>per Mtonne</v>
      </c>
    </row>
    <row r="411" spans="1:13" s="7" customFormat="1" x14ac:dyDescent="0.25">
      <c r="A411" s="4" t="str">
        <v>CA N2O</v>
      </c>
      <c r="B411" s="35">
        <f>'Preventative costs A'!B411-'Preventative costs B'!B411</f>
        <v>0</v>
      </c>
      <c r="C411" s="35">
        <f>'Preventative costs A'!C411-'Preventative costs B'!C411</f>
        <v>0</v>
      </c>
      <c r="D411" s="35">
        <f>'Preventative costs A'!D411-'Preventative costs B'!D411</f>
        <v>0</v>
      </c>
      <c r="E411" s="35">
        <f>'Preventative costs A'!E411-'Preventative costs B'!E411</f>
        <v>0</v>
      </c>
      <c r="F411" s="35">
        <f>'Preventative costs A'!F411-'Preventative costs B'!F411</f>
        <v>0</v>
      </c>
      <c r="G411" s="35">
        <f>'Preventative costs A'!G411-'Preventative costs B'!G411</f>
        <v>0</v>
      </c>
      <c r="H411" s="35">
        <f>'Preventative costs A'!H411-'Preventative costs B'!H411</f>
        <v>0</v>
      </c>
      <c r="I411" s="35">
        <f>'Preventative costs A'!I411-'Preventative costs B'!I411</f>
        <v>0</v>
      </c>
      <c r="J411" s="35">
        <f>'Preventative costs A'!J411-'Preventative costs B'!J411</f>
        <v>0</v>
      </c>
      <c r="K411" s="35">
        <f>'Preventative costs A'!K411-'Preventative costs B'!K411</f>
        <v>0</v>
      </c>
      <c r="M411" s="4" t="str">
        <f t="shared" si="22"/>
        <v>per Mtonne</v>
      </c>
    </row>
    <row r="412" spans="1:13" s="7" customFormat="1" x14ac:dyDescent="0.25">
      <c r="A412" s="4" t="str">
        <v>IA N2O</v>
      </c>
      <c r="B412" s="35">
        <f>'Preventative costs A'!B412-'Preventative costs B'!B412</f>
        <v>0</v>
      </c>
      <c r="C412" s="35">
        <f>'Preventative costs A'!C412-'Preventative costs B'!C412</f>
        <v>0</v>
      </c>
      <c r="D412" s="35">
        <f>'Preventative costs A'!D412-'Preventative costs B'!D412</f>
        <v>0</v>
      </c>
      <c r="E412" s="35">
        <f>'Preventative costs A'!E412-'Preventative costs B'!E412</f>
        <v>0</v>
      </c>
      <c r="F412" s="35">
        <f>'Preventative costs A'!F412-'Preventative costs B'!F412</f>
        <v>0</v>
      </c>
      <c r="G412" s="35">
        <f>'Preventative costs A'!G412-'Preventative costs B'!G412</f>
        <v>0</v>
      </c>
      <c r="H412" s="35">
        <f>'Preventative costs A'!H412-'Preventative costs B'!H412</f>
        <v>0</v>
      </c>
      <c r="I412" s="35">
        <f>'Preventative costs A'!I412-'Preventative costs B'!I412</f>
        <v>0</v>
      </c>
      <c r="J412" s="35">
        <f>'Preventative costs A'!J412-'Preventative costs B'!J412</f>
        <v>0</v>
      </c>
      <c r="K412" s="35">
        <f>'Preventative costs A'!K412-'Preventative costs B'!K412</f>
        <v>0</v>
      </c>
      <c r="M412" s="4" t="str">
        <f t="shared" si="22"/>
        <v>per Mtonne</v>
      </c>
    </row>
    <row r="413" spans="1:13" s="7" customFormat="1" x14ac:dyDescent="0.25">
      <c r="A413" s="4" t="str">
        <v>AF N2O</v>
      </c>
      <c r="B413" s="35">
        <f>'Preventative costs A'!B413-'Preventative costs B'!B413</f>
        <v>0</v>
      </c>
      <c r="C413" s="35">
        <f>'Preventative costs A'!C413-'Preventative costs B'!C413</f>
        <v>0</v>
      </c>
      <c r="D413" s="35">
        <f>'Preventative costs A'!D413-'Preventative costs B'!D413</f>
        <v>0</v>
      </c>
      <c r="E413" s="35">
        <f>'Preventative costs A'!E413-'Preventative costs B'!E413</f>
        <v>0</v>
      </c>
      <c r="F413" s="35">
        <f>'Preventative costs A'!F413-'Preventative costs B'!F413</f>
        <v>0</v>
      </c>
      <c r="G413" s="35">
        <f>'Preventative costs A'!G413-'Preventative costs B'!G413</f>
        <v>0</v>
      </c>
      <c r="H413" s="35">
        <f>'Preventative costs A'!H413-'Preventative costs B'!H413</f>
        <v>0</v>
      </c>
      <c r="I413" s="35">
        <f>'Preventative costs A'!I413-'Preventative costs B'!I413</f>
        <v>0</v>
      </c>
      <c r="J413" s="35">
        <f>'Preventative costs A'!J413-'Preventative costs B'!J413</f>
        <v>0</v>
      </c>
      <c r="K413" s="35">
        <f>'Preventative costs A'!K413-'Preventative costs B'!K413</f>
        <v>0</v>
      </c>
      <c r="M413" s="4" t="str">
        <f t="shared" si="22"/>
        <v>per Mtonne</v>
      </c>
    </row>
    <row r="414" spans="1:13" s="7" customFormat="1" ht="13" thickBot="1" x14ac:dyDescent="0.3">
      <c r="A414" s="4" t="str">
        <v>LA N2O</v>
      </c>
      <c r="B414" s="49">
        <f>'Preventative costs A'!B414-'Preventative costs B'!B414</f>
        <v>0</v>
      </c>
      <c r="C414" s="49">
        <f>'Preventative costs A'!C414-'Preventative costs B'!C414</f>
        <v>0</v>
      </c>
      <c r="D414" s="49">
        <f>'Preventative costs A'!D414-'Preventative costs B'!D414</f>
        <v>0</v>
      </c>
      <c r="E414" s="49">
        <f>'Preventative costs A'!E414-'Preventative costs B'!E414</f>
        <v>0</v>
      </c>
      <c r="F414" s="49">
        <f>'Preventative costs A'!F414-'Preventative costs B'!F414</f>
        <v>0</v>
      </c>
      <c r="G414" s="49">
        <f>'Preventative costs A'!G414-'Preventative costs B'!G414</f>
        <v>0</v>
      </c>
      <c r="H414" s="49">
        <f>'Preventative costs A'!H414-'Preventative costs B'!H414</f>
        <v>0</v>
      </c>
      <c r="I414" s="49">
        <f>'Preventative costs A'!I414-'Preventative costs B'!I414</f>
        <v>0</v>
      </c>
      <c r="J414" s="49">
        <f>'Preventative costs A'!J414-'Preventative costs B'!J414</f>
        <v>0</v>
      </c>
      <c r="K414" s="49">
        <f>'Preventative costs A'!K414-'Preventative costs B'!K414</f>
        <v>0</v>
      </c>
      <c r="M414" s="4" t="str">
        <f t="shared" si="22"/>
        <v>per Mtonne</v>
      </c>
    </row>
    <row r="415" spans="1:13" s="2" customFormat="1" ht="15.5" thickTop="1" x14ac:dyDescent="0.4">
      <c r="A415" s="2" t="s">
        <v>387</v>
      </c>
      <c r="B415" s="2" t="s">
        <v>391</v>
      </c>
    </row>
    <row r="416" spans="1:13" s="7" customFormat="1" x14ac:dyDescent="0.25">
      <c r="A416" s="4" t="str">
        <f t="array" ref="A416:A423">R_CODE&amp;" "&amp;GLIN_NAME</f>
        <v>EU Lin</v>
      </c>
      <c r="B416" s="39">
        <f>'Preventative costs A'!B416-'Preventative costs B'!B416</f>
        <v>0</v>
      </c>
      <c r="C416" s="39">
        <f>'Preventative costs A'!C416-'Preventative costs B'!C416</f>
        <v>0</v>
      </c>
      <c r="D416" s="39">
        <f>'Preventative costs A'!D416-'Preventative costs B'!D416</f>
        <v>0</v>
      </c>
      <c r="E416" s="39">
        <f>'Preventative costs A'!E416-'Preventative costs B'!E416</f>
        <v>0</v>
      </c>
      <c r="F416" s="39">
        <f>'Preventative costs A'!F416-'Preventative costs B'!F416</f>
        <v>0</v>
      </c>
      <c r="G416" s="39">
        <f>'Preventative costs A'!G416-'Preventative costs B'!G416</f>
        <v>0</v>
      </c>
      <c r="H416" s="39">
        <f>'Preventative costs A'!H416-'Preventative costs B'!H416</f>
        <v>0</v>
      </c>
      <c r="I416" s="39">
        <f>'Preventative costs A'!I416-'Preventative costs B'!I416</f>
        <v>0</v>
      </c>
      <c r="J416" s="39">
        <f>'Preventative costs A'!J416-'Preventative costs B'!J416</f>
        <v>0</v>
      </c>
      <c r="K416" s="39">
        <f>'Preventative costs A'!K416-'Preventative costs B'!K416</f>
        <v>0</v>
      </c>
      <c r="M416" s="4" t="str">
        <f t="shared" ref="M416:M423" si="23">"per "&amp;EMIT_NAME</f>
        <v>per Mtonne</v>
      </c>
    </row>
    <row r="417" spans="1:13" s="7" customFormat="1" x14ac:dyDescent="0.25">
      <c r="A417" s="4" t="str">
        <v>US Lin</v>
      </c>
      <c r="B417" s="35">
        <f>'Preventative costs A'!B417-'Preventative costs B'!B417</f>
        <v>0</v>
      </c>
      <c r="C417" s="35">
        <f>'Preventative costs A'!C417-'Preventative costs B'!C417</f>
        <v>0</v>
      </c>
      <c r="D417" s="35">
        <f>'Preventative costs A'!D417-'Preventative costs B'!D417</f>
        <v>0</v>
      </c>
      <c r="E417" s="35">
        <f>'Preventative costs A'!E417-'Preventative costs B'!E417</f>
        <v>0</v>
      </c>
      <c r="F417" s="35">
        <f>'Preventative costs A'!F417-'Preventative costs B'!F417</f>
        <v>0</v>
      </c>
      <c r="G417" s="35">
        <f>'Preventative costs A'!G417-'Preventative costs B'!G417</f>
        <v>0</v>
      </c>
      <c r="H417" s="35">
        <f>'Preventative costs A'!H417-'Preventative costs B'!H417</f>
        <v>0</v>
      </c>
      <c r="I417" s="35">
        <f>'Preventative costs A'!I417-'Preventative costs B'!I417</f>
        <v>0</v>
      </c>
      <c r="J417" s="35">
        <f>'Preventative costs A'!J417-'Preventative costs B'!J417</f>
        <v>0</v>
      </c>
      <c r="K417" s="35">
        <f>'Preventative costs A'!K417-'Preventative costs B'!K417</f>
        <v>0</v>
      </c>
      <c r="M417" s="4" t="str">
        <f t="shared" si="23"/>
        <v>per Mtonne</v>
      </c>
    </row>
    <row r="418" spans="1:13" s="7" customFormat="1" x14ac:dyDescent="0.25">
      <c r="A418" s="4" t="str">
        <v>OT Lin</v>
      </c>
      <c r="B418" s="35">
        <f>'Preventative costs A'!B418-'Preventative costs B'!B418</f>
        <v>0</v>
      </c>
      <c r="C418" s="35">
        <f>'Preventative costs A'!C418-'Preventative costs B'!C418</f>
        <v>0</v>
      </c>
      <c r="D418" s="35">
        <f>'Preventative costs A'!D418-'Preventative costs B'!D418</f>
        <v>0</v>
      </c>
      <c r="E418" s="35">
        <f>'Preventative costs A'!E418-'Preventative costs B'!E418</f>
        <v>0</v>
      </c>
      <c r="F418" s="35">
        <f>'Preventative costs A'!F418-'Preventative costs B'!F418</f>
        <v>0</v>
      </c>
      <c r="G418" s="35">
        <f>'Preventative costs A'!G418-'Preventative costs B'!G418</f>
        <v>0</v>
      </c>
      <c r="H418" s="35">
        <f>'Preventative costs A'!H418-'Preventative costs B'!H418</f>
        <v>0</v>
      </c>
      <c r="I418" s="35">
        <f>'Preventative costs A'!I418-'Preventative costs B'!I418</f>
        <v>0</v>
      </c>
      <c r="J418" s="35">
        <f>'Preventative costs A'!J418-'Preventative costs B'!J418</f>
        <v>0</v>
      </c>
      <c r="K418" s="35">
        <f>'Preventative costs A'!K418-'Preventative costs B'!K418</f>
        <v>0</v>
      </c>
      <c r="M418" s="4" t="str">
        <f t="shared" si="23"/>
        <v>per Mtonne</v>
      </c>
    </row>
    <row r="419" spans="1:13" s="7" customFormat="1" x14ac:dyDescent="0.25">
      <c r="A419" s="4" t="str">
        <v>EE Lin</v>
      </c>
      <c r="B419" s="35">
        <f>'Preventative costs A'!B419-'Preventative costs B'!B419</f>
        <v>0</v>
      </c>
      <c r="C419" s="35">
        <f>'Preventative costs A'!C419-'Preventative costs B'!C419</f>
        <v>0</v>
      </c>
      <c r="D419" s="35">
        <f>'Preventative costs A'!D419-'Preventative costs B'!D419</f>
        <v>0</v>
      </c>
      <c r="E419" s="35">
        <f>'Preventative costs A'!E419-'Preventative costs B'!E419</f>
        <v>0</v>
      </c>
      <c r="F419" s="35">
        <f>'Preventative costs A'!F419-'Preventative costs B'!F419</f>
        <v>0</v>
      </c>
      <c r="G419" s="35">
        <f>'Preventative costs A'!G419-'Preventative costs B'!G419</f>
        <v>0</v>
      </c>
      <c r="H419" s="35">
        <f>'Preventative costs A'!H419-'Preventative costs B'!H419</f>
        <v>0</v>
      </c>
      <c r="I419" s="35">
        <f>'Preventative costs A'!I419-'Preventative costs B'!I419</f>
        <v>0</v>
      </c>
      <c r="J419" s="35">
        <f>'Preventative costs A'!J419-'Preventative costs B'!J419</f>
        <v>0</v>
      </c>
      <c r="K419" s="35">
        <f>'Preventative costs A'!K419-'Preventative costs B'!K419</f>
        <v>0</v>
      </c>
      <c r="M419" s="4" t="str">
        <f t="shared" si="23"/>
        <v>per Mtonne</v>
      </c>
    </row>
    <row r="420" spans="1:13" s="7" customFormat="1" x14ac:dyDescent="0.25">
      <c r="A420" s="4" t="str">
        <v>CA Lin</v>
      </c>
      <c r="B420" s="35">
        <f>'Preventative costs A'!B420-'Preventative costs B'!B420</f>
        <v>0</v>
      </c>
      <c r="C420" s="35">
        <f>'Preventative costs A'!C420-'Preventative costs B'!C420</f>
        <v>0</v>
      </c>
      <c r="D420" s="35">
        <f>'Preventative costs A'!D420-'Preventative costs B'!D420</f>
        <v>0</v>
      </c>
      <c r="E420" s="35">
        <f>'Preventative costs A'!E420-'Preventative costs B'!E420</f>
        <v>0</v>
      </c>
      <c r="F420" s="35">
        <f>'Preventative costs A'!F420-'Preventative costs B'!F420</f>
        <v>0</v>
      </c>
      <c r="G420" s="35">
        <f>'Preventative costs A'!G420-'Preventative costs B'!G420</f>
        <v>0</v>
      </c>
      <c r="H420" s="35">
        <f>'Preventative costs A'!H420-'Preventative costs B'!H420</f>
        <v>0</v>
      </c>
      <c r="I420" s="35">
        <f>'Preventative costs A'!I420-'Preventative costs B'!I420</f>
        <v>0</v>
      </c>
      <c r="J420" s="35">
        <f>'Preventative costs A'!J420-'Preventative costs B'!J420</f>
        <v>0</v>
      </c>
      <c r="K420" s="35">
        <f>'Preventative costs A'!K420-'Preventative costs B'!K420</f>
        <v>0</v>
      </c>
      <c r="M420" s="4" t="str">
        <f t="shared" si="23"/>
        <v>per Mtonne</v>
      </c>
    </row>
    <row r="421" spans="1:13" s="7" customFormat="1" x14ac:dyDescent="0.25">
      <c r="A421" s="4" t="str">
        <v>IA Lin</v>
      </c>
      <c r="B421" s="35">
        <f>'Preventative costs A'!B421-'Preventative costs B'!B421</f>
        <v>0</v>
      </c>
      <c r="C421" s="35">
        <f>'Preventative costs A'!C421-'Preventative costs B'!C421</f>
        <v>0</v>
      </c>
      <c r="D421" s="35">
        <f>'Preventative costs A'!D421-'Preventative costs B'!D421</f>
        <v>0</v>
      </c>
      <c r="E421" s="35">
        <f>'Preventative costs A'!E421-'Preventative costs B'!E421</f>
        <v>0</v>
      </c>
      <c r="F421" s="35">
        <f>'Preventative costs A'!F421-'Preventative costs B'!F421</f>
        <v>0</v>
      </c>
      <c r="G421" s="35">
        <f>'Preventative costs A'!G421-'Preventative costs B'!G421</f>
        <v>0</v>
      </c>
      <c r="H421" s="35">
        <f>'Preventative costs A'!H421-'Preventative costs B'!H421</f>
        <v>0</v>
      </c>
      <c r="I421" s="35">
        <f>'Preventative costs A'!I421-'Preventative costs B'!I421</f>
        <v>0</v>
      </c>
      <c r="J421" s="35">
        <f>'Preventative costs A'!J421-'Preventative costs B'!J421</f>
        <v>0</v>
      </c>
      <c r="K421" s="35">
        <f>'Preventative costs A'!K421-'Preventative costs B'!K421</f>
        <v>0</v>
      </c>
      <c r="M421" s="4" t="str">
        <f t="shared" si="23"/>
        <v>per Mtonne</v>
      </c>
    </row>
    <row r="422" spans="1:13" s="7" customFormat="1" x14ac:dyDescent="0.25">
      <c r="A422" s="4" t="str">
        <v>AF Lin</v>
      </c>
      <c r="B422" s="35">
        <f>'Preventative costs A'!B422-'Preventative costs B'!B422</f>
        <v>0</v>
      </c>
      <c r="C422" s="35">
        <f>'Preventative costs A'!C422-'Preventative costs B'!C422</f>
        <v>0</v>
      </c>
      <c r="D422" s="35">
        <f>'Preventative costs A'!D422-'Preventative costs B'!D422</f>
        <v>0</v>
      </c>
      <c r="E422" s="35">
        <f>'Preventative costs A'!E422-'Preventative costs B'!E422</f>
        <v>0</v>
      </c>
      <c r="F422" s="35">
        <f>'Preventative costs A'!F422-'Preventative costs B'!F422</f>
        <v>0</v>
      </c>
      <c r="G422" s="35">
        <f>'Preventative costs A'!G422-'Preventative costs B'!G422</f>
        <v>0</v>
      </c>
      <c r="H422" s="35">
        <f>'Preventative costs A'!H422-'Preventative costs B'!H422</f>
        <v>0</v>
      </c>
      <c r="I422" s="35">
        <f>'Preventative costs A'!I422-'Preventative costs B'!I422</f>
        <v>0</v>
      </c>
      <c r="J422" s="35">
        <f>'Preventative costs A'!J422-'Preventative costs B'!J422</f>
        <v>0</v>
      </c>
      <c r="K422" s="35">
        <f>'Preventative costs A'!K422-'Preventative costs B'!K422</f>
        <v>0</v>
      </c>
      <c r="M422" s="4" t="str">
        <f t="shared" si="23"/>
        <v>per Mtonne</v>
      </c>
    </row>
    <row r="423" spans="1:13" s="7" customFormat="1" ht="13" thickBot="1" x14ac:dyDescent="0.3">
      <c r="A423" s="4" t="str">
        <v>LA Lin</v>
      </c>
      <c r="B423" s="49">
        <f>'Preventative costs A'!B423-'Preventative costs B'!B423</f>
        <v>0</v>
      </c>
      <c r="C423" s="49">
        <f>'Preventative costs A'!C423-'Preventative costs B'!C423</f>
        <v>0</v>
      </c>
      <c r="D423" s="49">
        <f>'Preventative costs A'!D423-'Preventative costs B'!D423</f>
        <v>0</v>
      </c>
      <c r="E423" s="49">
        <f>'Preventative costs A'!E423-'Preventative costs B'!E423</f>
        <v>0</v>
      </c>
      <c r="F423" s="49">
        <f>'Preventative costs A'!F423-'Preventative costs B'!F423</f>
        <v>0</v>
      </c>
      <c r="G423" s="49">
        <f>'Preventative costs A'!G423-'Preventative costs B'!G423</f>
        <v>0</v>
      </c>
      <c r="H423" s="49">
        <f>'Preventative costs A'!H423-'Preventative costs B'!H423</f>
        <v>0</v>
      </c>
      <c r="I423" s="49">
        <f>'Preventative costs A'!I423-'Preventative costs B'!I423</f>
        <v>0</v>
      </c>
      <c r="J423" s="49">
        <f>'Preventative costs A'!J423-'Preventative costs B'!J423</f>
        <v>0</v>
      </c>
      <c r="K423" s="49">
        <f>'Preventative costs A'!K423-'Preventative costs B'!K423</f>
        <v>0</v>
      </c>
      <c r="M423" s="4" t="str">
        <f t="shared" si="23"/>
        <v>per Mtonne</v>
      </c>
    </row>
    <row r="424" spans="1:13" s="2" customFormat="1" ht="15.5" thickTop="1" x14ac:dyDescent="0.4">
      <c r="A424" s="2" t="s">
        <v>386</v>
      </c>
      <c r="B424" s="2" t="s">
        <v>392</v>
      </c>
    </row>
    <row r="425" spans="1:13" s="6" customFormat="1" x14ac:dyDescent="0.25">
      <c r="A425" s="4" t="str">
        <f t="array" ref="A425:A432">R_CODE&amp;" "&amp;'Base data'!$B$11</f>
        <v>EU CO2</v>
      </c>
      <c r="B425" s="39">
        <f>'Preventative costs A'!B425-'Preventative costs B'!B425</f>
        <v>0</v>
      </c>
      <c r="C425" s="39">
        <f>'Preventative costs A'!C425-'Preventative costs B'!C425</f>
        <v>0</v>
      </c>
      <c r="D425" s="39">
        <f>'Preventative costs A'!D425-'Preventative costs B'!D425</f>
        <v>0</v>
      </c>
      <c r="E425" s="39">
        <f>'Preventative costs A'!E425-'Preventative costs B'!E425</f>
        <v>0</v>
      </c>
      <c r="F425" s="39">
        <f>'Preventative costs A'!F425-'Preventative costs B'!F425</f>
        <v>0</v>
      </c>
      <c r="G425" s="39">
        <f>'Preventative costs A'!G425-'Preventative costs B'!G425</f>
        <v>0</v>
      </c>
      <c r="H425" s="39">
        <f>'Preventative costs A'!H425-'Preventative costs B'!H425</f>
        <v>0</v>
      </c>
      <c r="I425" s="39">
        <f>'Preventative costs A'!I425-'Preventative costs B'!I425</f>
        <v>0</v>
      </c>
      <c r="J425" s="39">
        <f>'Preventative costs A'!J425-'Preventative costs B'!J425</f>
        <v>0</v>
      </c>
      <c r="K425" s="39">
        <f>'Preventative costs A'!K425-'Preventative costs B'!K425</f>
        <v>0</v>
      </c>
      <c r="M425" s="43" t="str">
        <f t="shared" ref="M425:M432" si="24">CURRENCY_NAME&amp;" per "&amp;EMIT_NAME</f>
        <v>$million per Mtonne</v>
      </c>
    </row>
    <row r="426" spans="1:13" s="6" customFormat="1" x14ac:dyDescent="0.25">
      <c r="A426" s="4" t="str">
        <v>US CO2</v>
      </c>
      <c r="B426" s="35">
        <f>'Preventative costs A'!B426-'Preventative costs B'!B426</f>
        <v>0</v>
      </c>
      <c r="C426" s="35">
        <f>'Preventative costs A'!C426-'Preventative costs B'!C426</f>
        <v>0</v>
      </c>
      <c r="D426" s="35">
        <f>'Preventative costs A'!D426-'Preventative costs B'!D426</f>
        <v>0</v>
      </c>
      <c r="E426" s="35">
        <f>'Preventative costs A'!E426-'Preventative costs B'!E426</f>
        <v>0</v>
      </c>
      <c r="F426" s="35">
        <f>'Preventative costs A'!F426-'Preventative costs B'!F426</f>
        <v>0</v>
      </c>
      <c r="G426" s="35">
        <f>'Preventative costs A'!G426-'Preventative costs B'!G426</f>
        <v>0</v>
      </c>
      <c r="H426" s="35">
        <f>'Preventative costs A'!H426-'Preventative costs B'!H426</f>
        <v>0</v>
      </c>
      <c r="I426" s="35">
        <f>'Preventative costs A'!I426-'Preventative costs B'!I426</f>
        <v>0</v>
      </c>
      <c r="J426" s="35">
        <f>'Preventative costs A'!J426-'Preventative costs B'!J426</f>
        <v>0</v>
      </c>
      <c r="K426" s="35">
        <f>'Preventative costs A'!K426-'Preventative costs B'!K426</f>
        <v>0</v>
      </c>
      <c r="M426" s="43" t="str">
        <f t="shared" si="24"/>
        <v>$million per Mtonne</v>
      </c>
    </row>
    <row r="427" spans="1:13" s="6" customFormat="1" x14ac:dyDescent="0.25">
      <c r="A427" s="4" t="str">
        <v>OT CO2</v>
      </c>
      <c r="B427" s="35">
        <f>'Preventative costs A'!B427-'Preventative costs B'!B427</f>
        <v>0</v>
      </c>
      <c r="C427" s="35">
        <f>'Preventative costs A'!C427-'Preventative costs B'!C427</f>
        <v>0</v>
      </c>
      <c r="D427" s="35">
        <f>'Preventative costs A'!D427-'Preventative costs B'!D427</f>
        <v>0</v>
      </c>
      <c r="E427" s="35">
        <f>'Preventative costs A'!E427-'Preventative costs B'!E427</f>
        <v>0</v>
      </c>
      <c r="F427" s="35">
        <f>'Preventative costs A'!F427-'Preventative costs B'!F427</f>
        <v>0</v>
      </c>
      <c r="G427" s="35">
        <f>'Preventative costs A'!G427-'Preventative costs B'!G427</f>
        <v>0</v>
      </c>
      <c r="H427" s="35">
        <f>'Preventative costs A'!H427-'Preventative costs B'!H427</f>
        <v>0</v>
      </c>
      <c r="I427" s="35">
        <f>'Preventative costs A'!I427-'Preventative costs B'!I427</f>
        <v>0</v>
      </c>
      <c r="J427" s="35">
        <f>'Preventative costs A'!J427-'Preventative costs B'!J427</f>
        <v>0</v>
      </c>
      <c r="K427" s="35">
        <f>'Preventative costs A'!K427-'Preventative costs B'!K427</f>
        <v>0</v>
      </c>
      <c r="M427" s="43" t="str">
        <f t="shared" si="24"/>
        <v>$million per Mtonne</v>
      </c>
    </row>
    <row r="428" spans="1:13" s="6" customFormat="1" x14ac:dyDescent="0.25">
      <c r="A428" s="4" t="str">
        <v>EE CO2</v>
      </c>
      <c r="B428" s="35">
        <f>'Preventative costs A'!B428-'Preventative costs B'!B428</f>
        <v>0</v>
      </c>
      <c r="C428" s="35">
        <f>'Preventative costs A'!C428-'Preventative costs B'!C428</f>
        <v>0</v>
      </c>
      <c r="D428" s="35">
        <f>'Preventative costs A'!D428-'Preventative costs B'!D428</f>
        <v>0</v>
      </c>
      <c r="E428" s="35">
        <f>'Preventative costs A'!E428-'Preventative costs B'!E428</f>
        <v>0</v>
      </c>
      <c r="F428" s="35">
        <f>'Preventative costs A'!F428-'Preventative costs B'!F428</f>
        <v>0</v>
      </c>
      <c r="G428" s="35">
        <f>'Preventative costs A'!G428-'Preventative costs B'!G428</f>
        <v>0</v>
      </c>
      <c r="H428" s="35">
        <f>'Preventative costs A'!H428-'Preventative costs B'!H428</f>
        <v>0</v>
      </c>
      <c r="I428" s="35">
        <f>'Preventative costs A'!I428-'Preventative costs B'!I428</f>
        <v>0</v>
      </c>
      <c r="J428" s="35">
        <f>'Preventative costs A'!J428-'Preventative costs B'!J428</f>
        <v>0</v>
      </c>
      <c r="K428" s="35">
        <f>'Preventative costs A'!K428-'Preventative costs B'!K428</f>
        <v>0</v>
      </c>
      <c r="M428" s="43" t="str">
        <f t="shared" si="24"/>
        <v>$million per Mtonne</v>
      </c>
    </row>
    <row r="429" spans="1:13" s="6" customFormat="1" x14ac:dyDescent="0.25">
      <c r="A429" s="4" t="str">
        <v>CA CO2</v>
      </c>
      <c r="B429" s="35">
        <f>'Preventative costs A'!B429-'Preventative costs B'!B429</f>
        <v>0</v>
      </c>
      <c r="C429" s="35">
        <f>'Preventative costs A'!C429-'Preventative costs B'!C429</f>
        <v>0</v>
      </c>
      <c r="D429" s="35">
        <f>'Preventative costs A'!D429-'Preventative costs B'!D429</f>
        <v>0</v>
      </c>
      <c r="E429" s="35">
        <f>'Preventative costs A'!E429-'Preventative costs B'!E429</f>
        <v>0</v>
      </c>
      <c r="F429" s="35">
        <f>'Preventative costs A'!F429-'Preventative costs B'!F429</f>
        <v>0</v>
      </c>
      <c r="G429" s="35">
        <f>'Preventative costs A'!G429-'Preventative costs B'!G429</f>
        <v>0</v>
      </c>
      <c r="H429" s="35">
        <f>'Preventative costs A'!H429-'Preventative costs B'!H429</f>
        <v>0</v>
      </c>
      <c r="I429" s="35">
        <f>'Preventative costs A'!I429-'Preventative costs B'!I429</f>
        <v>0</v>
      </c>
      <c r="J429" s="35">
        <f>'Preventative costs A'!J429-'Preventative costs B'!J429</f>
        <v>0</v>
      </c>
      <c r="K429" s="35">
        <f>'Preventative costs A'!K429-'Preventative costs B'!K429</f>
        <v>0</v>
      </c>
      <c r="M429" s="43" t="str">
        <f t="shared" si="24"/>
        <v>$million per Mtonne</v>
      </c>
    </row>
    <row r="430" spans="1:13" s="6" customFormat="1" x14ac:dyDescent="0.25">
      <c r="A430" s="4" t="str">
        <v>IA CO2</v>
      </c>
      <c r="B430" s="35">
        <f>'Preventative costs A'!B430-'Preventative costs B'!B430</f>
        <v>0</v>
      </c>
      <c r="C430" s="35">
        <f>'Preventative costs A'!C430-'Preventative costs B'!C430</f>
        <v>0</v>
      </c>
      <c r="D430" s="35">
        <f>'Preventative costs A'!D430-'Preventative costs B'!D430</f>
        <v>0</v>
      </c>
      <c r="E430" s="35">
        <f>'Preventative costs A'!E430-'Preventative costs B'!E430</f>
        <v>0</v>
      </c>
      <c r="F430" s="35">
        <f>'Preventative costs A'!F430-'Preventative costs B'!F430</f>
        <v>0</v>
      </c>
      <c r="G430" s="35">
        <f>'Preventative costs A'!G430-'Preventative costs B'!G430</f>
        <v>0</v>
      </c>
      <c r="H430" s="35">
        <f>'Preventative costs A'!H430-'Preventative costs B'!H430</f>
        <v>0</v>
      </c>
      <c r="I430" s="35">
        <f>'Preventative costs A'!I430-'Preventative costs B'!I430</f>
        <v>0</v>
      </c>
      <c r="J430" s="35">
        <f>'Preventative costs A'!J430-'Preventative costs B'!J430</f>
        <v>0</v>
      </c>
      <c r="K430" s="35">
        <f>'Preventative costs A'!K430-'Preventative costs B'!K430</f>
        <v>0</v>
      </c>
      <c r="M430" s="43" t="str">
        <f t="shared" si="24"/>
        <v>$million per Mtonne</v>
      </c>
    </row>
    <row r="431" spans="1:13" s="6" customFormat="1" x14ac:dyDescent="0.25">
      <c r="A431" s="4" t="str">
        <v>AF CO2</v>
      </c>
      <c r="B431" s="35">
        <f>'Preventative costs A'!B431-'Preventative costs B'!B431</f>
        <v>0</v>
      </c>
      <c r="C431" s="35">
        <f>'Preventative costs A'!C431-'Preventative costs B'!C431</f>
        <v>0</v>
      </c>
      <c r="D431" s="35">
        <f>'Preventative costs A'!D431-'Preventative costs B'!D431</f>
        <v>0</v>
      </c>
      <c r="E431" s="35">
        <f>'Preventative costs A'!E431-'Preventative costs B'!E431</f>
        <v>0</v>
      </c>
      <c r="F431" s="35">
        <f>'Preventative costs A'!F431-'Preventative costs B'!F431</f>
        <v>0</v>
      </c>
      <c r="G431" s="35">
        <f>'Preventative costs A'!G431-'Preventative costs B'!G431</f>
        <v>0</v>
      </c>
      <c r="H431" s="35">
        <f>'Preventative costs A'!H431-'Preventative costs B'!H431</f>
        <v>0</v>
      </c>
      <c r="I431" s="35">
        <f>'Preventative costs A'!I431-'Preventative costs B'!I431</f>
        <v>0</v>
      </c>
      <c r="J431" s="35">
        <f>'Preventative costs A'!J431-'Preventative costs B'!J431</f>
        <v>0</v>
      </c>
      <c r="K431" s="35">
        <f>'Preventative costs A'!K431-'Preventative costs B'!K431</f>
        <v>0</v>
      </c>
      <c r="M431" s="43" t="str">
        <f t="shared" si="24"/>
        <v>$million per Mtonne</v>
      </c>
    </row>
    <row r="432" spans="1:13" s="6" customFormat="1" ht="13" thickBot="1" x14ac:dyDescent="0.3">
      <c r="A432" s="4" t="str">
        <v>LA CO2</v>
      </c>
      <c r="B432" s="49">
        <f>'Preventative costs A'!B432-'Preventative costs B'!B432</f>
        <v>0</v>
      </c>
      <c r="C432" s="49">
        <f>'Preventative costs A'!C432-'Preventative costs B'!C432</f>
        <v>0</v>
      </c>
      <c r="D432" s="49">
        <f>'Preventative costs A'!D432-'Preventative costs B'!D432</f>
        <v>0</v>
      </c>
      <c r="E432" s="49">
        <f>'Preventative costs A'!E432-'Preventative costs B'!E432</f>
        <v>0</v>
      </c>
      <c r="F432" s="49">
        <f>'Preventative costs A'!F432-'Preventative costs B'!F432</f>
        <v>0</v>
      </c>
      <c r="G432" s="49">
        <f>'Preventative costs A'!G432-'Preventative costs B'!G432</f>
        <v>0</v>
      </c>
      <c r="H432" s="49">
        <f>'Preventative costs A'!H432-'Preventative costs B'!H432</f>
        <v>0</v>
      </c>
      <c r="I432" s="49">
        <f>'Preventative costs A'!I432-'Preventative costs B'!I432</f>
        <v>0</v>
      </c>
      <c r="J432" s="49">
        <f>'Preventative costs A'!J432-'Preventative costs B'!J432</f>
        <v>0</v>
      </c>
      <c r="K432" s="49">
        <f>'Preventative costs A'!K432-'Preventative costs B'!K432</f>
        <v>0</v>
      </c>
      <c r="M432" s="43" t="str">
        <f t="shared" si="24"/>
        <v>$million per Mtonne</v>
      </c>
    </row>
    <row r="433" spans="1:13" s="2" customFormat="1" ht="15.5" thickTop="1" x14ac:dyDescent="0.4">
      <c r="A433" s="2" t="s">
        <v>386</v>
      </c>
      <c r="B433" s="2" t="s">
        <v>393</v>
      </c>
    </row>
    <row r="434" spans="1:13" s="7" customFormat="1" x14ac:dyDescent="0.25">
      <c r="A434" s="4" t="str">
        <f t="array" ref="A434:A441">R_CODE&amp;" "&amp;'Base data'!$C$11</f>
        <v>EU CH4</v>
      </c>
      <c r="B434" s="39">
        <f>'Preventative costs A'!B434-'Preventative costs B'!B434</f>
        <v>0</v>
      </c>
      <c r="C434" s="39">
        <f>'Preventative costs A'!C434-'Preventative costs B'!C434</f>
        <v>0</v>
      </c>
      <c r="D434" s="39">
        <f>'Preventative costs A'!D434-'Preventative costs B'!D434</f>
        <v>0</v>
      </c>
      <c r="E434" s="39">
        <f>'Preventative costs A'!E434-'Preventative costs B'!E434</f>
        <v>0</v>
      </c>
      <c r="F434" s="39">
        <f>'Preventative costs A'!F434-'Preventative costs B'!F434</f>
        <v>0</v>
      </c>
      <c r="G434" s="39">
        <f>'Preventative costs A'!G434-'Preventative costs B'!G434</f>
        <v>0</v>
      </c>
      <c r="H434" s="39">
        <f>'Preventative costs A'!H434-'Preventative costs B'!H434</f>
        <v>0</v>
      </c>
      <c r="I434" s="39">
        <f>'Preventative costs A'!I434-'Preventative costs B'!I434</f>
        <v>0</v>
      </c>
      <c r="J434" s="39">
        <f>'Preventative costs A'!J434-'Preventative costs B'!J434</f>
        <v>0</v>
      </c>
      <c r="K434" s="39">
        <f>'Preventative costs A'!K434-'Preventative costs B'!K434</f>
        <v>0</v>
      </c>
      <c r="M434" s="43" t="str">
        <f t="shared" ref="M434:M441" si="25">CURRENCY_NAME&amp;" per "&amp;EMIT_NAME</f>
        <v>$million per Mtonne</v>
      </c>
    </row>
    <row r="435" spans="1:13" s="7" customFormat="1" x14ac:dyDescent="0.25">
      <c r="A435" s="4" t="str">
        <v>US CH4</v>
      </c>
      <c r="B435" s="35">
        <f>'Preventative costs A'!B435-'Preventative costs B'!B435</f>
        <v>0</v>
      </c>
      <c r="C435" s="35">
        <f>'Preventative costs A'!C435-'Preventative costs B'!C435</f>
        <v>0</v>
      </c>
      <c r="D435" s="35">
        <f>'Preventative costs A'!D435-'Preventative costs B'!D435</f>
        <v>0</v>
      </c>
      <c r="E435" s="35">
        <f>'Preventative costs A'!E435-'Preventative costs B'!E435</f>
        <v>0</v>
      </c>
      <c r="F435" s="35">
        <f>'Preventative costs A'!F435-'Preventative costs B'!F435</f>
        <v>0</v>
      </c>
      <c r="G435" s="35">
        <f>'Preventative costs A'!G435-'Preventative costs B'!G435</f>
        <v>0</v>
      </c>
      <c r="H435" s="35">
        <f>'Preventative costs A'!H435-'Preventative costs B'!H435</f>
        <v>0</v>
      </c>
      <c r="I435" s="35">
        <f>'Preventative costs A'!I435-'Preventative costs B'!I435</f>
        <v>0</v>
      </c>
      <c r="J435" s="35">
        <f>'Preventative costs A'!J435-'Preventative costs B'!J435</f>
        <v>0</v>
      </c>
      <c r="K435" s="35">
        <f>'Preventative costs A'!K435-'Preventative costs B'!K435</f>
        <v>0</v>
      </c>
      <c r="M435" s="43" t="str">
        <f t="shared" si="25"/>
        <v>$million per Mtonne</v>
      </c>
    </row>
    <row r="436" spans="1:13" s="7" customFormat="1" x14ac:dyDescent="0.25">
      <c r="A436" s="4" t="str">
        <v>OT CH4</v>
      </c>
      <c r="B436" s="35">
        <f>'Preventative costs A'!B436-'Preventative costs B'!B436</f>
        <v>0</v>
      </c>
      <c r="C436" s="35">
        <f>'Preventative costs A'!C436-'Preventative costs B'!C436</f>
        <v>0</v>
      </c>
      <c r="D436" s="35">
        <f>'Preventative costs A'!D436-'Preventative costs B'!D436</f>
        <v>0</v>
      </c>
      <c r="E436" s="35">
        <f>'Preventative costs A'!E436-'Preventative costs B'!E436</f>
        <v>0</v>
      </c>
      <c r="F436" s="35">
        <f>'Preventative costs A'!F436-'Preventative costs B'!F436</f>
        <v>0</v>
      </c>
      <c r="G436" s="35">
        <f>'Preventative costs A'!G436-'Preventative costs B'!G436</f>
        <v>0</v>
      </c>
      <c r="H436" s="35">
        <f>'Preventative costs A'!H436-'Preventative costs B'!H436</f>
        <v>0</v>
      </c>
      <c r="I436" s="35">
        <f>'Preventative costs A'!I436-'Preventative costs B'!I436</f>
        <v>0</v>
      </c>
      <c r="J436" s="35">
        <f>'Preventative costs A'!J436-'Preventative costs B'!J436</f>
        <v>0</v>
      </c>
      <c r="K436" s="35">
        <f>'Preventative costs A'!K436-'Preventative costs B'!K436</f>
        <v>0</v>
      </c>
      <c r="M436" s="43" t="str">
        <f t="shared" si="25"/>
        <v>$million per Mtonne</v>
      </c>
    </row>
    <row r="437" spans="1:13" s="7" customFormat="1" x14ac:dyDescent="0.25">
      <c r="A437" s="4" t="str">
        <v>EE CH4</v>
      </c>
      <c r="B437" s="35">
        <f>'Preventative costs A'!B437-'Preventative costs B'!B437</f>
        <v>0</v>
      </c>
      <c r="C437" s="35">
        <f>'Preventative costs A'!C437-'Preventative costs B'!C437</f>
        <v>0</v>
      </c>
      <c r="D437" s="35">
        <f>'Preventative costs A'!D437-'Preventative costs B'!D437</f>
        <v>0</v>
      </c>
      <c r="E437" s="35">
        <f>'Preventative costs A'!E437-'Preventative costs B'!E437</f>
        <v>0</v>
      </c>
      <c r="F437" s="35">
        <f>'Preventative costs A'!F437-'Preventative costs B'!F437</f>
        <v>0</v>
      </c>
      <c r="G437" s="35">
        <f>'Preventative costs A'!G437-'Preventative costs B'!G437</f>
        <v>0</v>
      </c>
      <c r="H437" s="35">
        <f>'Preventative costs A'!H437-'Preventative costs B'!H437</f>
        <v>0</v>
      </c>
      <c r="I437" s="35">
        <f>'Preventative costs A'!I437-'Preventative costs B'!I437</f>
        <v>0</v>
      </c>
      <c r="J437" s="35">
        <f>'Preventative costs A'!J437-'Preventative costs B'!J437</f>
        <v>0</v>
      </c>
      <c r="K437" s="35">
        <f>'Preventative costs A'!K437-'Preventative costs B'!K437</f>
        <v>0</v>
      </c>
      <c r="M437" s="43" t="str">
        <f t="shared" si="25"/>
        <v>$million per Mtonne</v>
      </c>
    </row>
    <row r="438" spans="1:13" s="7" customFormat="1" x14ac:dyDescent="0.25">
      <c r="A438" s="4" t="str">
        <v>CA CH4</v>
      </c>
      <c r="B438" s="35">
        <f>'Preventative costs A'!B438-'Preventative costs B'!B438</f>
        <v>0</v>
      </c>
      <c r="C438" s="35">
        <f>'Preventative costs A'!C438-'Preventative costs B'!C438</f>
        <v>0</v>
      </c>
      <c r="D438" s="35">
        <f>'Preventative costs A'!D438-'Preventative costs B'!D438</f>
        <v>0</v>
      </c>
      <c r="E438" s="35">
        <f>'Preventative costs A'!E438-'Preventative costs B'!E438</f>
        <v>0</v>
      </c>
      <c r="F438" s="35">
        <f>'Preventative costs A'!F438-'Preventative costs B'!F438</f>
        <v>0</v>
      </c>
      <c r="G438" s="35">
        <f>'Preventative costs A'!G438-'Preventative costs B'!G438</f>
        <v>0</v>
      </c>
      <c r="H438" s="35">
        <f>'Preventative costs A'!H438-'Preventative costs B'!H438</f>
        <v>0</v>
      </c>
      <c r="I438" s="35">
        <f>'Preventative costs A'!I438-'Preventative costs B'!I438</f>
        <v>0</v>
      </c>
      <c r="J438" s="35">
        <f>'Preventative costs A'!J438-'Preventative costs B'!J438</f>
        <v>0</v>
      </c>
      <c r="K438" s="35">
        <f>'Preventative costs A'!K438-'Preventative costs B'!K438</f>
        <v>0</v>
      </c>
      <c r="M438" s="43" t="str">
        <f t="shared" si="25"/>
        <v>$million per Mtonne</v>
      </c>
    </row>
    <row r="439" spans="1:13" s="7" customFormat="1" x14ac:dyDescent="0.25">
      <c r="A439" s="4" t="str">
        <v>IA CH4</v>
      </c>
      <c r="B439" s="35">
        <f>'Preventative costs A'!B439-'Preventative costs B'!B439</f>
        <v>0</v>
      </c>
      <c r="C439" s="35">
        <f>'Preventative costs A'!C439-'Preventative costs B'!C439</f>
        <v>0</v>
      </c>
      <c r="D439" s="35">
        <f>'Preventative costs A'!D439-'Preventative costs B'!D439</f>
        <v>0</v>
      </c>
      <c r="E439" s="35">
        <f>'Preventative costs A'!E439-'Preventative costs B'!E439</f>
        <v>0</v>
      </c>
      <c r="F439" s="35">
        <f>'Preventative costs A'!F439-'Preventative costs B'!F439</f>
        <v>0</v>
      </c>
      <c r="G439" s="35">
        <f>'Preventative costs A'!G439-'Preventative costs B'!G439</f>
        <v>0</v>
      </c>
      <c r="H439" s="35">
        <f>'Preventative costs A'!H439-'Preventative costs B'!H439</f>
        <v>0</v>
      </c>
      <c r="I439" s="35">
        <f>'Preventative costs A'!I439-'Preventative costs B'!I439</f>
        <v>0</v>
      </c>
      <c r="J439" s="35">
        <f>'Preventative costs A'!J439-'Preventative costs B'!J439</f>
        <v>0</v>
      </c>
      <c r="K439" s="35">
        <f>'Preventative costs A'!K439-'Preventative costs B'!K439</f>
        <v>0</v>
      </c>
      <c r="M439" s="43" t="str">
        <f t="shared" si="25"/>
        <v>$million per Mtonne</v>
      </c>
    </row>
    <row r="440" spans="1:13" s="7" customFormat="1" x14ac:dyDescent="0.25">
      <c r="A440" s="4" t="str">
        <v>AF CH4</v>
      </c>
      <c r="B440" s="35">
        <f>'Preventative costs A'!B440-'Preventative costs B'!B440</f>
        <v>0</v>
      </c>
      <c r="C440" s="35">
        <f>'Preventative costs A'!C440-'Preventative costs B'!C440</f>
        <v>0</v>
      </c>
      <c r="D440" s="35">
        <f>'Preventative costs A'!D440-'Preventative costs B'!D440</f>
        <v>0</v>
      </c>
      <c r="E440" s="35">
        <f>'Preventative costs A'!E440-'Preventative costs B'!E440</f>
        <v>0</v>
      </c>
      <c r="F440" s="35">
        <f>'Preventative costs A'!F440-'Preventative costs B'!F440</f>
        <v>0</v>
      </c>
      <c r="G440" s="35">
        <f>'Preventative costs A'!G440-'Preventative costs B'!G440</f>
        <v>0</v>
      </c>
      <c r="H440" s="35">
        <f>'Preventative costs A'!H440-'Preventative costs B'!H440</f>
        <v>0</v>
      </c>
      <c r="I440" s="35">
        <f>'Preventative costs A'!I440-'Preventative costs B'!I440</f>
        <v>0</v>
      </c>
      <c r="J440" s="35">
        <f>'Preventative costs A'!J440-'Preventative costs B'!J440</f>
        <v>0</v>
      </c>
      <c r="K440" s="35">
        <f>'Preventative costs A'!K440-'Preventative costs B'!K440</f>
        <v>0</v>
      </c>
      <c r="M440" s="43" t="str">
        <f t="shared" si="25"/>
        <v>$million per Mtonne</v>
      </c>
    </row>
    <row r="441" spans="1:13" s="7" customFormat="1" ht="13" thickBot="1" x14ac:dyDescent="0.3">
      <c r="A441" s="4" t="str">
        <v>LA CH4</v>
      </c>
      <c r="B441" s="49">
        <f>'Preventative costs A'!B441-'Preventative costs B'!B441</f>
        <v>0</v>
      </c>
      <c r="C441" s="49">
        <f>'Preventative costs A'!C441-'Preventative costs B'!C441</f>
        <v>0</v>
      </c>
      <c r="D441" s="49">
        <f>'Preventative costs A'!D441-'Preventative costs B'!D441</f>
        <v>0</v>
      </c>
      <c r="E441" s="49">
        <f>'Preventative costs A'!E441-'Preventative costs B'!E441</f>
        <v>0</v>
      </c>
      <c r="F441" s="49">
        <f>'Preventative costs A'!F441-'Preventative costs B'!F441</f>
        <v>0</v>
      </c>
      <c r="G441" s="49">
        <f>'Preventative costs A'!G441-'Preventative costs B'!G441</f>
        <v>0</v>
      </c>
      <c r="H441" s="49">
        <f>'Preventative costs A'!H441-'Preventative costs B'!H441</f>
        <v>0</v>
      </c>
      <c r="I441" s="49">
        <f>'Preventative costs A'!I441-'Preventative costs B'!I441</f>
        <v>0</v>
      </c>
      <c r="J441" s="49">
        <f>'Preventative costs A'!J441-'Preventative costs B'!J441</f>
        <v>0</v>
      </c>
      <c r="K441" s="49">
        <f>'Preventative costs A'!K441-'Preventative costs B'!K441</f>
        <v>0</v>
      </c>
      <c r="M441" s="43" t="str">
        <f t="shared" si="25"/>
        <v>$million per Mtonne</v>
      </c>
    </row>
    <row r="442" spans="1:13" s="2" customFormat="1" ht="15.5" thickTop="1" x14ac:dyDescent="0.4">
      <c r="A442" s="2" t="s">
        <v>386</v>
      </c>
      <c r="B442" s="2" t="s">
        <v>394</v>
      </c>
    </row>
    <row r="443" spans="1:13" s="7" customFormat="1" x14ac:dyDescent="0.25">
      <c r="A443" s="4" t="str">
        <f t="array" ref="A443:A450">R_CODE&amp;" "&amp;'Base data'!$D$11</f>
        <v>EU N2O</v>
      </c>
      <c r="B443" s="39">
        <f>'Preventative costs A'!B443-'Preventative costs B'!B443</f>
        <v>0</v>
      </c>
      <c r="C443" s="39">
        <f>'Preventative costs A'!C443-'Preventative costs B'!C443</f>
        <v>0</v>
      </c>
      <c r="D443" s="39">
        <f>'Preventative costs A'!D443-'Preventative costs B'!D443</f>
        <v>0</v>
      </c>
      <c r="E443" s="39">
        <f>'Preventative costs A'!E443-'Preventative costs B'!E443</f>
        <v>0</v>
      </c>
      <c r="F443" s="39">
        <f>'Preventative costs A'!F443-'Preventative costs B'!F443</f>
        <v>0</v>
      </c>
      <c r="G443" s="39">
        <f>'Preventative costs A'!G443-'Preventative costs B'!G443</f>
        <v>0</v>
      </c>
      <c r="H443" s="39">
        <f>'Preventative costs A'!H443-'Preventative costs B'!H443</f>
        <v>0</v>
      </c>
      <c r="I443" s="39">
        <f>'Preventative costs A'!I443-'Preventative costs B'!I443</f>
        <v>0</v>
      </c>
      <c r="J443" s="39">
        <f>'Preventative costs A'!J443-'Preventative costs B'!J443</f>
        <v>0</v>
      </c>
      <c r="K443" s="39">
        <f>'Preventative costs A'!K443-'Preventative costs B'!K443</f>
        <v>0</v>
      </c>
      <c r="M443" s="43" t="str">
        <f t="shared" ref="M443:M450" si="26">CURRENCY_NAME&amp;" per "&amp;EMIT_NAME</f>
        <v>$million per Mtonne</v>
      </c>
    </row>
    <row r="444" spans="1:13" s="7" customFormat="1" x14ac:dyDescent="0.25">
      <c r="A444" s="4" t="str">
        <v>US N2O</v>
      </c>
      <c r="B444" s="35">
        <f>'Preventative costs A'!B444-'Preventative costs B'!B444</f>
        <v>0</v>
      </c>
      <c r="C444" s="35">
        <f>'Preventative costs A'!C444-'Preventative costs B'!C444</f>
        <v>0</v>
      </c>
      <c r="D444" s="35">
        <f>'Preventative costs A'!D444-'Preventative costs B'!D444</f>
        <v>0</v>
      </c>
      <c r="E444" s="35">
        <f>'Preventative costs A'!E444-'Preventative costs B'!E444</f>
        <v>0</v>
      </c>
      <c r="F444" s="35">
        <f>'Preventative costs A'!F444-'Preventative costs B'!F444</f>
        <v>0</v>
      </c>
      <c r="G444" s="35">
        <f>'Preventative costs A'!G444-'Preventative costs B'!G444</f>
        <v>0</v>
      </c>
      <c r="H444" s="35">
        <f>'Preventative costs A'!H444-'Preventative costs B'!H444</f>
        <v>0</v>
      </c>
      <c r="I444" s="35">
        <f>'Preventative costs A'!I444-'Preventative costs B'!I444</f>
        <v>0</v>
      </c>
      <c r="J444" s="35">
        <f>'Preventative costs A'!J444-'Preventative costs B'!J444</f>
        <v>0</v>
      </c>
      <c r="K444" s="35">
        <f>'Preventative costs A'!K444-'Preventative costs B'!K444</f>
        <v>0</v>
      </c>
      <c r="M444" s="43" t="str">
        <f t="shared" si="26"/>
        <v>$million per Mtonne</v>
      </c>
    </row>
    <row r="445" spans="1:13" s="7" customFormat="1" x14ac:dyDescent="0.25">
      <c r="A445" s="4" t="str">
        <v>OT N2O</v>
      </c>
      <c r="B445" s="35">
        <f>'Preventative costs A'!B445-'Preventative costs B'!B445</f>
        <v>0</v>
      </c>
      <c r="C445" s="35">
        <f>'Preventative costs A'!C445-'Preventative costs B'!C445</f>
        <v>0</v>
      </c>
      <c r="D445" s="35">
        <f>'Preventative costs A'!D445-'Preventative costs B'!D445</f>
        <v>0</v>
      </c>
      <c r="E445" s="35">
        <f>'Preventative costs A'!E445-'Preventative costs B'!E445</f>
        <v>0</v>
      </c>
      <c r="F445" s="35">
        <f>'Preventative costs A'!F445-'Preventative costs B'!F445</f>
        <v>0</v>
      </c>
      <c r="G445" s="35">
        <f>'Preventative costs A'!G445-'Preventative costs B'!G445</f>
        <v>0</v>
      </c>
      <c r="H445" s="35">
        <f>'Preventative costs A'!H445-'Preventative costs B'!H445</f>
        <v>0</v>
      </c>
      <c r="I445" s="35">
        <f>'Preventative costs A'!I445-'Preventative costs B'!I445</f>
        <v>0</v>
      </c>
      <c r="J445" s="35">
        <f>'Preventative costs A'!J445-'Preventative costs B'!J445</f>
        <v>0</v>
      </c>
      <c r="K445" s="35">
        <f>'Preventative costs A'!K445-'Preventative costs B'!K445</f>
        <v>0</v>
      </c>
      <c r="M445" s="43" t="str">
        <f t="shared" si="26"/>
        <v>$million per Mtonne</v>
      </c>
    </row>
    <row r="446" spans="1:13" s="7" customFormat="1" x14ac:dyDescent="0.25">
      <c r="A446" s="4" t="str">
        <v>EE N2O</v>
      </c>
      <c r="B446" s="35">
        <f>'Preventative costs A'!B446-'Preventative costs B'!B446</f>
        <v>0</v>
      </c>
      <c r="C446" s="35">
        <f>'Preventative costs A'!C446-'Preventative costs B'!C446</f>
        <v>0</v>
      </c>
      <c r="D446" s="35">
        <f>'Preventative costs A'!D446-'Preventative costs B'!D446</f>
        <v>0</v>
      </c>
      <c r="E446" s="35">
        <f>'Preventative costs A'!E446-'Preventative costs B'!E446</f>
        <v>0</v>
      </c>
      <c r="F446" s="35">
        <f>'Preventative costs A'!F446-'Preventative costs B'!F446</f>
        <v>0</v>
      </c>
      <c r="G446" s="35">
        <f>'Preventative costs A'!G446-'Preventative costs B'!G446</f>
        <v>0</v>
      </c>
      <c r="H446" s="35">
        <f>'Preventative costs A'!H446-'Preventative costs B'!H446</f>
        <v>0</v>
      </c>
      <c r="I446" s="35">
        <f>'Preventative costs A'!I446-'Preventative costs B'!I446</f>
        <v>0</v>
      </c>
      <c r="J446" s="35">
        <f>'Preventative costs A'!J446-'Preventative costs B'!J446</f>
        <v>0</v>
      </c>
      <c r="K446" s="35">
        <f>'Preventative costs A'!K446-'Preventative costs B'!K446</f>
        <v>0</v>
      </c>
      <c r="M446" s="43" t="str">
        <f t="shared" si="26"/>
        <v>$million per Mtonne</v>
      </c>
    </row>
    <row r="447" spans="1:13" s="7" customFormat="1" x14ac:dyDescent="0.25">
      <c r="A447" s="4" t="str">
        <v>CA N2O</v>
      </c>
      <c r="B447" s="35">
        <f>'Preventative costs A'!B447-'Preventative costs B'!B447</f>
        <v>0</v>
      </c>
      <c r="C447" s="35">
        <f>'Preventative costs A'!C447-'Preventative costs B'!C447</f>
        <v>0</v>
      </c>
      <c r="D447" s="35">
        <f>'Preventative costs A'!D447-'Preventative costs B'!D447</f>
        <v>0</v>
      </c>
      <c r="E447" s="35">
        <f>'Preventative costs A'!E447-'Preventative costs B'!E447</f>
        <v>0</v>
      </c>
      <c r="F447" s="35">
        <f>'Preventative costs A'!F447-'Preventative costs B'!F447</f>
        <v>0</v>
      </c>
      <c r="G447" s="35">
        <f>'Preventative costs A'!G447-'Preventative costs B'!G447</f>
        <v>0</v>
      </c>
      <c r="H447" s="35">
        <f>'Preventative costs A'!H447-'Preventative costs B'!H447</f>
        <v>0</v>
      </c>
      <c r="I447" s="35">
        <f>'Preventative costs A'!I447-'Preventative costs B'!I447</f>
        <v>0</v>
      </c>
      <c r="J447" s="35">
        <f>'Preventative costs A'!J447-'Preventative costs B'!J447</f>
        <v>0</v>
      </c>
      <c r="K447" s="35">
        <f>'Preventative costs A'!K447-'Preventative costs B'!K447</f>
        <v>0</v>
      </c>
      <c r="M447" s="43" t="str">
        <f t="shared" si="26"/>
        <v>$million per Mtonne</v>
      </c>
    </row>
    <row r="448" spans="1:13" s="7" customFormat="1" x14ac:dyDescent="0.25">
      <c r="A448" s="4" t="str">
        <v>IA N2O</v>
      </c>
      <c r="B448" s="35">
        <f>'Preventative costs A'!B448-'Preventative costs B'!B448</f>
        <v>0</v>
      </c>
      <c r="C448" s="35">
        <f>'Preventative costs A'!C448-'Preventative costs B'!C448</f>
        <v>0</v>
      </c>
      <c r="D448" s="35">
        <f>'Preventative costs A'!D448-'Preventative costs B'!D448</f>
        <v>0</v>
      </c>
      <c r="E448" s="35">
        <f>'Preventative costs A'!E448-'Preventative costs B'!E448</f>
        <v>0</v>
      </c>
      <c r="F448" s="35">
        <f>'Preventative costs A'!F448-'Preventative costs B'!F448</f>
        <v>0</v>
      </c>
      <c r="G448" s="35">
        <f>'Preventative costs A'!G448-'Preventative costs B'!G448</f>
        <v>0</v>
      </c>
      <c r="H448" s="35">
        <f>'Preventative costs A'!H448-'Preventative costs B'!H448</f>
        <v>0</v>
      </c>
      <c r="I448" s="35">
        <f>'Preventative costs A'!I448-'Preventative costs B'!I448</f>
        <v>0</v>
      </c>
      <c r="J448" s="35">
        <f>'Preventative costs A'!J448-'Preventative costs B'!J448</f>
        <v>0</v>
      </c>
      <c r="K448" s="35">
        <f>'Preventative costs A'!K448-'Preventative costs B'!K448</f>
        <v>0</v>
      </c>
      <c r="M448" s="43" t="str">
        <f t="shared" si="26"/>
        <v>$million per Mtonne</v>
      </c>
    </row>
    <row r="449" spans="1:13" s="7" customFormat="1" x14ac:dyDescent="0.25">
      <c r="A449" s="4" t="str">
        <v>AF N2O</v>
      </c>
      <c r="B449" s="35">
        <f>'Preventative costs A'!B449-'Preventative costs B'!B449</f>
        <v>0</v>
      </c>
      <c r="C449" s="35">
        <f>'Preventative costs A'!C449-'Preventative costs B'!C449</f>
        <v>0</v>
      </c>
      <c r="D449" s="35">
        <f>'Preventative costs A'!D449-'Preventative costs B'!D449</f>
        <v>0</v>
      </c>
      <c r="E449" s="35">
        <f>'Preventative costs A'!E449-'Preventative costs B'!E449</f>
        <v>0</v>
      </c>
      <c r="F449" s="35">
        <f>'Preventative costs A'!F449-'Preventative costs B'!F449</f>
        <v>0</v>
      </c>
      <c r="G449" s="35">
        <f>'Preventative costs A'!G449-'Preventative costs B'!G449</f>
        <v>0</v>
      </c>
      <c r="H449" s="35">
        <f>'Preventative costs A'!H449-'Preventative costs B'!H449</f>
        <v>0</v>
      </c>
      <c r="I449" s="35">
        <f>'Preventative costs A'!I449-'Preventative costs B'!I449</f>
        <v>0</v>
      </c>
      <c r="J449" s="35">
        <f>'Preventative costs A'!J449-'Preventative costs B'!J449</f>
        <v>0</v>
      </c>
      <c r="K449" s="35">
        <f>'Preventative costs A'!K449-'Preventative costs B'!K449</f>
        <v>0</v>
      </c>
      <c r="M449" s="43" t="str">
        <f t="shared" si="26"/>
        <v>$million per Mtonne</v>
      </c>
    </row>
    <row r="450" spans="1:13" s="7" customFormat="1" ht="13" thickBot="1" x14ac:dyDescent="0.3">
      <c r="A450" s="4" t="str">
        <v>LA N2O</v>
      </c>
      <c r="B450" s="49">
        <f>'Preventative costs A'!B450-'Preventative costs B'!B450</f>
        <v>0</v>
      </c>
      <c r="C450" s="49">
        <f>'Preventative costs A'!C450-'Preventative costs B'!C450</f>
        <v>0</v>
      </c>
      <c r="D450" s="49">
        <f>'Preventative costs A'!D450-'Preventative costs B'!D450</f>
        <v>0</v>
      </c>
      <c r="E450" s="49">
        <f>'Preventative costs A'!E450-'Preventative costs B'!E450</f>
        <v>0</v>
      </c>
      <c r="F450" s="49">
        <f>'Preventative costs A'!F450-'Preventative costs B'!F450</f>
        <v>0</v>
      </c>
      <c r="G450" s="49">
        <f>'Preventative costs A'!G450-'Preventative costs B'!G450</f>
        <v>0</v>
      </c>
      <c r="H450" s="49">
        <f>'Preventative costs A'!H450-'Preventative costs B'!H450</f>
        <v>0</v>
      </c>
      <c r="I450" s="49">
        <f>'Preventative costs A'!I450-'Preventative costs B'!I450</f>
        <v>0</v>
      </c>
      <c r="J450" s="49">
        <f>'Preventative costs A'!J450-'Preventative costs B'!J450</f>
        <v>0</v>
      </c>
      <c r="K450" s="49">
        <f>'Preventative costs A'!K450-'Preventative costs B'!K450</f>
        <v>0</v>
      </c>
      <c r="M450" s="43" t="str">
        <f t="shared" si="26"/>
        <v>$million per Mtonne</v>
      </c>
    </row>
    <row r="451" spans="1:13" s="2" customFormat="1" ht="15.5" thickTop="1" x14ac:dyDescent="0.4">
      <c r="A451" s="2" t="s">
        <v>386</v>
      </c>
      <c r="B451" s="2" t="s">
        <v>395</v>
      </c>
    </row>
    <row r="452" spans="1:13" s="7" customFormat="1" x14ac:dyDescent="0.25">
      <c r="A452" s="4" t="str">
        <f t="array" ref="A452:A459">R_CODE&amp;" "&amp;GLIN_NAME</f>
        <v>EU Lin</v>
      </c>
      <c r="B452" s="39">
        <f>'Preventative costs A'!B452-'Preventative costs B'!B452</f>
        <v>0</v>
      </c>
      <c r="C452" s="39">
        <f>'Preventative costs A'!C452-'Preventative costs B'!C452</f>
        <v>0</v>
      </c>
      <c r="D452" s="39">
        <f>'Preventative costs A'!D452-'Preventative costs B'!D452</f>
        <v>0</v>
      </c>
      <c r="E452" s="39">
        <f>'Preventative costs A'!E452-'Preventative costs B'!E452</f>
        <v>0</v>
      </c>
      <c r="F452" s="39">
        <f>'Preventative costs A'!F452-'Preventative costs B'!F452</f>
        <v>0</v>
      </c>
      <c r="G452" s="39">
        <f>'Preventative costs A'!G452-'Preventative costs B'!G452</f>
        <v>0</v>
      </c>
      <c r="H452" s="39">
        <f>'Preventative costs A'!H452-'Preventative costs B'!H452</f>
        <v>0</v>
      </c>
      <c r="I452" s="39">
        <f>'Preventative costs A'!I452-'Preventative costs B'!I452</f>
        <v>0</v>
      </c>
      <c r="J452" s="39">
        <f>'Preventative costs A'!J452-'Preventative costs B'!J452</f>
        <v>0</v>
      </c>
      <c r="K452" s="39">
        <f>'Preventative costs A'!K452-'Preventative costs B'!K452</f>
        <v>0</v>
      </c>
      <c r="M452" s="43" t="str">
        <f t="shared" ref="M452:M459" si="27">CURRENCY_NAME&amp;" per "&amp;EMIT_NAME</f>
        <v>$million per Mtonne</v>
      </c>
    </row>
    <row r="453" spans="1:13" s="7" customFormat="1" x14ac:dyDescent="0.25">
      <c r="A453" s="4" t="str">
        <v>US Lin</v>
      </c>
      <c r="B453" s="35">
        <f>'Preventative costs A'!B453-'Preventative costs B'!B453</f>
        <v>0</v>
      </c>
      <c r="C453" s="35">
        <f>'Preventative costs A'!C453-'Preventative costs B'!C453</f>
        <v>0</v>
      </c>
      <c r="D453" s="35">
        <f>'Preventative costs A'!D453-'Preventative costs B'!D453</f>
        <v>0</v>
      </c>
      <c r="E453" s="35">
        <f>'Preventative costs A'!E453-'Preventative costs B'!E453</f>
        <v>0</v>
      </c>
      <c r="F453" s="35">
        <f>'Preventative costs A'!F453-'Preventative costs B'!F453</f>
        <v>0</v>
      </c>
      <c r="G453" s="35">
        <f>'Preventative costs A'!G453-'Preventative costs B'!G453</f>
        <v>0</v>
      </c>
      <c r="H453" s="35">
        <f>'Preventative costs A'!H453-'Preventative costs B'!H453</f>
        <v>0</v>
      </c>
      <c r="I453" s="35">
        <f>'Preventative costs A'!I453-'Preventative costs B'!I453</f>
        <v>0</v>
      </c>
      <c r="J453" s="35">
        <f>'Preventative costs A'!J453-'Preventative costs B'!J453</f>
        <v>0</v>
      </c>
      <c r="K453" s="35">
        <f>'Preventative costs A'!K453-'Preventative costs B'!K453</f>
        <v>0</v>
      </c>
      <c r="M453" s="43" t="str">
        <f t="shared" si="27"/>
        <v>$million per Mtonne</v>
      </c>
    </row>
    <row r="454" spans="1:13" s="7" customFormat="1" x14ac:dyDescent="0.25">
      <c r="A454" s="4" t="str">
        <v>OT Lin</v>
      </c>
      <c r="B454" s="35">
        <f>'Preventative costs A'!B454-'Preventative costs B'!B454</f>
        <v>0</v>
      </c>
      <c r="C454" s="35">
        <f>'Preventative costs A'!C454-'Preventative costs B'!C454</f>
        <v>0</v>
      </c>
      <c r="D454" s="35">
        <f>'Preventative costs A'!D454-'Preventative costs B'!D454</f>
        <v>0</v>
      </c>
      <c r="E454" s="35">
        <f>'Preventative costs A'!E454-'Preventative costs B'!E454</f>
        <v>0</v>
      </c>
      <c r="F454" s="35">
        <f>'Preventative costs A'!F454-'Preventative costs B'!F454</f>
        <v>0</v>
      </c>
      <c r="G454" s="35">
        <f>'Preventative costs A'!G454-'Preventative costs B'!G454</f>
        <v>0</v>
      </c>
      <c r="H454" s="35">
        <f>'Preventative costs A'!H454-'Preventative costs B'!H454</f>
        <v>0</v>
      </c>
      <c r="I454" s="35">
        <f>'Preventative costs A'!I454-'Preventative costs B'!I454</f>
        <v>0</v>
      </c>
      <c r="J454" s="35">
        <f>'Preventative costs A'!J454-'Preventative costs B'!J454</f>
        <v>0</v>
      </c>
      <c r="K454" s="35">
        <f>'Preventative costs A'!K454-'Preventative costs B'!K454</f>
        <v>0</v>
      </c>
      <c r="M454" s="43" t="str">
        <f t="shared" si="27"/>
        <v>$million per Mtonne</v>
      </c>
    </row>
    <row r="455" spans="1:13" s="7" customFormat="1" x14ac:dyDescent="0.25">
      <c r="A455" s="4" t="str">
        <v>EE Lin</v>
      </c>
      <c r="B455" s="35">
        <f>'Preventative costs A'!B455-'Preventative costs B'!B455</f>
        <v>0</v>
      </c>
      <c r="C455" s="35">
        <f>'Preventative costs A'!C455-'Preventative costs B'!C455</f>
        <v>0</v>
      </c>
      <c r="D455" s="35">
        <f>'Preventative costs A'!D455-'Preventative costs B'!D455</f>
        <v>0</v>
      </c>
      <c r="E455" s="35">
        <f>'Preventative costs A'!E455-'Preventative costs B'!E455</f>
        <v>0</v>
      </c>
      <c r="F455" s="35">
        <f>'Preventative costs A'!F455-'Preventative costs B'!F455</f>
        <v>0</v>
      </c>
      <c r="G455" s="35">
        <f>'Preventative costs A'!G455-'Preventative costs B'!G455</f>
        <v>0</v>
      </c>
      <c r="H455" s="35">
        <f>'Preventative costs A'!H455-'Preventative costs B'!H455</f>
        <v>0</v>
      </c>
      <c r="I455" s="35">
        <f>'Preventative costs A'!I455-'Preventative costs B'!I455</f>
        <v>0</v>
      </c>
      <c r="J455" s="35">
        <f>'Preventative costs A'!J455-'Preventative costs B'!J455</f>
        <v>0</v>
      </c>
      <c r="K455" s="35">
        <f>'Preventative costs A'!K455-'Preventative costs B'!K455</f>
        <v>0</v>
      </c>
      <c r="M455" s="43" t="str">
        <f t="shared" si="27"/>
        <v>$million per Mtonne</v>
      </c>
    </row>
    <row r="456" spans="1:13" s="7" customFormat="1" x14ac:dyDescent="0.25">
      <c r="A456" s="4" t="str">
        <v>CA Lin</v>
      </c>
      <c r="B456" s="35">
        <f>'Preventative costs A'!B456-'Preventative costs B'!B456</f>
        <v>0</v>
      </c>
      <c r="C456" s="35">
        <f>'Preventative costs A'!C456-'Preventative costs B'!C456</f>
        <v>0</v>
      </c>
      <c r="D456" s="35">
        <f>'Preventative costs A'!D456-'Preventative costs B'!D456</f>
        <v>0</v>
      </c>
      <c r="E456" s="35">
        <f>'Preventative costs A'!E456-'Preventative costs B'!E456</f>
        <v>0</v>
      </c>
      <c r="F456" s="35">
        <f>'Preventative costs A'!F456-'Preventative costs B'!F456</f>
        <v>0</v>
      </c>
      <c r="G456" s="35">
        <f>'Preventative costs A'!G456-'Preventative costs B'!G456</f>
        <v>0</v>
      </c>
      <c r="H456" s="35">
        <f>'Preventative costs A'!H456-'Preventative costs B'!H456</f>
        <v>0</v>
      </c>
      <c r="I456" s="35">
        <f>'Preventative costs A'!I456-'Preventative costs B'!I456</f>
        <v>0</v>
      </c>
      <c r="J456" s="35">
        <f>'Preventative costs A'!J456-'Preventative costs B'!J456</f>
        <v>0</v>
      </c>
      <c r="K456" s="35">
        <f>'Preventative costs A'!K456-'Preventative costs B'!K456</f>
        <v>0</v>
      </c>
      <c r="M456" s="43" t="str">
        <f t="shared" si="27"/>
        <v>$million per Mtonne</v>
      </c>
    </row>
    <row r="457" spans="1:13" s="7" customFormat="1" x14ac:dyDescent="0.25">
      <c r="A457" s="4" t="str">
        <v>IA Lin</v>
      </c>
      <c r="B457" s="35">
        <f>'Preventative costs A'!B457-'Preventative costs B'!B457</f>
        <v>0</v>
      </c>
      <c r="C457" s="35">
        <f>'Preventative costs A'!C457-'Preventative costs B'!C457</f>
        <v>0</v>
      </c>
      <c r="D457" s="35">
        <f>'Preventative costs A'!D457-'Preventative costs B'!D457</f>
        <v>0</v>
      </c>
      <c r="E457" s="35">
        <f>'Preventative costs A'!E457-'Preventative costs B'!E457</f>
        <v>0</v>
      </c>
      <c r="F457" s="35">
        <f>'Preventative costs A'!F457-'Preventative costs B'!F457</f>
        <v>0</v>
      </c>
      <c r="G457" s="35">
        <f>'Preventative costs A'!G457-'Preventative costs B'!G457</f>
        <v>0</v>
      </c>
      <c r="H457" s="35">
        <f>'Preventative costs A'!H457-'Preventative costs B'!H457</f>
        <v>0</v>
      </c>
      <c r="I457" s="35">
        <f>'Preventative costs A'!I457-'Preventative costs B'!I457</f>
        <v>0</v>
      </c>
      <c r="J457" s="35">
        <f>'Preventative costs A'!J457-'Preventative costs B'!J457</f>
        <v>0</v>
      </c>
      <c r="K457" s="35">
        <f>'Preventative costs A'!K457-'Preventative costs B'!K457</f>
        <v>0</v>
      </c>
      <c r="M457" s="43" t="str">
        <f t="shared" si="27"/>
        <v>$million per Mtonne</v>
      </c>
    </row>
    <row r="458" spans="1:13" s="7" customFormat="1" x14ac:dyDescent="0.25">
      <c r="A458" s="4" t="str">
        <v>AF Lin</v>
      </c>
      <c r="B458" s="35">
        <f>'Preventative costs A'!B458-'Preventative costs B'!B458</f>
        <v>0</v>
      </c>
      <c r="C458" s="35">
        <f>'Preventative costs A'!C458-'Preventative costs B'!C458</f>
        <v>0</v>
      </c>
      <c r="D458" s="35">
        <f>'Preventative costs A'!D458-'Preventative costs B'!D458</f>
        <v>0</v>
      </c>
      <c r="E458" s="35">
        <f>'Preventative costs A'!E458-'Preventative costs B'!E458</f>
        <v>0</v>
      </c>
      <c r="F458" s="35">
        <f>'Preventative costs A'!F458-'Preventative costs B'!F458</f>
        <v>0</v>
      </c>
      <c r="G458" s="35">
        <f>'Preventative costs A'!G458-'Preventative costs B'!G458</f>
        <v>0</v>
      </c>
      <c r="H458" s="35">
        <f>'Preventative costs A'!H458-'Preventative costs B'!H458</f>
        <v>0</v>
      </c>
      <c r="I458" s="35">
        <f>'Preventative costs A'!I458-'Preventative costs B'!I458</f>
        <v>0</v>
      </c>
      <c r="J458" s="35">
        <f>'Preventative costs A'!J458-'Preventative costs B'!J458</f>
        <v>0</v>
      </c>
      <c r="K458" s="35">
        <f>'Preventative costs A'!K458-'Preventative costs B'!K458</f>
        <v>0</v>
      </c>
      <c r="M458" s="43" t="str">
        <f t="shared" si="27"/>
        <v>$million per Mtonne</v>
      </c>
    </row>
    <row r="459" spans="1:13" s="7" customFormat="1" ht="13" thickBot="1" x14ac:dyDescent="0.3">
      <c r="A459" s="4" t="str">
        <v>LA Lin</v>
      </c>
      <c r="B459" s="49">
        <f>'Preventative costs A'!B459-'Preventative costs B'!B459</f>
        <v>0</v>
      </c>
      <c r="C459" s="49">
        <f>'Preventative costs A'!C459-'Preventative costs B'!C459</f>
        <v>0</v>
      </c>
      <c r="D459" s="49">
        <f>'Preventative costs A'!D459-'Preventative costs B'!D459</f>
        <v>0</v>
      </c>
      <c r="E459" s="49">
        <f>'Preventative costs A'!E459-'Preventative costs B'!E459</f>
        <v>0</v>
      </c>
      <c r="F459" s="49">
        <f>'Preventative costs A'!F459-'Preventative costs B'!F459</f>
        <v>0</v>
      </c>
      <c r="G459" s="49">
        <f>'Preventative costs A'!G459-'Preventative costs B'!G459</f>
        <v>0</v>
      </c>
      <c r="H459" s="49">
        <f>'Preventative costs A'!H459-'Preventative costs B'!H459</f>
        <v>0</v>
      </c>
      <c r="I459" s="49">
        <f>'Preventative costs A'!I459-'Preventative costs B'!I459</f>
        <v>0</v>
      </c>
      <c r="J459" s="49">
        <f>'Preventative costs A'!J459-'Preventative costs B'!J459</f>
        <v>0</v>
      </c>
      <c r="K459" s="49">
        <f>'Preventative costs A'!K459-'Preventative costs B'!K459</f>
        <v>0</v>
      </c>
      <c r="M459" s="43" t="str">
        <f t="shared" si="27"/>
        <v>$million per Mtonne</v>
      </c>
    </row>
    <row r="460" spans="1:13" s="2" customFormat="1" ht="15.5" thickTop="1" x14ac:dyDescent="0.4">
      <c r="A460" s="2" t="s">
        <v>396</v>
      </c>
      <c r="B460" s="2" t="s">
        <v>397</v>
      </c>
    </row>
    <row r="461" spans="1:13" s="6" customFormat="1" x14ac:dyDescent="0.25">
      <c r="A461" s="4" t="str">
        <f t="array" ref="A461:A468">R_CODE&amp;" "&amp;'Base data'!$B$11</f>
        <v>EU CO2</v>
      </c>
      <c r="B461" s="39">
        <f>'Preventative costs A'!B461-'Preventative costs B'!B461</f>
        <v>0</v>
      </c>
      <c r="C461" s="39">
        <f>'Preventative costs A'!C461-'Preventative costs B'!C461</f>
        <v>0</v>
      </c>
      <c r="D461" s="39">
        <f>'Preventative costs A'!D461-'Preventative costs B'!D461</f>
        <v>0</v>
      </c>
      <c r="E461" s="39">
        <f>'Preventative costs A'!E461-'Preventative costs B'!E461</f>
        <v>0</v>
      </c>
      <c r="F461" s="39">
        <f>'Preventative costs A'!F461-'Preventative costs B'!F461</f>
        <v>0</v>
      </c>
      <c r="G461" s="39">
        <f>'Preventative costs A'!G461-'Preventative costs B'!G461</f>
        <v>0</v>
      </c>
      <c r="H461" s="39">
        <f>'Preventative costs A'!H461-'Preventative costs B'!H461</f>
        <v>0</v>
      </c>
      <c r="I461" s="39">
        <f>'Preventative costs A'!I461-'Preventative costs B'!I461</f>
        <v>0</v>
      </c>
      <c r="J461" s="39">
        <f>'Preventative costs A'!J461-'Preventative costs B'!J461</f>
        <v>0</v>
      </c>
      <c r="K461" s="39">
        <f>'Preventative costs A'!K461-'Preventative costs B'!K461</f>
        <v>0</v>
      </c>
      <c r="M461" s="4" t="str">
        <f t="shared" ref="M461:M468" si="28">"per "&amp;EMIT_NAME</f>
        <v>per Mtonne</v>
      </c>
    </row>
    <row r="462" spans="1:13" s="6" customFormat="1" x14ac:dyDescent="0.25">
      <c r="A462" s="4" t="str">
        <v>US CO2</v>
      </c>
      <c r="B462" s="35">
        <f>'Preventative costs A'!B462-'Preventative costs B'!B462</f>
        <v>0</v>
      </c>
      <c r="C462" s="35">
        <f>'Preventative costs A'!C462-'Preventative costs B'!C462</f>
        <v>0</v>
      </c>
      <c r="D462" s="35">
        <f>'Preventative costs A'!D462-'Preventative costs B'!D462</f>
        <v>0</v>
      </c>
      <c r="E462" s="35">
        <f>'Preventative costs A'!E462-'Preventative costs B'!E462</f>
        <v>0</v>
      </c>
      <c r="F462" s="35">
        <f>'Preventative costs A'!F462-'Preventative costs B'!F462</f>
        <v>0</v>
      </c>
      <c r="G462" s="35">
        <f>'Preventative costs A'!G462-'Preventative costs B'!G462</f>
        <v>0</v>
      </c>
      <c r="H462" s="35">
        <f>'Preventative costs A'!H462-'Preventative costs B'!H462</f>
        <v>0</v>
      </c>
      <c r="I462" s="35">
        <f>'Preventative costs A'!I462-'Preventative costs B'!I462</f>
        <v>0</v>
      </c>
      <c r="J462" s="35">
        <f>'Preventative costs A'!J462-'Preventative costs B'!J462</f>
        <v>0</v>
      </c>
      <c r="K462" s="35">
        <f>'Preventative costs A'!K462-'Preventative costs B'!K462</f>
        <v>0</v>
      </c>
      <c r="M462" s="4" t="str">
        <f t="shared" si="28"/>
        <v>per Mtonne</v>
      </c>
    </row>
    <row r="463" spans="1:13" s="6" customFormat="1" x14ac:dyDescent="0.25">
      <c r="A463" s="4" t="str">
        <v>OT CO2</v>
      </c>
      <c r="B463" s="35">
        <f>'Preventative costs A'!B463-'Preventative costs B'!B463</f>
        <v>0</v>
      </c>
      <c r="C463" s="35">
        <f>'Preventative costs A'!C463-'Preventative costs B'!C463</f>
        <v>0</v>
      </c>
      <c r="D463" s="35">
        <f>'Preventative costs A'!D463-'Preventative costs B'!D463</f>
        <v>0</v>
      </c>
      <c r="E463" s="35">
        <f>'Preventative costs A'!E463-'Preventative costs B'!E463</f>
        <v>0</v>
      </c>
      <c r="F463" s="35">
        <f>'Preventative costs A'!F463-'Preventative costs B'!F463</f>
        <v>0</v>
      </c>
      <c r="G463" s="35">
        <f>'Preventative costs A'!G463-'Preventative costs B'!G463</f>
        <v>0</v>
      </c>
      <c r="H463" s="35">
        <f>'Preventative costs A'!H463-'Preventative costs B'!H463</f>
        <v>0</v>
      </c>
      <c r="I463" s="35">
        <f>'Preventative costs A'!I463-'Preventative costs B'!I463</f>
        <v>0</v>
      </c>
      <c r="J463" s="35">
        <f>'Preventative costs A'!J463-'Preventative costs B'!J463</f>
        <v>0</v>
      </c>
      <c r="K463" s="35">
        <f>'Preventative costs A'!K463-'Preventative costs B'!K463</f>
        <v>0</v>
      </c>
      <c r="M463" s="4" t="str">
        <f t="shared" si="28"/>
        <v>per Mtonne</v>
      </c>
    </row>
    <row r="464" spans="1:13" s="6" customFormat="1" x14ac:dyDescent="0.25">
      <c r="A464" s="4" t="str">
        <v>EE CO2</v>
      </c>
      <c r="B464" s="35">
        <f>'Preventative costs A'!B464-'Preventative costs B'!B464</f>
        <v>0</v>
      </c>
      <c r="C464" s="35">
        <f>'Preventative costs A'!C464-'Preventative costs B'!C464</f>
        <v>0</v>
      </c>
      <c r="D464" s="35">
        <f>'Preventative costs A'!D464-'Preventative costs B'!D464</f>
        <v>0</v>
      </c>
      <c r="E464" s="35">
        <f>'Preventative costs A'!E464-'Preventative costs B'!E464</f>
        <v>0</v>
      </c>
      <c r="F464" s="35">
        <f>'Preventative costs A'!F464-'Preventative costs B'!F464</f>
        <v>0</v>
      </c>
      <c r="G464" s="35">
        <f>'Preventative costs A'!G464-'Preventative costs B'!G464</f>
        <v>0</v>
      </c>
      <c r="H464" s="35">
        <f>'Preventative costs A'!H464-'Preventative costs B'!H464</f>
        <v>0</v>
      </c>
      <c r="I464" s="35">
        <f>'Preventative costs A'!I464-'Preventative costs B'!I464</f>
        <v>0</v>
      </c>
      <c r="J464" s="35">
        <f>'Preventative costs A'!J464-'Preventative costs B'!J464</f>
        <v>0</v>
      </c>
      <c r="K464" s="35">
        <f>'Preventative costs A'!K464-'Preventative costs B'!K464</f>
        <v>0</v>
      </c>
      <c r="M464" s="4" t="str">
        <f t="shared" si="28"/>
        <v>per Mtonne</v>
      </c>
    </row>
    <row r="465" spans="1:13" s="6" customFormat="1" x14ac:dyDescent="0.25">
      <c r="A465" s="4" t="str">
        <v>CA CO2</v>
      </c>
      <c r="B465" s="35">
        <f>'Preventative costs A'!B465-'Preventative costs B'!B465</f>
        <v>0</v>
      </c>
      <c r="C465" s="35">
        <f>'Preventative costs A'!C465-'Preventative costs B'!C465</f>
        <v>0</v>
      </c>
      <c r="D465" s="35">
        <f>'Preventative costs A'!D465-'Preventative costs B'!D465</f>
        <v>0</v>
      </c>
      <c r="E465" s="35">
        <f>'Preventative costs A'!E465-'Preventative costs B'!E465</f>
        <v>0</v>
      </c>
      <c r="F465" s="35">
        <f>'Preventative costs A'!F465-'Preventative costs B'!F465</f>
        <v>0</v>
      </c>
      <c r="G465" s="35">
        <f>'Preventative costs A'!G465-'Preventative costs B'!G465</f>
        <v>0</v>
      </c>
      <c r="H465" s="35">
        <f>'Preventative costs A'!H465-'Preventative costs B'!H465</f>
        <v>0</v>
      </c>
      <c r="I465" s="35">
        <f>'Preventative costs A'!I465-'Preventative costs B'!I465</f>
        <v>0</v>
      </c>
      <c r="J465" s="35">
        <f>'Preventative costs A'!J465-'Preventative costs B'!J465</f>
        <v>0</v>
      </c>
      <c r="K465" s="35">
        <f>'Preventative costs A'!K465-'Preventative costs B'!K465</f>
        <v>0</v>
      </c>
      <c r="M465" s="4" t="str">
        <f t="shared" si="28"/>
        <v>per Mtonne</v>
      </c>
    </row>
    <row r="466" spans="1:13" s="6" customFormat="1" x14ac:dyDescent="0.25">
      <c r="A466" s="4" t="str">
        <v>IA CO2</v>
      </c>
      <c r="B466" s="35">
        <f>'Preventative costs A'!B466-'Preventative costs B'!B466</f>
        <v>0</v>
      </c>
      <c r="C466" s="35">
        <f>'Preventative costs A'!C466-'Preventative costs B'!C466</f>
        <v>0</v>
      </c>
      <c r="D466" s="35">
        <f>'Preventative costs A'!D466-'Preventative costs B'!D466</f>
        <v>0</v>
      </c>
      <c r="E466" s="35">
        <f>'Preventative costs A'!E466-'Preventative costs B'!E466</f>
        <v>0</v>
      </c>
      <c r="F466" s="35">
        <f>'Preventative costs A'!F466-'Preventative costs B'!F466</f>
        <v>0</v>
      </c>
      <c r="G466" s="35">
        <f>'Preventative costs A'!G466-'Preventative costs B'!G466</f>
        <v>0</v>
      </c>
      <c r="H466" s="35">
        <f>'Preventative costs A'!H466-'Preventative costs B'!H466</f>
        <v>0</v>
      </c>
      <c r="I466" s="35">
        <f>'Preventative costs A'!I466-'Preventative costs B'!I466</f>
        <v>0</v>
      </c>
      <c r="J466" s="35">
        <f>'Preventative costs A'!J466-'Preventative costs B'!J466</f>
        <v>0</v>
      </c>
      <c r="K466" s="35">
        <f>'Preventative costs A'!K466-'Preventative costs B'!K466</f>
        <v>0</v>
      </c>
      <c r="M466" s="4" t="str">
        <f t="shared" si="28"/>
        <v>per Mtonne</v>
      </c>
    </row>
    <row r="467" spans="1:13" s="6" customFormat="1" x14ac:dyDescent="0.25">
      <c r="A467" s="4" t="str">
        <v>AF CO2</v>
      </c>
      <c r="B467" s="35">
        <f>'Preventative costs A'!B467-'Preventative costs B'!B467</f>
        <v>0</v>
      </c>
      <c r="C467" s="35">
        <f>'Preventative costs A'!C467-'Preventative costs B'!C467</f>
        <v>0</v>
      </c>
      <c r="D467" s="35">
        <f>'Preventative costs A'!D467-'Preventative costs B'!D467</f>
        <v>0</v>
      </c>
      <c r="E467" s="35">
        <f>'Preventative costs A'!E467-'Preventative costs B'!E467</f>
        <v>0</v>
      </c>
      <c r="F467" s="35">
        <f>'Preventative costs A'!F467-'Preventative costs B'!F467</f>
        <v>0</v>
      </c>
      <c r="G467" s="35">
        <f>'Preventative costs A'!G467-'Preventative costs B'!G467</f>
        <v>0</v>
      </c>
      <c r="H467" s="35">
        <f>'Preventative costs A'!H467-'Preventative costs B'!H467</f>
        <v>0</v>
      </c>
      <c r="I467" s="35">
        <f>'Preventative costs A'!I467-'Preventative costs B'!I467</f>
        <v>0</v>
      </c>
      <c r="J467" s="35">
        <f>'Preventative costs A'!J467-'Preventative costs B'!J467</f>
        <v>0</v>
      </c>
      <c r="K467" s="35">
        <f>'Preventative costs A'!K467-'Preventative costs B'!K467</f>
        <v>0</v>
      </c>
      <c r="M467" s="4" t="str">
        <f t="shared" si="28"/>
        <v>per Mtonne</v>
      </c>
    </row>
    <row r="468" spans="1:13" s="6" customFormat="1" ht="13" thickBot="1" x14ac:dyDescent="0.3">
      <c r="A468" s="4" t="str">
        <v>LA CO2</v>
      </c>
      <c r="B468" s="49">
        <f>'Preventative costs A'!B468-'Preventative costs B'!B468</f>
        <v>0</v>
      </c>
      <c r="C468" s="49">
        <f>'Preventative costs A'!C468-'Preventative costs B'!C468</f>
        <v>0</v>
      </c>
      <c r="D468" s="49">
        <f>'Preventative costs A'!D468-'Preventative costs B'!D468</f>
        <v>0</v>
      </c>
      <c r="E468" s="49">
        <f>'Preventative costs A'!E468-'Preventative costs B'!E468</f>
        <v>0</v>
      </c>
      <c r="F468" s="49">
        <f>'Preventative costs A'!F468-'Preventative costs B'!F468</f>
        <v>0</v>
      </c>
      <c r="G468" s="49">
        <f>'Preventative costs A'!G468-'Preventative costs B'!G468</f>
        <v>0</v>
      </c>
      <c r="H468" s="49">
        <f>'Preventative costs A'!H468-'Preventative costs B'!H468</f>
        <v>0</v>
      </c>
      <c r="I468" s="49">
        <f>'Preventative costs A'!I468-'Preventative costs B'!I468</f>
        <v>0</v>
      </c>
      <c r="J468" s="49">
        <f>'Preventative costs A'!J468-'Preventative costs B'!J468</f>
        <v>0</v>
      </c>
      <c r="K468" s="49">
        <f>'Preventative costs A'!K468-'Preventative costs B'!K468</f>
        <v>0</v>
      </c>
      <c r="M468" s="4" t="str">
        <f t="shared" si="28"/>
        <v>per Mtonne</v>
      </c>
    </row>
    <row r="469" spans="1:13" s="2" customFormat="1" ht="15.5" thickTop="1" x14ac:dyDescent="0.4">
      <c r="A469" s="2" t="s">
        <v>396</v>
      </c>
      <c r="B469" s="2" t="s">
        <v>398</v>
      </c>
    </row>
    <row r="470" spans="1:13" s="7" customFormat="1" x14ac:dyDescent="0.25">
      <c r="A470" s="4" t="str">
        <f t="array" ref="A470:A477">R_CODE&amp;" "&amp;'Base data'!$C$11</f>
        <v>EU CH4</v>
      </c>
      <c r="B470" s="39">
        <f>'Preventative costs A'!B470-'Preventative costs B'!B470</f>
        <v>0</v>
      </c>
      <c r="C470" s="39">
        <f>'Preventative costs A'!C470-'Preventative costs B'!C470</f>
        <v>0</v>
      </c>
      <c r="D470" s="39">
        <f>'Preventative costs A'!D470-'Preventative costs B'!D470</f>
        <v>0</v>
      </c>
      <c r="E470" s="39">
        <f>'Preventative costs A'!E470-'Preventative costs B'!E470</f>
        <v>0</v>
      </c>
      <c r="F470" s="39">
        <f>'Preventative costs A'!F470-'Preventative costs B'!F470</f>
        <v>0</v>
      </c>
      <c r="G470" s="39">
        <f>'Preventative costs A'!G470-'Preventative costs B'!G470</f>
        <v>0</v>
      </c>
      <c r="H470" s="39">
        <f>'Preventative costs A'!H470-'Preventative costs B'!H470</f>
        <v>0</v>
      </c>
      <c r="I470" s="39">
        <f>'Preventative costs A'!I470-'Preventative costs B'!I470</f>
        <v>0</v>
      </c>
      <c r="J470" s="39">
        <f>'Preventative costs A'!J470-'Preventative costs B'!J470</f>
        <v>0</v>
      </c>
      <c r="K470" s="39">
        <f>'Preventative costs A'!K470-'Preventative costs B'!K470</f>
        <v>0</v>
      </c>
      <c r="M470" s="4" t="str">
        <f t="shared" ref="M470:M477" si="29">"per "&amp;EMIT_NAME</f>
        <v>per Mtonne</v>
      </c>
    </row>
    <row r="471" spans="1:13" s="7" customFormat="1" x14ac:dyDescent="0.25">
      <c r="A471" s="4" t="str">
        <v>US CH4</v>
      </c>
      <c r="B471" s="35">
        <f>'Preventative costs A'!B471-'Preventative costs B'!B471</f>
        <v>0</v>
      </c>
      <c r="C471" s="35">
        <f>'Preventative costs A'!C471-'Preventative costs B'!C471</f>
        <v>0</v>
      </c>
      <c r="D471" s="35">
        <f>'Preventative costs A'!D471-'Preventative costs B'!D471</f>
        <v>0</v>
      </c>
      <c r="E471" s="35">
        <f>'Preventative costs A'!E471-'Preventative costs B'!E471</f>
        <v>0</v>
      </c>
      <c r="F471" s="35">
        <f>'Preventative costs A'!F471-'Preventative costs B'!F471</f>
        <v>0</v>
      </c>
      <c r="G471" s="35">
        <f>'Preventative costs A'!G471-'Preventative costs B'!G471</f>
        <v>0</v>
      </c>
      <c r="H471" s="35">
        <f>'Preventative costs A'!H471-'Preventative costs B'!H471</f>
        <v>0</v>
      </c>
      <c r="I471" s="35">
        <f>'Preventative costs A'!I471-'Preventative costs B'!I471</f>
        <v>0</v>
      </c>
      <c r="J471" s="35">
        <f>'Preventative costs A'!J471-'Preventative costs B'!J471</f>
        <v>0</v>
      </c>
      <c r="K471" s="35">
        <f>'Preventative costs A'!K471-'Preventative costs B'!K471</f>
        <v>0</v>
      </c>
      <c r="M471" s="4" t="str">
        <f t="shared" si="29"/>
        <v>per Mtonne</v>
      </c>
    </row>
    <row r="472" spans="1:13" s="7" customFormat="1" x14ac:dyDescent="0.25">
      <c r="A472" s="4" t="str">
        <v>OT CH4</v>
      </c>
      <c r="B472" s="35">
        <f>'Preventative costs A'!B472-'Preventative costs B'!B472</f>
        <v>0</v>
      </c>
      <c r="C472" s="35">
        <f>'Preventative costs A'!C472-'Preventative costs B'!C472</f>
        <v>0</v>
      </c>
      <c r="D472" s="35">
        <f>'Preventative costs A'!D472-'Preventative costs B'!D472</f>
        <v>0</v>
      </c>
      <c r="E472" s="35">
        <f>'Preventative costs A'!E472-'Preventative costs B'!E472</f>
        <v>0</v>
      </c>
      <c r="F472" s="35">
        <f>'Preventative costs A'!F472-'Preventative costs B'!F472</f>
        <v>0</v>
      </c>
      <c r="G472" s="35">
        <f>'Preventative costs A'!G472-'Preventative costs B'!G472</f>
        <v>0</v>
      </c>
      <c r="H472" s="35">
        <f>'Preventative costs A'!H472-'Preventative costs B'!H472</f>
        <v>0</v>
      </c>
      <c r="I472" s="35">
        <f>'Preventative costs A'!I472-'Preventative costs B'!I472</f>
        <v>0</v>
      </c>
      <c r="J472" s="35">
        <f>'Preventative costs A'!J472-'Preventative costs B'!J472</f>
        <v>0</v>
      </c>
      <c r="K472" s="35">
        <f>'Preventative costs A'!K472-'Preventative costs B'!K472</f>
        <v>0</v>
      </c>
      <c r="M472" s="4" t="str">
        <f t="shared" si="29"/>
        <v>per Mtonne</v>
      </c>
    </row>
    <row r="473" spans="1:13" s="7" customFormat="1" x14ac:dyDescent="0.25">
      <c r="A473" s="4" t="str">
        <v>EE CH4</v>
      </c>
      <c r="B473" s="35">
        <f>'Preventative costs A'!B473-'Preventative costs B'!B473</f>
        <v>0</v>
      </c>
      <c r="C473" s="35">
        <f>'Preventative costs A'!C473-'Preventative costs B'!C473</f>
        <v>0</v>
      </c>
      <c r="D473" s="35">
        <f>'Preventative costs A'!D473-'Preventative costs B'!D473</f>
        <v>0</v>
      </c>
      <c r="E473" s="35">
        <f>'Preventative costs A'!E473-'Preventative costs B'!E473</f>
        <v>0</v>
      </c>
      <c r="F473" s="35">
        <f>'Preventative costs A'!F473-'Preventative costs B'!F473</f>
        <v>0</v>
      </c>
      <c r="G473" s="35">
        <f>'Preventative costs A'!G473-'Preventative costs B'!G473</f>
        <v>0</v>
      </c>
      <c r="H473" s="35">
        <f>'Preventative costs A'!H473-'Preventative costs B'!H473</f>
        <v>0</v>
      </c>
      <c r="I473" s="35">
        <f>'Preventative costs A'!I473-'Preventative costs B'!I473</f>
        <v>0</v>
      </c>
      <c r="J473" s="35">
        <f>'Preventative costs A'!J473-'Preventative costs B'!J473</f>
        <v>0</v>
      </c>
      <c r="K473" s="35">
        <f>'Preventative costs A'!K473-'Preventative costs B'!K473</f>
        <v>0</v>
      </c>
      <c r="M473" s="4" t="str">
        <f t="shared" si="29"/>
        <v>per Mtonne</v>
      </c>
    </row>
    <row r="474" spans="1:13" s="7" customFormat="1" x14ac:dyDescent="0.25">
      <c r="A474" s="4" t="str">
        <v>CA CH4</v>
      </c>
      <c r="B474" s="35">
        <f>'Preventative costs A'!B474-'Preventative costs B'!B474</f>
        <v>0</v>
      </c>
      <c r="C474" s="35">
        <f>'Preventative costs A'!C474-'Preventative costs B'!C474</f>
        <v>0</v>
      </c>
      <c r="D474" s="35">
        <f>'Preventative costs A'!D474-'Preventative costs B'!D474</f>
        <v>0</v>
      </c>
      <c r="E474" s="35">
        <f>'Preventative costs A'!E474-'Preventative costs B'!E474</f>
        <v>0</v>
      </c>
      <c r="F474" s="35">
        <f>'Preventative costs A'!F474-'Preventative costs B'!F474</f>
        <v>0</v>
      </c>
      <c r="G474" s="35">
        <f>'Preventative costs A'!G474-'Preventative costs B'!G474</f>
        <v>0</v>
      </c>
      <c r="H474" s="35">
        <f>'Preventative costs A'!H474-'Preventative costs B'!H474</f>
        <v>0</v>
      </c>
      <c r="I474" s="35">
        <f>'Preventative costs A'!I474-'Preventative costs B'!I474</f>
        <v>0</v>
      </c>
      <c r="J474" s="35">
        <f>'Preventative costs A'!J474-'Preventative costs B'!J474</f>
        <v>0</v>
      </c>
      <c r="K474" s="35">
        <f>'Preventative costs A'!K474-'Preventative costs B'!K474</f>
        <v>0</v>
      </c>
      <c r="M474" s="4" t="str">
        <f t="shared" si="29"/>
        <v>per Mtonne</v>
      </c>
    </row>
    <row r="475" spans="1:13" s="7" customFormat="1" x14ac:dyDescent="0.25">
      <c r="A475" s="4" t="str">
        <v>IA CH4</v>
      </c>
      <c r="B475" s="35">
        <f>'Preventative costs A'!B475-'Preventative costs B'!B475</f>
        <v>0</v>
      </c>
      <c r="C475" s="35">
        <f>'Preventative costs A'!C475-'Preventative costs B'!C475</f>
        <v>0</v>
      </c>
      <c r="D475" s="35">
        <f>'Preventative costs A'!D475-'Preventative costs B'!D475</f>
        <v>0</v>
      </c>
      <c r="E475" s="35">
        <f>'Preventative costs A'!E475-'Preventative costs B'!E475</f>
        <v>0</v>
      </c>
      <c r="F475" s="35">
        <f>'Preventative costs A'!F475-'Preventative costs B'!F475</f>
        <v>0</v>
      </c>
      <c r="G475" s="35">
        <f>'Preventative costs A'!G475-'Preventative costs B'!G475</f>
        <v>0</v>
      </c>
      <c r="H475" s="35">
        <f>'Preventative costs A'!H475-'Preventative costs B'!H475</f>
        <v>0</v>
      </c>
      <c r="I475" s="35">
        <f>'Preventative costs A'!I475-'Preventative costs B'!I475</f>
        <v>0</v>
      </c>
      <c r="J475" s="35">
        <f>'Preventative costs A'!J475-'Preventative costs B'!J475</f>
        <v>0</v>
      </c>
      <c r="K475" s="35">
        <f>'Preventative costs A'!K475-'Preventative costs B'!K475</f>
        <v>0</v>
      </c>
      <c r="M475" s="4" t="str">
        <f t="shared" si="29"/>
        <v>per Mtonne</v>
      </c>
    </row>
    <row r="476" spans="1:13" s="7" customFormat="1" x14ac:dyDescent="0.25">
      <c r="A476" s="4" t="str">
        <v>AF CH4</v>
      </c>
      <c r="B476" s="35">
        <f>'Preventative costs A'!B476-'Preventative costs B'!B476</f>
        <v>0</v>
      </c>
      <c r="C476" s="35">
        <f>'Preventative costs A'!C476-'Preventative costs B'!C476</f>
        <v>0</v>
      </c>
      <c r="D476" s="35">
        <f>'Preventative costs A'!D476-'Preventative costs B'!D476</f>
        <v>0</v>
      </c>
      <c r="E476" s="35">
        <f>'Preventative costs A'!E476-'Preventative costs B'!E476</f>
        <v>0</v>
      </c>
      <c r="F476" s="35">
        <f>'Preventative costs A'!F476-'Preventative costs B'!F476</f>
        <v>0</v>
      </c>
      <c r="G476" s="35">
        <f>'Preventative costs A'!G476-'Preventative costs B'!G476</f>
        <v>0</v>
      </c>
      <c r="H476" s="35">
        <f>'Preventative costs A'!H476-'Preventative costs B'!H476</f>
        <v>0</v>
      </c>
      <c r="I476" s="35">
        <f>'Preventative costs A'!I476-'Preventative costs B'!I476</f>
        <v>0</v>
      </c>
      <c r="J476" s="35">
        <f>'Preventative costs A'!J476-'Preventative costs B'!J476</f>
        <v>0</v>
      </c>
      <c r="K476" s="35">
        <f>'Preventative costs A'!K476-'Preventative costs B'!K476</f>
        <v>0</v>
      </c>
      <c r="M476" s="4" t="str">
        <f t="shared" si="29"/>
        <v>per Mtonne</v>
      </c>
    </row>
    <row r="477" spans="1:13" s="7" customFormat="1" ht="13" thickBot="1" x14ac:dyDescent="0.3">
      <c r="A477" s="4" t="str">
        <v>LA CH4</v>
      </c>
      <c r="B477" s="49">
        <f>'Preventative costs A'!B477-'Preventative costs B'!B477</f>
        <v>0</v>
      </c>
      <c r="C477" s="49">
        <f>'Preventative costs A'!C477-'Preventative costs B'!C477</f>
        <v>0</v>
      </c>
      <c r="D477" s="49">
        <f>'Preventative costs A'!D477-'Preventative costs B'!D477</f>
        <v>0</v>
      </c>
      <c r="E477" s="49">
        <f>'Preventative costs A'!E477-'Preventative costs B'!E477</f>
        <v>0</v>
      </c>
      <c r="F477" s="49">
        <f>'Preventative costs A'!F477-'Preventative costs B'!F477</f>
        <v>0</v>
      </c>
      <c r="G477" s="49">
        <f>'Preventative costs A'!G477-'Preventative costs B'!G477</f>
        <v>0</v>
      </c>
      <c r="H477" s="49">
        <f>'Preventative costs A'!H477-'Preventative costs B'!H477</f>
        <v>0</v>
      </c>
      <c r="I477" s="49">
        <f>'Preventative costs A'!I477-'Preventative costs B'!I477</f>
        <v>0</v>
      </c>
      <c r="J477" s="49">
        <f>'Preventative costs A'!J477-'Preventative costs B'!J477</f>
        <v>0</v>
      </c>
      <c r="K477" s="49">
        <f>'Preventative costs A'!K477-'Preventative costs B'!K477</f>
        <v>0</v>
      </c>
      <c r="M477" s="4" t="str">
        <f t="shared" si="29"/>
        <v>per Mtonne</v>
      </c>
    </row>
    <row r="478" spans="1:13" s="2" customFormat="1" ht="15.5" thickTop="1" x14ac:dyDescent="0.4">
      <c r="A478" s="2" t="s">
        <v>396</v>
      </c>
      <c r="B478" s="2" t="s">
        <v>399</v>
      </c>
    </row>
    <row r="479" spans="1:13" s="7" customFormat="1" x14ac:dyDescent="0.25">
      <c r="A479" s="4" t="str">
        <f t="array" ref="A479:A486">R_CODE&amp;" "&amp;'Base data'!$D$11</f>
        <v>EU N2O</v>
      </c>
      <c r="B479" s="39">
        <f>'Preventative costs A'!B479-'Preventative costs B'!B479</f>
        <v>0</v>
      </c>
      <c r="C479" s="39">
        <f>'Preventative costs A'!C479-'Preventative costs B'!C479</f>
        <v>0</v>
      </c>
      <c r="D479" s="39">
        <f>'Preventative costs A'!D479-'Preventative costs B'!D479</f>
        <v>0</v>
      </c>
      <c r="E479" s="39">
        <f>'Preventative costs A'!E479-'Preventative costs B'!E479</f>
        <v>0</v>
      </c>
      <c r="F479" s="39">
        <f>'Preventative costs A'!F479-'Preventative costs B'!F479</f>
        <v>0</v>
      </c>
      <c r="G479" s="39">
        <f>'Preventative costs A'!G479-'Preventative costs B'!G479</f>
        <v>0</v>
      </c>
      <c r="H479" s="39">
        <f>'Preventative costs A'!H479-'Preventative costs B'!H479</f>
        <v>0</v>
      </c>
      <c r="I479" s="39">
        <f>'Preventative costs A'!I479-'Preventative costs B'!I479</f>
        <v>0</v>
      </c>
      <c r="J479" s="39">
        <f>'Preventative costs A'!J479-'Preventative costs B'!J479</f>
        <v>0</v>
      </c>
      <c r="K479" s="39">
        <f>'Preventative costs A'!K479-'Preventative costs B'!K479</f>
        <v>0</v>
      </c>
      <c r="M479" s="4" t="str">
        <f t="shared" ref="M479:M486" si="30">"per "&amp;EMIT_NAME</f>
        <v>per Mtonne</v>
      </c>
    </row>
    <row r="480" spans="1:13" s="7" customFormat="1" x14ac:dyDescent="0.25">
      <c r="A480" s="4" t="str">
        <v>US N2O</v>
      </c>
      <c r="B480" s="35">
        <f>'Preventative costs A'!B480-'Preventative costs B'!B480</f>
        <v>0</v>
      </c>
      <c r="C480" s="35">
        <f>'Preventative costs A'!C480-'Preventative costs B'!C480</f>
        <v>0</v>
      </c>
      <c r="D480" s="35">
        <f>'Preventative costs A'!D480-'Preventative costs B'!D480</f>
        <v>0</v>
      </c>
      <c r="E480" s="35">
        <f>'Preventative costs A'!E480-'Preventative costs B'!E480</f>
        <v>0</v>
      </c>
      <c r="F480" s="35">
        <f>'Preventative costs A'!F480-'Preventative costs B'!F480</f>
        <v>0</v>
      </c>
      <c r="G480" s="35">
        <f>'Preventative costs A'!G480-'Preventative costs B'!G480</f>
        <v>0</v>
      </c>
      <c r="H480" s="35">
        <f>'Preventative costs A'!H480-'Preventative costs B'!H480</f>
        <v>0</v>
      </c>
      <c r="I480" s="35">
        <f>'Preventative costs A'!I480-'Preventative costs B'!I480</f>
        <v>0</v>
      </c>
      <c r="J480" s="35">
        <f>'Preventative costs A'!J480-'Preventative costs B'!J480</f>
        <v>0</v>
      </c>
      <c r="K480" s="35">
        <f>'Preventative costs A'!K480-'Preventative costs B'!K480</f>
        <v>0</v>
      </c>
      <c r="M480" s="4" t="str">
        <f t="shared" si="30"/>
        <v>per Mtonne</v>
      </c>
    </row>
    <row r="481" spans="1:13" s="7" customFormat="1" x14ac:dyDescent="0.25">
      <c r="A481" s="4" t="str">
        <v>OT N2O</v>
      </c>
      <c r="B481" s="35">
        <f>'Preventative costs A'!B481-'Preventative costs B'!B481</f>
        <v>0</v>
      </c>
      <c r="C481" s="35">
        <f>'Preventative costs A'!C481-'Preventative costs B'!C481</f>
        <v>0</v>
      </c>
      <c r="D481" s="35">
        <f>'Preventative costs A'!D481-'Preventative costs B'!D481</f>
        <v>0</v>
      </c>
      <c r="E481" s="35">
        <f>'Preventative costs A'!E481-'Preventative costs B'!E481</f>
        <v>0</v>
      </c>
      <c r="F481" s="35">
        <f>'Preventative costs A'!F481-'Preventative costs B'!F481</f>
        <v>0</v>
      </c>
      <c r="G481" s="35">
        <f>'Preventative costs A'!G481-'Preventative costs B'!G481</f>
        <v>0</v>
      </c>
      <c r="H481" s="35">
        <f>'Preventative costs A'!H481-'Preventative costs B'!H481</f>
        <v>0</v>
      </c>
      <c r="I481" s="35">
        <f>'Preventative costs A'!I481-'Preventative costs B'!I481</f>
        <v>0</v>
      </c>
      <c r="J481" s="35">
        <f>'Preventative costs A'!J481-'Preventative costs B'!J481</f>
        <v>0</v>
      </c>
      <c r="K481" s="35">
        <f>'Preventative costs A'!K481-'Preventative costs B'!K481</f>
        <v>0</v>
      </c>
      <c r="M481" s="4" t="str">
        <f t="shared" si="30"/>
        <v>per Mtonne</v>
      </c>
    </row>
    <row r="482" spans="1:13" s="7" customFormat="1" x14ac:dyDescent="0.25">
      <c r="A482" s="4" t="str">
        <v>EE N2O</v>
      </c>
      <c r="B482" s="35">
        <f>'Preventative costs A'!B482-'Preventative costs B'!B482</f>
        <v>0</v>
      </c>
      <c r="C482" s="35">
        <f>'Preventative costs A'!C482-'Preventative costs B'!C482</f>
        <v>0</v>
      </c>
      <c r="D482" s="35">
        <f>'Preventative costs A'!D482-'Preventative costs B'!D482</f>
        <v>0</v>
      </c>
      <c r="E482" s="35">
        <f>'Preventative costs A'!E482-'Preventative costs B'!E482</f>
        <v>0</v>
      </c>
      <c r="F482" s="35">
        <f>'Preventative costs A'!F482-'Preventative costs B'!F482</f>
        <v>0</v>
      </c>
      <c r="G482" s="35">
        <f>'Preventative costs A'!G482-'Preventative costs B'!G482</f>
        <v>0</v>
      </c>
      <c r="H482" s="35">
        <f>'Preventative costs A'!H482-'Preventative costs B'!H482</f>
        <v>0</v>
      </c>
      <c r="I482" s="35">
        <f>'Preventative costs A'!I482-'Preventative costs B'!I482</f>
        <v>0</v>
      </c>
      <c r="J482" s="35">
        <f>'Preventative costs A'!J482-'Preventative costs B'!J482</f>
        <v>0</v>
      </c>
      <c r="K482" s="35">
        <f>'Preventative costs A'!K482-'Preventative costs B'!K482</f>
        <v>0</v>
      </c>
      <c r="M482" s="4" t="str">
        <f t="shared" si="30"/>
        <v>per Mtonne</v>
      </c>
    </row>
    <row r="483" spans="1:13" s="7" customFormat="1" x14ac:dyDescent="0.25">
      <c r="A483" s="4" t="str">
        <v>CA N2O</v>
      </c>
      <c r="B483" s="35">
        <f>'Preventative costs A'!B483-'Preventative costs B'!B483</f>
        <v>0</v>
      </c>
      <c r="C483" s="35">
        <f>'Preventative costs A'!C483-'Preventative costs B'!C483</f>
        <v>0</v>
      </c>
      <c r="D483" s="35">
        <f>'Preventative costs A'!D483-'Preventative costs B'!D483</f>
        <v>0</v>
      </c>
      <c r="E483" s="35">
        <f>'Preventative costs A'!E483-'Preventative costs B'!E483</f>
        <v>0</v>
      </c>
      <c r="F483" s="35">
        <f>'Preventative costs A'!F483-'Preventative costs B'!F483</f>
        <v>0</v>
      </c>
      <c r="G483" s="35">
        <f>'Preventative costs A'!G483-'Preventative costs B'!G483</f>
        <v>0</v>
      </c>
      <c r="H483" s="35">
        <f>'Preventative costs A'!H483-'Preventative costs B'!H483</f>
        <v>0</v>
      </c>
      <c r="I483" s="35">
        <f>'Preventative costs A'!I483-'Preventative costs B'!I483</f>
        <v>0</v>
      </c>
      <c r="J483" s="35">
        <f>'Preventative costs A'!J483-'Preventative costs B'!J483</f>
        <v>0</v>
      </c>
      <c r="K483" s="35">
        <f>'Preventative costs A'!K483-'Preventative costs B'!K483</f>
        <v>0</v>
      </c>
      <c r="M483" s="4" t="str">
        <f t="shared" si="30"/>
        <v>per Mtonne</v>
      </c>
    </row>
    <row r="484" spans="1:13" s="7" customFormat="1" x14ac:dyDescent="0.25">
      <c r="A484" s="4" t="str">
        <v>IA N2O</v>
      </c>
      <c r="B484" s="35">
        <f>'Preventative costs A'!B484-'Preventative costs B'!B484</f>
        <v>0</v>
      </c>
      <c r="C484" s="35">
        <f>'Preventative costs A'!C484-'Preventative costs B'!C484</f>
        <v>0</v>
      </c>
      <c r="D484" s="35">
        <f>'Preventative costs A'!D484-'Preventative costs B'!D484</f>
        <v>0</v>
      </c>
      <c r="E484" s="35">
        <f>'Preventative costs A'!E484-'Preventative costs B'!E484</f>
        <v>0</v>
      </c>
      <c r="F484" s="35">
        <f>'Preventative costs A'!F484-'Preventative costs B'!F484</f>
        <v>0</v>
      </c>
      <c r="G484" s="35">
        <f>'Preventative costs A'!G484-'Preventative costs B'!G484</f>
        <v>0</v>
      </c>
      <c r="H484" s="35">
        <f>'Preventative costs A'!H484-'Preventative costs B'!H484</f>
        <v>0</v>
      </c>
      <c r="I484" s="35">
        <f>'Preventative costs A'!I484-'Preventative costs B'!I484</f>
        <v>0</v>
      </c>
      <c r="J484" s="35">
        <f>'Preventative costs A'!J484-'Preventative costs B'!J484</f>
        <v>0</v>
      </c>
      <c r="K484" s="35">
        <f>'Preventative costs A'!K484-'Preventative costs B'!K484</f>
        <v>0</v>
      </c>
      <c r="M484" s="4" t="str">
        <f t="shared" si="30"/>
        <v>per Mtonne</v>
      </c>
    </row>
    <row r="485" spans="1:13" s="7" customFormat="1" x14ac:dyDescent="0.25">
      <c r="A485" s="4" t="str">
        <v>AF N2O</v>
      </c>
      <c r="B485" s="35">
        <f>'Preventative costs A'!B485-'Preventative costs B'!B485</f>
        <v>0</v>
      </c>
      <c r="C485" s="35">
        <f>'Preventative costs A'!C485-'Preventative costs B'!C485</f>
        <v>0</v>
      </c>
      <c r="D485" s="35">
        <f>'Preventative costs A'!D485-'Preventative costs B'!D485</f>
        <v>0</v>
      </c>
      <c r="E485" s="35">
        <f>'Preventative costs A'!E485-'Preventative costs B'!E485</f>
        <v>0</v>
      </c>
      <c r="F485" s="35">
        <f>'Preventative costs A'!F485-'Preventative costs B'!F485</f>
        <v>0</v>
      </c>
      <c r="G485" s="35">
        <f>'Preventative costs A'!G485-'Preventative costs B'!G485</f>
        <v>0</v>
      </c>
      <c r="H485" s="35">
        <f>'Preventative costs A'!H485-'Preventative costs B'!H485</f>
        <v>0</v>
      </c>
      <c r="I485" s="35">
        <f>'Preventative costs A'!I485-'Preventative costs B'!I485</f>
        <v>0</v>
      </c>
      <c r="J485" s="35">
        <f>'Preventative costs A'!J485-'Preventative costs B'!J485</f>
        <v>0</v>
      </c>
      <c r="K485" s="35">
        <f>'Preventative costs A'!K485-'Preventative costs B'!K485</f>
        <v>0</v>
      </c>
      <c r="M485" s="4" t="str">
        <f t="shared" si="30"/>
        <v>per Mtonne</v>
      </c>
    </row>
    <row r="486" spans="1:13" s="7" customFormat="1" ht="13" thickBot="1" x14ac:dyDescent="0.3">
      <c r="A486" s="4" t="str">
        <v>LA N2O</v>
      </c>
      <c r="B486" s="49">
        <f>'Preventative costs A'!B486-'Preventative costs B'!B486</f>
        <v>0</v>
      </c>
      <c r="C486" s="49">
        <f>'Preventative costs A'!C486-'Preventative costs B'!C486</f>
        <v>0</v>
      </c>
      <c r="D486" s="49">
        <f>'Preventative costs A'!D486-'Preventative costs B'!D486</f>
        <v>0</v>
      </c>
      <c r="E486" s="49">
        <f>'Preventative costs A'!E486-'Preventative costs B'!E486</f>
        <v>0</v>
      </c>
      <c r="F486" s="49">
        <f>'Preventative costs A'!F486-'Preventative costs B'!F486</f>
        <v>0</v>
      </c>
      <c r="G486" s="49">
        <f>'Preventative costs A'!G486-'Preventative costs B'!G486</f>
        <v>0</v>
      </c>
      <c r="H486" s="49">
        <f>'Preventative costs A'!H486-'Preventative costs B'!H486</f>
        <v>0</v>
      </c>
      <c r="I486" s="49">
        <f>'Preventative costs A'!I486-'Preventative costs B'!I486</f>
        <v>0</v>
      </c>
      <c r="J486" s="49">
        <f>'Preventative costs A'!J486-'Preventative costs B'!J486</f>
        <v>0</v>
      </c>
      <c r="K486" s="49">
        <f>'Preventative costs A'!K486-'Preventative costs B'!K486</f>
        <v>0</v>
      </c>
      <c r="M486" s="4" t="str">
        <f t="shared" si="30"/>
        <v>per Mtonne</v>
      </c>
    </row>
    <row r="487" spans="1:13" s="2" customFormat="1" ht="15.5" thickTop="1" x14ac:dyDescent="0.4">
      <c r="A487" s="2" t="s">
        <v>396</v>
      </c>
      <c r="B487" s="2" t="s">
        <v>400</v>
      </c>
    </row>
    <row r="488" spans="1:13" s="7" customFormat="1" x14ac:dyDescent="0.25">
      <c r="A488" s="4" t="str">
        <f t="array" ref="A488:A495">R_CODE&amp;" "&amp;GLIN_NAME</f>
        <v>EU Lin</v>
      </c>
      <c r="B488" s="39">
        <f>'Preventative costs A'!B488-'Preventative costs B'!B488</f>
        <v>0</v>
      </c>
      <c r="C488" s="39">
        <f>'Preventative costs A'!C488-'Preventative costs B'!C488</f>
        <v>0</v>
      </c>
      <c r="D488" s="39">
        <f>'Preventative costs A'!D488-'Preventative costs B'!D488</f>
        <v>0</v>
      </c>
      <c r="E488" s="39">
        <f>'Preventative costs A'!E488-'Preventative costs B'!E488</f>
        <v>0</v>
      </c>
      <c r="F488" s="39">
        <f>'Preventative costs A'!F488-'Preventative costs B'!F488</f>
        <v>0</v>
      </c>
      <c r="G488" s="39">
        <f>'Preventative costs A'!G488-'Preventative costs B'!G488</f>
        <v>0</v>
      </c>
      <c r="H488" s="39">
        <f>'Preventative costs A'!H488-'Preventative costs B'!H488</f>
        <v>0</v>
      </c>
      <c r="I488" s="39">
        <f>'Preventative costs A'!I488-'Preventative costs B'!I488</f>
        <v>0</v>
      </c>
      <c r="J488" s="39">
        <f>'Preventative costs A'!J488-'Preventative costs B'!J488</f>
        <v>0</v>
      </c>
      <c r="K488" s="39">
        <f>'Preventative costs A'!K488-'Preventative costs B'!K488</f>
        <v>0</v>
      </c>
      <c r="M488" s="4" t="str">
        <f t="shared" ref="M488:M495" si="31">"per "&amp;EMIT_NAME</f>
        <v>per Mtonne</v>
      </c>
    </row>
    <row r="489" spans="1:13" s="7" customFormat="1" x14ac:dyDescent="0.25">
      <c r="A489" s="4" t="str">
        <v>US Lin</v>
      </c>
      <c r="B489" s="35">
        <f>'Preventative costs A'!B489-'Preventative costs B'!B489</f>
        <v>0</v>
      </c>
      <c r="C489" s="35">
        <f>'Preventative costs A'!C489-'Preventative costs B'!C489</f>
        <v>0</v>
      </c>
      <c r="D489" s="35">
        <f>'Preventative costs A'!D489-'Preventative costs B'!D489</f>
        <v>0</v>
      </c>
      <c r="E489" s="35">
        <f>'Preventative costs A'!E489-'Preventative costs B'!E489</f>
        <v>0</v>
      </c>
      <c r="F489" s="35">
        <f>'Preventative costs A'!F489-'Preventative costs B'!F489</f>
        <v>0</v>
      </c>
      <c r="G489" s="35">
        <f>'Preventative costs A'!G489-'Preventative costs B'!G489</f>
        <v>0</v>
      </c>
      <c r="H489" s="35">
        <f>'Preventative costs A'!H489-'Preventative costs B'!H489</f>
        <v>0</v>
      </c>
      <c r="I489" s="35">
        <f>'Preventative costs A'!I489-'Preventative costs B'!I489</f>
        <v>0</v>
      </c>
      <c r="J489" s="35">
        <f>'Preventative costs A'!J489-'Preventative costs B'!J489</f>
        <v>0</v>
      </c>
      <c r="K489" s="35">
        <f>'Preventative costs A'!K489-'Preventative costs B'!K489</f>
        <v>0</v>
      </c>
      <c r="M489" s="4" t="str">
        <f t="shared" si="31"/>
        <v>per Mtonne</v>
      </c>
    </row>
    <row r="490" spans="1:13" s="7" customFormat="1" x14ac:dyDescent="0.25">
      <c r="A490" s="4" t="str">
        <v>OT Lin</v>
      </c>
      <c r="B490" s="35">
        <f>'Preventative costs A'!B490-'Preventative costs B'!B490</f>
        <v>0</v>
      </c>
      <c r="C490" s="35">
        <f>'Preventative costs A'!C490-'Preventative costs B'!C490</f>
        <v>0</v>
      </c>
      <c r="D490" s="35">
        <f>'Preventative costs A'!D490-'Preventative costs B'!D490</f>
        <v>0</v>
      </c>
      <c r="E490" s="35">
        <f>'Preventative costs A'!E490-'Preventative costs B'!E490</f>
        <v>0</v>
      </c>
      <c r="F490" s="35">
        <f>'Preventative costs A'!F490-'Preventative costs B'!F490</f>
        <v>0</v>
      </c>
      <c r="G490" s="35">
        <f>'Preventative costs A'!G490-'Preventative costs B'!G490</f>
        <v>0</v>
      </c>
      <c r="H490" s="35">
        <f>'Preventative costs A'!H490-'Preventative costs B'!H490</f>
        <v>0</v>
      </c>
      <c r="I490" s="35">
        <f>'Preventative costs A'!I490-'Preventative costs B'!I490</f>
        <v>0</v>
      </c>
      <c r="J490" s="35">
        <f>'Preventative costs A'!J490-'Preventative costs B'!J490</f>
        <v>0</v>
      </c>
      <c r="K490" s="35">
        <f>'Preventative costs A'!K490-'Preventative costs B'!K490</f>
        <v>0</v>
      </c>
      <c r="M490" s="4" t="str">
        <f t="shared" si="31"/>
        <v>per Mtonne</v>
      </c>
    </row>
    <row r="491" spans="1:13" s="7" customFormat="1" x14ac:dyDescent="0.25">
      <c r="A491" s="4" t="str">
        <v>EE Lin</v>
      </c>
      <c r="B491" s="35">
        <f>'Preventative costs A'!B491-'Preventative costs B'!B491</f>
        <v>0</v>
      </c>
      <c r="C491" s="35">
        <f>'Preventative costs A'!C491-'Preventative costs B'!C491</f>
        <v>0</v>
      </c>
      <c r="D491" s="35">
        <f>'Preventative costs A'!D491-'Preventative costs B'!D491</f>
        <v>0</v>
      </c>
      <c r="E491" s="35">
        <f>'Preventative costs A'!E491-'Preventative costs B'!E491</f>
        <v>0</v>
      </c>
      <c r="F491" s="35">
        <f>'Preventative costs A'!F491-'Preventative costs B'!F491</f>
        <v>0</v>
      </c>
      <c r="G491" s="35">
        <f>'Preventative costs A'!G491-'Preventative costs B'!G491</f>
        <v>0</v>
      </c>
      <c r="H491" s="35">
        <f>'Preventative costs A'!H491-'Preventative costs B'!H491</f>
        <v>0</v>
      </c>
      <c r="I491" s="35">
        <f>'Preventative costs A'!I491-'Preventative costs B'!I491</f>
        <v>0</v>
      </c>
      <c r="J491" s="35">
        <f>'Preventative costs A'!J491-'Preventative costs B'!J491</f>
        <v>0</v>
      </c>
      <c r="K491" s="35">
        <f>'Preventative costs A'!K491-'Preventative costs B'!K491</f>
        <v>0</v>
      </c>
      <c r="M491" s="4" t="str">
        <f t="shared" si="31"/>
        <v>per Mtonne</v>
      </c>
    </row>
    <row r="492" spans="1:13" s="7" customFormat="1" x14ac:dyDescent="0.25">
      <c r="A492" s="4" t="str">
        <v>CA Lin</v>
      </c>
      <c r="B492" s="35">
        <f>'Preventative costs A'!B492-'Preventative costs B'!B492</f>
        <v>0</v>
      </c>
      <c r="C492" s="35">
        <f>'Preventative costs A'!C492-'Preventative costs B'!C492</f>
        <v>0</v>
      </c>
      <c r="D492" s="35">
        <f>'Preventative costs A'!D492-'Preventative costs B'!D492</f>
        <v>0</v>
      </c>
      <c r="E492" s="35">
        <f>'Preventative costs A'!E492-'Preventative costs B'!E492</f>
        <v>0</v>
      </c>
      <c r="F492" s="35">
        <f>'Preventative costs A'!F492-'Preventative costs B'!F492</f>
        <v>0</v>
      </c>
      <c r="G492" s="35">
        <f>'Preventative costs A'!G492-'Preventative costs B'!G492</f>
        <v>0</v>
      </c>
      <c r="H492" s="35">
        <f>'Preventative costs A'!H492-'Preventative costs B'!H492</f>
        <v>0</v>
      </c>
      <c r="I492" s="35">
        <f>'Preventative costs A'!I492-'Preventative costs B'!I492</f>
        <v>0</v>
      </c>
      <c r="J492" s="35">
        <f>'Preventative costs A'!J492-'Preventative costs B'!J492</f>
        <v>0</v>
      </c>
      <c r="K492" s="35">
        <f>'Preventative costs A'!K492-'Preventative costs B'!K492</f>
        <v>0</v>
      </c>
      <c r="M492" s="4" t="str">
        <f t="shared" si="31"/>
        <v>per Mtonne</v>
      </c>
    </row>
    <row r="493" spans="1:13" s="7" customFormat="1" x14ac:dyDescent="0.25">
      <c r="A493" s="4" t="str">
        <v>IA Lin</v>
      </c>
      <c r="B493" s="35">
        <f>'Preventative costs A'!B493-'Preventative costs B'!B493</f>
        <v>0</v>
      </c>
      <c r="C493" s="35">
        <f>'Preventative costs A'!C493-'Preventative costs B'!C493</f>
        <v>0</v>
      </c>
      <c r="D493" s="35">
        <f>'Preventative costs A'!D493-'Preventative costs B'!D493</f>
        <v>0</v>
      </c>
      <c r="E493" s="35">
        <f>'Preventative costs A'!E493-'Preventative costs B'!E493</f>
        <v>0</v>
      </c>
      <c r="F493" s="35">
        <f>'Preventative costs A'!F493-'Preventative costs B'!F493</f>
        <v>0</v>
      </c>
      <c r="G493" s="35">
        <f>'Preventative costs A'!G493-'Preventative costs B'!G493</f>
        <v>0</v>
      </c>
      <c r="H493" s="35">
        <f>'Preventative costs A'!H493-'Preventative costs B'!H493</f>
        <v>0</v>
      </c>
      <c r="I493" s="35">
        <f>'Preventative costs A'!I493-'Preventative costs B'!I493</f>
        <v>0</v>
      </c>
      <c r="J493" s="35">
        <f>'Preventative costs A'!J493-'Preventative costs B'!J493</f>
        <v>0</v>
      </c>
      <c r="K493" s="35">
        <f>'Preventative costs A'!K493-'Preventative costs B'!K493</f>
        <v>0</v>
      </c>
      <c r="M493" s="4" t="str">
        <f t="shared" si="31"/>
        <v>per Mtonne</v>
      </c>
    </row>
    <row r="494" spans="1:13" s="7" customFormat="1" x14ac:dyDescent="0.25">
      <c r="A494" s="4" t="str">
        <v>AF Lin</v>
      </c>
      <c r="B494" s="35">
        <f>'Preventative costs A'!B494-'Preventative costs B'!B494</f>
        <v>0</v>
      </c>
      <c r="C494" s="35">
        <f>'Preventative costs A'!C494-'Preventative costs B'!C494</f>
        <v>0</v>
      </c>
      <c r="D494" s="35">
        <f>'Preventative costs A'!D494-'Preventative costs B'!D494</f>
        <v>0</v>
      </c>
      <c r="E494" s="35">
        <f>'Preventative costs A'!E494-'Preventative costs B'!E494</f>
        <v>0</v>
      </c>
      <c r="F494" s="35">
        <f>'Preventative costs A'!F494-'Preventative costs B'!F494</f>
        <v>0</v>
      </c>
      <c r="G494" s="35">
        <f>'Preventative costs A'!G494-'Preventative costs B'!G494</f>
        <v>0</v>
      </c>
      <c r="H494" s="35">
        <f>'Preventative costs A'!H494-'Preventative costs B'!H494</f>
        <v>0</v>
      </c>
      <c r="I494" s="35">
        <f>'Preventative costs A'!I494-'Preventative costs B'!I494</f>
        <v>0</v>
      </c>
      <c r="J494" s="35">
        <f>'Preventative costs A'!J494-'Preventative costs B'!J494</f>
        <v>0</v>
      </c>
      <c r="K494" s="35">
        <f>'Preventative costs A'!K494-'Preventative costs B'!K494</f>
        <v>0</v>
      </c>
      <c r="M494" s="4" t="str">
        <f t="shared" si="31"/>
        <v>per Mtonne</v>
      </c>
    </row>
    <row r="495" spans="1:13" s="7" customFormat="1" ht="13" thickBot="1" x14ac:dyDescent="0.3">
      <c r="A495" s="4" t="str">
        <v>LA Lin</v>
      </c>
      <c r="B495" s="49">
        <f>'Preventative costs A'!B495-'Preventative costs B'!B495</f>
        <v>0</v>
      </c>
      <c r="C495" s="49">
        <f>'Preventative costs A'!C495-'Preventative costs B'!C495</f>
        <v>0</v>
      </c>
      <c r="D495" s="49">
        <f>'Preventative costs A'!D495-'Preventative costs B'!D495</f>
        <v>0</v>
      </c>
      <c r="E495" s="49">
        <f>'Preventative costs A'!E495-'Preventative costs B'!E495</f>
        <v>0</v>
      </c>
      <c r="F495" s="49">
        <f>'Preventative costs A'!F495-'Preventative costs B'!F495</f>
        <v>0</v>
      </c>
      <c r="G495" s="49">
        <f>'Preventative costs A'!G495-'Preventative costs B'!G495</f>
        <v>0</v>
      </c>
      <c r="H495" s="49">
        <f>'Preventative costs A'!H495-'Preventative costs B'!H495</f>
        <v>0</v>
      </c>
      <c r="I495" s="49">
        <f>'Preventative costs A'!I495-'Preventative costs B'!I495</f>
        <v>0</v>
      </c>
      <c r="J495" s="49">
        <f>'Preventative costs A'!J495-'Preventative costs B'!J495</f>
        <v>0</v>
      </c>
      <c r="K495" s="49">
        <f>'Preventative costs A'!K495-'Preventative costs B'!K495</f>
        <v>0</v>
      </c>
      <c r="M495" s="4" t="str">
        <f t="shared" si="31"/>
        <v>per Mtonne</v>
      </c>
    </row>
    <row r="496" spans="1:13" s="2" customFormat="1" ht="15.5" thickTop="1" x14ac:dyDescent="0.4">
      <c r="A496" s="2" t="s">
        <v>401</v>
      </c>
      <c r="B496" s="2" t="s">
        <v>402</v>
      </c>
    </row>
    <row r="497" spans="1:13" s="6" customFormat="1" x14ac:dyDescent="0.25">
      <c r="A497" s="4" t="str">
        <f t="array" ref="A497:A504">R_CODE&amp;" "&amp;'Base data'!$B$11</f>
        <v>EU CO2</v>
      </c>
      <c r="B497" s="39">
        <f>'Preventative costs A'!B497-'Preventative costs B'!B497</f>
        <v>0</v>
      </c>
      <c r="C497" s="39">
        <f>'Preventative costs A'!C497-'Preventative costs B'!C497</f>
        <v>0</v>
      </c>
      <c r="D497" s="39">
        <f>'Preventative costs A'!D497-'Preventative costs B'!D497</f>
        <v>0</v>
      </c>
      <c r="E497" s="39">
        <f>'Preventative costs A'!E497-'Preventative costs B'!E497</f>
        <v>0</v>
      </c>
      <c r="F497" s="39">
        <f>'Preventative costs A'!F497-'Preventative costs B'!F497</f>
        <v>0</v>
      </c>
      <c r="G497" s="39">
        <f>'Preventative costs A'!G497-'Preventative costs B'!G497</f>
        <v>0</v>
      </c>
      <c r="H497" s="39">
        <f>'Preventative costs A'!H497-'Preventative costs B'!H497</f>
        <v>0</v>
      </c>
      <c r="I497" s="39">
        <f>'Preventative costs A'!I497-'Preventative costs B'!I497</f>
        <v>0</v>
      </c>
      <c r="J497" s="39">
        <f>'Preventative costs A'!J497-'Preventative costs B'!J497</f>
        <v>0</v>
      </c>
      <c r="K497" s="39">
        <f>'Preventative costs A'!K497-'Preventative costs B'!K497</f>
        <v>0</v>
      </c>
      <c r="M497" s="43" t="str">
        <f t="shared" ref="M497:M504" si="32">CURRENCY_NAME&amp;" per "&amp;EMIT_NAME</f>
        <v>$million per Mtonne</v>
      </c>
    </row>
    <row r="498" spans="1:13" s="6" customFormat="1" x14ac:dyDescent="0.25">
      <c r="A498" s="4" t="str">
        <v>US CO2</v>
      </c>
      <c r="B498" s="35">
        <f>'Preventative costs A'!B498-'Preventative costs B'!B498</f>
        <v>0</v>
      </c>
      <c r="C498" s="35">
        <f>'Preventative costs A'!C498-'Preventative costs B'!C498</f>
        <v>0</v>
      </c>
      <c r="D498" s="35">
        <f>'Preventative costs A'!D498-'Preventative costs B'!D498</f>
        <v>0</v>
      </c>
      <c r="E498" s="35">
        <f>'Preventative costs A'!E498-'Preventative costs B'!E498</f>
        <v>0</v>
      </c>
      <c r="F498" s="35">
        <f>'Preventative costs A'!F498-'Preventative costs B'!F498</f>
        <v>0</v>
      </c>
      <c r="G498" s="35">
        <f>'Preventative costs A'!G498-'Preventative costs B'!G498</f>
        <v>0</v>
      </c>
      <c r="H498" s="35">
        <f>'Preventative costs A'!H498-'Preventative costs B'!H498</f>
        <v>0</v>
      </c>
      <c r="I498" s="35">
        <f>'Preventative costs A'!I498-'Preventative costs B'!I498</f>
        <v>0</v>
      </c>
      <c r="J498" s="35">
        <f>'Preventative costs A'!J498-'Preventative costs B'!J498</f>
        <v>0</v>
      </c>
      <c r="K498" s="35">
        <f>'Preventative costs A'!K498-'Preventative costs B'!K498</f>
        <v>0</v>
      </c>
      <c r="M498" s="43" t="str">
        <f t="shared" si="32"/>
        <v>$million per Mtonne</v>
      </c>
    </row>
    <row r="499" spans="1:13" s="6" customFormat="1" x14ac:dyDescent="0.25">
      <c r="A499" s="4" t="str">
        <v>OT CO2</v>
      </c>
      <c r="B499" s="35">
        <f>'Preventative costs A'!B499-'Preventative costs B'!B499</f>
        <v>0</v>
      </c>
      <c r="C499" s="35">
        <f>'Preventative costs A'!C499-'Preventative costs B'!C499</f>
        <v>0</v>
      </c>
      <c r="D499" s="35">
        <f>'Preventative costs A'!D499-'Preventative costs B'!D499</f>
        <v>0</v>
      </c>
      <c r="E499" s="35">
        <f>'Preventative costs A'!E499-'Preventative costs B'!E499</f>
        <v>0</v>
      </c>
      <c r="F499" s="35">
        <f>'Preventative costs A'!F499-'Preventative costs B'!F499</f>
        <v>0</v>
      </c>
      <c r="G499" s="35">
        <f>'Preventative costs A'!G499-'Preventative costs B'!G499</f>
        <v>0</v>
      </c>
      <c r="H499" s="35">
        <f>'Preventative costs A'!H499-'Preventative costs B'!H499</f>
        <v>0</v>
      </c>
      <c r="I499" s="35">
        <f>'Preventative costs A'!I499-'Preventative costs B'!I499</f>
        <v>0</v>
      </c>
      <c r="J499" s="35">
        <f>'Preventative costs A'!J499-'Preventative costs B'!J499</f>
        <v>0</v>
      </c>
      <c r="K499" s="35">
        <f>'Preventative costs A'!K499-'Preventative costs B'!K499</f>
        <v>0</v>
      </c>
      <c r="M499" s="43" t="str">
        <f t="shared" si="32"/>
        <v>$million per Mtonne</v>
      </c>
    </row>
    <row r="500" spans="1:13" s="6" customFormat="1" x14ac:dyDescent="0.25">
      <c r="A500" s="4" t="str">
        <v>EE CO2</v>
      </c>
      <c r="B500" s="35">
        <f>'Preventative costs A'!B500-'Preventative costs B'!B500</f>
        <v>0</v>
      </c>
      <c r="C500" s="35">
        <f>'Preventative costs A'!C500-'Preventative costs B'!C500</f>
        <v>0</v>
      </c>
      <c r="D500" s="35">
        <f>'Preventative costs A'!D500-'Preventative costs B'!D500</f>
        <v>0</v>
      </c>
      <c r="E500" s="35">
        <f>'Preventative costs A'!E500-'Preventative costs B'!E500</f>
        <v>0</v>
      </c>
      <c r="F500" s="35">
        <f>'Preventative costs A'!F500-'Preventative costs B'!F500</f>
        <v>0</v>
      </c>
      <c r="G500" s="35">
        <f>'Preventative costs A'!G500-'Preventative costs B'!G500</f>
        <v>0</v>
      </c>
      <c r="H500" s="35">
        <f>'Preventative costs A'!H500-'Preventative costs B'!H500</f>
        <v>0</v>
      </c>
      <c r="I500" s="35">
        <f>'Preventative costs A'!I500-'Preventative costs B'!I500</f>
        <v>0</v>
      </c>
      <c r="J500" s="35">
        <f>'Preventative costs A'!J500-'Preventative costs B'!J500</f>
        <v>0</v>
      </c>
      <c r="K500" s="35">
        <f>'Preventative costs A'!K500-'Preventative costs B'!K500</f>
        <v>0</v>
      </c>
      <c r="M500" s="43" t="str">
        <f t="shared" si="32"/>
        <v>$million per Mtonne</v>
      </c>
    </row>
    <row r="501" spans="1:13" s="6" customFormat="1" x14ac:dyDescent="0.25">
      <c r="A501" s="4" t="str">
        <v>CA CO2</v>
      </c>
      <c r="B501" s="35">
        <f>'Preventative costs A'!B501-'Preventative costs B'!B501</f>
        <v>0</v>
      </c>
      <c r="C501" s="35">
        <f>'Preventative costs A'!C501-'Preventative costs B'!C501</f>
        <v>0</v>
      </c>
      <c r="D501" s="35">
        <f>'Preventative costs A'!D501-'Preventative costs B'!D501</f>
        <v>0</v>
      </c>
      <c r="E501" s="35">
        <f>'Preventative costs A'!E501-'Preventative costs B'!E501</f>
        <v>0</v>
      </c>
      <c r="F501" s="35">
        <f>'Preventative costs A'!F501-'Preventative costs B'!F501</f>
        <v>0</v>
      </c>
      <c r="G501" s="35">
        <f>'Preventative costs A'!G501-'Preventative costs B'!G501</f>
        <v>0</v>
      </c>
      <c r="H501" s="35">
        <f>'Preventative costs A'!H501-'Preventative costs B'!H501</f>
        <v>0</v>
      </c>
      <c r="I501" s="35">
        <f>'Preventative costs A'!I501-'Preventative costs B'!I501</f>
        <v>0</v>
      </c>
      <c r="J501" s="35">
        <f>'Preventative costs A'!J501-'Preventative costs B'!J501</f>
        <v>0</v>
      </c>
      <c r="K501" s="35">
        <f>'Preventative costs A'!K501-'Preventative costs B'!K501</f>
        <v>0</v>
      </c>
      <c r="M501" s="43" t="str">
        <f t="shared" si="32"/>
        <v>$million per Mtonne</v>
      </c>
    </row>
    <row r="502" spans="1:13" s="6" customFormat="1" x14ac:dyDescent="0.25">
      <c r="A502" s="4" t="str">
        <v>IA CO2</v>
      </c>
      <c r="B502" s="35">
        <f>'Preventative costs A'!B502-'Preventative costs B'!B502</f>
        <v>0</v>
      </c>
      <c r="C502" s="35">
        <f>'Preventative costs A'!C502-'Preventative costs B'!C502</f>
        <v>0</v>
      </c>
      <c r="D502" s="35">
        <f>'Preventative costs A'!D502-'Preventative costs B'!D502</f>
        <v>0</v>
      </c>
      <c r="E502" s="35">
        <f>'Preventative costs A'!E502-'Preventative costs B'!E502</f>
        <v>0</v>
      </c>
      <c r="F502" s="35">
        <f>'Preventative costs A'!F502-'Preventative costs B'!F502</f>
        <v>0</v>
      </c>
      <c r="G502" s="35">
        <f>'Preventative costs A'!G502-'Preventative costs B'!G502</f>
        <v>0</v>
      </c>
      <c r="H502" s="35">
        <f>'Preventative costs A'!H502-'Preventative costs B'!H502</f>
        <v>0</v>
      </c>
      <c r="I502" s="35">
        <f>'Preventative costs A'!I502-'Preventative costs B'!I502</f>
        <v>0</v>
      </c>
      <c r="J502" s="35">
        <f>'Preventative costs A'!J502-'Preventative costs B'!J502</f>
        <v>0</v>
      </c>
      <c r="K502" s="35">
        <f>'Preventative costs A'!K502-'Preventative costs B'!K502</f>
        <v>0</v>
      </c>
      <c r="M502" s="43" t="str">
        <f t="shared" si="32"/>
        <v>$million per Mtonne</v>
      </c>
    </row>
    <row r="503" spans="1:13" s="6" customFormat="1" x14ac:dyDescent="0.25">
      <c r="A503" s="4" t="str">
        <v>AF CO2</v>
      </c>
      <c r="B503" s="35">
        <f>'Preventative costs A'!B503-'Preventative costs B'!B503</f>
        <v>0</v>
      </c>
      <c r="C503" s="35">
        <f>'Preventative costs A'!C503-'Preventative costs B'!C503</f>
        <v>0</v>
      </c>
      <c r="D503" s="35">
        <f>'Preventative costs A'!D503-'Preventative costs B'!D503</f>
        <v>0</v>
      </c>
      <c r="E503" s="35">
        <f>'Preventative costs A'!E503-'Preventative costs B'!E503</f>
        <v>0</v>
      </c>
      <c r="F503" s="35">
        <f>'Preventative costs A'!F503-'Preventative costs B'!F503</f>
        <v>0</v>
      </c>
      <c r="G503" s="35">
        <f>'Preventative costs A'!G503-'Preventative costs B'!G503</f>
        <v>0</v>
      </c>
      <c r="H503" s="35">
        <f>'Preventative costs A'!H503-'Preventative costs B'!H503</f>
        <v>0</v>
      </c>
      <c r="I503" s="35">
        <f>'Preventative costs A'!I503-'Preventative costs B'!I503</f>
        <v>0</v>
      </c>
      <c r="J503" s="35">
        <f>'Preventative costs A'!J503-'Preventative costs B'!J503</f>
        <v>0</v>
      </c>
      <c r="K503" s="35">
        <f>'Preventative costs A'!K503-'Preventative costs B'!K503</f>
        <v>0</v>
      </c>
      <c r="M503" s="43" t="str">
        <f t="shared" si="32"/>
        <v>$million per Mtonne</v>
      </c>
    </row>
    <row r="504" spans="1:13" s="6" customFormat="1" ht="13" thickBot="1" x14ac:dyDescent="0.3">
      <c r="A504" s="4" t="str">
        <v>LA CO2</v>
      </c>
      <c r="B504" s="49">
        <f>'Preventative costs A'!B504-'Preventative costs B'!B504</f>
        <v>0</v>
      </c>
      <c r="C504" s="49">
        <f>'Preventative costs A'!C504-'Preventative costs B'!C504</f>
        <v>0</v>
      </c>
      <c r="D504" s="49">
        <f>'Preventative costs A'!D504-'Preventative costs B'!D504</f>
        <v>0</v>
      </c>
      <c r="E504" s="49">
        <f>'Preventative costs A'!E504-'Preventative costs B'!E504</f>
        <v>0</v>
      </c>
      <c r="F504" s="49">
        <f>'Preventative costs A'!F504-'Preventative costs B'!F504</f>
        <v>0</v>
      </c>
      <c r="G504" s="49">
        <f>'Preventative costs A'!G504-'Preventative costs B'!G504</f>
        <v>0</v>
      </c>
      <c r="H504" s="49">
        <f>'Preventative costs A'!H504-'Preventative costs B'!H504</f>
        <v>0</v>
      </c>
      <c r="I504" s="49">
        <f>'Preventative costs A'!I504-'Preventative costs B'!I504</f>
        <v>0</v>
      </c>
      <c r="J504" s="49">
        <f>'Preventative costs A'!J504-'Preventative costs B'!J504</f>
        <v>0</v>
      </c>
      <c r="K504" s="49">
        <f>'Preventative costs A'!K504-'Preventative costs B'!K504</f>
        <v>0</v>
      </c>
      <c r="M504" s="43" t="str">
        <f t="shared" si="32"/>
        <v>$million per Mtonne</v>
      </c>
    </row>
    <row r="505" spans="1:13" s="2" customFormat="1" ht="15.5" thickTop="1" x14ac:dyDescent="0.4">
      <c r="A505" s="2" t="s">
        <v>401</v>
      </c>
      <c r="B505" s="2" t="s">
        <v>403</v>
      </c>
    </row>
    <row r="506" spans="1:13" s="7" customFormat="1" x14ac:dyDescent="0.25">
      <c r="A506" s="4" t="str">
        <f t="array" ref="A506:A513">R_CODE&amp;" "&amp;'Base data'!$C$11</f>
        <v>EU CH4</v>
      </c>
      <c r="B506" s="39">
        <f>'Preventative costs A'!B506-'Preventative costs B'!B506</f>
        <v>0</v>
      </c>
      <c r="C506" s="39">
        <f>'Preventative costs A'!C506-'Preventative costs B'!C506</f>
        <v>0</v>
      </c>
      <c r="D506" s="39">
        <f>'Preventative costs A'!D506-'Preventative costs B'!D506</f>
        <v>0</v>
      </c>
      <c r="E506" s="39">
        <f>'Preventative costs A'!E506-'Preventative costs B'!E506</f>
        <v>0</v>
      </c>
      <c r="F506" s="39">
        <f>'Preventative costs A'!F506-'Preventative costs B'!F506</f>
        <v>0</v>
      </c>
      <c r="G506" s="39">
        <f>'Preventative costs A'!G506-'Preventative costs B'!G506</f>
        <v>0</v>
      </c>
      <c r="H506" s="39">
        <f>'Preventative costs A'!H506-'Preventative costs B'!H506</f>
        <v>0</v>
      </c>
      <c r="I506" s="39">
        <f>'Preventative costs A'!I506-'Preventative costs B'!I506</f>
        <v>0</v>
      </c>
      <c r="J506" s="39">
        <f>'Preventative costs A'!J506-'Preventative costs B'!J506</f>
        <v>0</v>
      </c>
      <c r="K506" s="39">
        <f>'Preventative costs A'!K506-'Preventative costs B'!K506</f>
        <v>0</v>
      </c>
      <c r="M506" s="43" t="str">
        <f t="shared" ref="M506:M513" si="33">CURRENCY_NAME&amp;" per "&amp;EMIT_NAME</f>
        <v>$million per Mtonne</v>
      </c>
    </row>
    <row r="507" spans="1:13" s="7" customFormat="1" x14ac:dyDescent="0.25">
      <c r="A507" s="4" t="str">
        <v>US CH4</v>
      </c>
      <c r="B507" s="35">
        <f>'Preventative costs A'!B507-'Preventative costs B'!B507</f>
        <v>0</v>
      </c>
      <c r="C507" s="35">
        <f>'Preventative costs A'!C507-'Preventative costs B'!C507</f>
        <v>0</v>
      </c>
      <c r="D507" s="35">
        <f>'Preventative costs A'!D507-'Preventative costs B'!D507</f>
        <v>0</v>
      </c>
      <c r="E507" s="35">
        <f>'Preventative costs A'!E507-'Preventative costs B'!E507</f>
        <v>0</v>
      </c>
      <c r="F507" s="35">
        <f>'Preventative costs A'!F507-'Preventative costs B'!F507</f>
        <v>0</v>
      </c>
      <c r="G507" s="35">
        <f>'Preventative costs A'!G507-'Preventative costs B'!G507</f>
        <v>0</v>
      </c>
      <c r="H507" s="35">
        <f>'Preventative costs A'!H507-'Preventative costs B'!H507</f>
        <v>0</v>
      </c>
      <c r="I507" s="35">
        <f>'Preventative costs A'!I507-'Preventative costs B'!I507</f>
        <v>0</v>
      </c>
      <c r="J507" s="35">
        <f>'Preventative costs A'!J507-'Preventative costs B'!J507</f>
        <v>0</v>
      </c>
      <c r="K507" s="35">
        <f>'Preventative costs A'!K507-'Preventative costs B'!K507</f>
        <v>0</v>
      </c>
      <c r="M507" s="43" t="str">
        <f t="shared" si="33"/>
        <v>$million per Mtonne</v>
      </c>
    </row>
    <row r="508" spans="1:13" s="7" customFormat="1" x14ac:dyDescent="0.25">
      <c r="A508" s="4" t="str">
        <v>OT CH4</v>
      </c>
      <c r="B508" s="35">
        <f>'Preventative costs A'!B508-'Preventative costs B'!B508</f>
        <v>0</v>
      </c>
      <c r="C508" s="35">
        <f>'Preventative costs A'!C508-'Preventative costs B'!C508</f>
        <v>0</v>
      </c>
      <c r="D508" s="35">
        <f>'Preventative costs A'!D508-'Preventative costs B'!D508</f>
        <v>0</v>
      </c>
      <c r="E508" s="35">
        <f>'Preventative costs A'!E508-'Preventative costs B'!E508</f>
        <v>0</v>
      </c>
      <c r="F508" s="35">
        <f>'Preventative costs A'!F508-'Preventative costs B'!F508</f>
        <v>0</v>
      </c>
      <c r="G508" s="35">
        <f>'Preventative costs A'!G508-'Preventative costs B'!G508</f>
        <v>0</v>
      </c>
      <c r="H508" s="35">
        <f>'Preventative costs A'!H508-'Preventative costs B'!H508</f>
        <v>0</v>
      </c>
      <c r="I508" s="35">
        <f>'Preventative costs A'!I508-'Preventative costs B'!I508</f>
        <v>0</v>
      </c>
      <c r="J508" s="35">
        <f>'Preventative costs A'!J508-'Preventative costs B'!J508</f>
        <v>0</v>
      </c>
      <c r="K508" s="35">
        <f>'Preventative costs A'!K508-'Preventative costs B'!K508</f>
        <v>0</v>
      </c>
      <c r="M508" s="43" t="str">
        <f t="shared" si="33"/>
        <v>$million per Mtonne</v>
      </c>
    </row>
    <row r="509" spans="1:13" s="7" customFormat="1" x14ac:dyDescent="0.25">
      <c r="A509" s="4" t="str">
        <v>EE CH4</v>
      </c>
      <c r="B509" s="35">
        <f>'Preventative costs A'!B509-'Preventative costs B'!B509</f>
        <v>0</v>
      </c>
      <c r="C509" s="35">
        <f>'Preventative costs A'!C509-'Preventative costs B'!C509</f>
        <v>0</v>
      </c>
      <c r="D509" s="35">
        <f>'Preventative costs A'!D509-'Preventative costs B'!D509</f>
        <v>0</v>
      </c>
      <c r="E509" s="35">
        <f>'Preventative costs A'!E509-'Preventative costs B'!E509</f>
        <v>0</v>
      </c>
      <c r="F509" s="35">
        <f>'Preventative costs A'!F509-'Preventative costs B'!F509</f>
        <v>0</v>
      </c>
      <c r="G509" s="35">
        <f>'Preventative costs A'!G509-'Preventative costs B'!G509</f>
        <v>0</v>
      </c>
      <c r="H509" s="35">
        <f>'Preventative costs A'!H509-'Preventative costs B'!H509</f>
        <v>0</v>
      </c>
      <c r="I509" s="35">
        <f>'Preventative costs A'!I509-'Preventative costs B'!I509</f>
        <v>0</v>
      </c>
      <c r="J509" s="35">
        <f>'Preventative costs A'!J509-'Preventative costs B'!J509</f>
        <v>0</v>
      </c>
      <c r="K509" s="35">
        <f>'Preventative costs A'!K509-'Preventative costs B'!K509</f>
        <v>0</v>
      </c>
      <c r="M509" s="43" t="str">
        <f t="shared" si="33"/>
        <v>$million per Mtonne</v>
      </c>
    </row>
    <row r="510" spans="1:13" s="7" customFormat="1" x14ac:dyDescent="0.25">
      <c r="A510" s="4" t="str">
        <v>CA CH4</v>
      </c>
      <c r="B510" s="35">
        <f>'Preventative costs A'!B510-'Preventative costs B'!B510</f>
        <v>0</v>
      </c>
      <c r="C510" s="35">
        <f>'Preventative costs A'!C510-'Preventative costs B'!C510</f>
        <v>0</v>
      </c>
      <c r="D510" s="35">
        <f>'Preventative costs A'!D510-'Preventative costs B'!D510</f>
        <v>0</v>
      </c>
      <c r="E510" s="35">
        <f>'Preventative costs A'!E510-'Preventative costs B'!E510</f>
        <v>0</v>
      </c>
      <c r="F510" s="35">
        <f>'Preventative costs A'!F510-'Preventative costs B'!F510</f>
        <v>0</v>
      </c>
      <c r="G510" s="35">
        <f>'Preventative costs A'!G510-'Preventative costs B'!G510</f>
        <v>0</v>
      </c>
      <c r="H510" s="35">
        <f>'Preventative costs A'!H510-'Preventative costs B'!H510</f>
        <v>0</v>
      </c>
      <c r="I510" s="35">
        <f>'Preventative costs A'!I510-'Preventative costs B'!I510</f>
        <v>0</v>
      </c>
      <c r="J510" s="35">
        <f>'Preventative costs A'!J510-'Preventative costs B'!J510</f>
        <v>0</v>
      </c>
      <c r="K510" s="35">
        <f>'Preventative costs A'!K510-'Preventative costs B'!K510</f>
        <v>0</v>
      </c>
      <c r="M510" s="43" t="str">
        <f t="shared" si="33"/>
        <v>$million per Mtonne</v>
      </c>
    </row>
    <row r="511" spans="1:13" s="7" customFormat="1" x14ac:dyDescent="0.25">
      <c r="A511" s="4" t="str">
        <v>IA CH4</v>
      </c>
      <c r="B511" s="35">
        <f>'Preventative costs A'!B511-'Preventative costs B'!B511</f>
        <v>0</v>
      </c>
      <c r="C511" s="35">
        <f>'Preventative costs A'!C511-'Preventative costs B'!C511</f>
        <v>0</v>
      </c>
      <c r="D511" s="35">
        <f>'Preventative costs A'!D511-'Preventative costs B'!D511</f>
        <v>0</v>
      </c>
      <c r="E511" s="35">
        <f>'Preventative costs A'!E511-'Preventative costs B'!E511</f>
        <v>0</v>
      </c>
      <c r="F511" s="35">
        <f>'Preventative costs A'!F511-'Preventative costs B'!F511</f>
        <v>0</v>
      </c>
      <c r="G511" s="35">
        <f>'Preventative costs A'!G511-'Preventative costs B'!G511</f>
        <v>0</v>
      </c>
      <c r="H511" s="35">
        <f>'Preventative costs A'!H511-'Preventative costs B'!H511</f>
        <v>0</v>
      </c>
      <c r="I511" s="35">
        <f>'Preventative costs A'!I511-'Preventative costs B'!I511</f>
        <v>0</v>
      </c>
      <c r="J511" s="35">
        <f>'Preventative costs A'!J511-'Preventative costs B'!J511</f>
        <v>0</v>
      </c>
      <c r="K511" s="35">
        <f>'Preventative costs A'!K511-'Preventative costs B'!K511</f>
        <v>0</v>
      </c>
      <c r="M511" s="43" t="str">
        <f t="shared" si="33"/>
        <v>$million per Mtonne</v>
      </c>
    </row>
    <row r="512" spans="1:13" s="7" customFormat="1" x14ac:dyDescent="0.25">
      <c r="A512" s="4" t="str">
        <v>AF CH4</v>
      </c>
      <c r="B512" s="35">
        <f>'Preventative costs A'!B512-'Preventative costs B'!B512</f>
        <v>0</v>
      </c>
      <c r="C512" s="35">
        <f>'Preventative costs A'!C512-'Preventative costs B'!C512</f>
        <v>0</v>
      </c>
      <c r="D512" s="35">
        <f>'Preventative costs A'!D512-'Preventative costs B'!D512</f>
        <v>0</v>
      </c>
      <c r="E512" s="35">
        <f>'Preventative costs A'!E512-'Preventative costs B'!E512</f>
        <v>0</v>
      </c>
      <c r="F512" s="35">
        <f>'Preventative costs A'!F512-'Preventative costs B'!F512</f>
        <v>0</v>
      </c>
      <c r="G512" s="35">
        <f>'Preventative costs A'!G512-'Preventative costs B'!G512</f>
        <v>0</v>
      </c>
      <c r="H512" s="35">
        <f>'Preventative costs A'!H512-'Preventative costs B'!H512</f>
        <v>0</v>
      </c>
      <c r="I512" s="35">
        <f>'Preventative costs A'!I512-'Preventative costs B'!I512</f>
        <v>0</v>
      </c>
      <c r="J512" s="35">
        <f>'Preventative costs A'!J512-'Preventative costs B'!J512</f>
        <v>0</v>
      </c>
      <c r="K512" s="35">
        <f>'Preventative costs A'!K512-'Preventative costs B'!K512</f>
        <v>0</v>
      </c>
      <c r="M512" s="43" t="str">
        <f t="shared" si="33"/>
        <v>$million per Mtonne</v>
      </c>
    </row>
    <row r="513" spans="1:13" s="7" customFormat="1" ht="13" thickBot="1" x14ac:dyDescent="0.3">
      <c r="A513" s="4" t="str">
        <v>LA CH4</v>
      </c>
      <c r="B513" s="49">
        <f>'Preventative costs A'!B513-'Preventative costs B'!B513</f>
        <v>0</v>
      </c>
      <c r="C513" s="49">
        <f>'Preventative costs A'!C513-'Preventative costs B'!C513</f>
        <v>0</v>
      </c>
      <c r="D513" s="49">
        <f>'Preventative costs A'!D513-'Preventative costs B'!D513</f>
        <v>0</v>
      </c>
      <c r="E513" s="49">
        <f>'Preventative costs A'!E513-'Preventative costs B'!E513</f>
        <v>0</v>
      </c>
      <c r="F513" s="49">
        <f>'Preventative costs A'!F513-'Preventative costs B'!F513</f>
        <v>0</v>
      </c>
      <c r="G513" s="49">
        <f>'Preventative costs A'!G513-'Preventative costs B'!G513</f>
        <v>0</v>
      </c>
      <c r="H513" s="49">
        <f>'Preventative costs A'!H513-'Preventative costs B'!H513</f>
        <v>0</v>
      </c>
      <c r="I513" s="49">
        <f>'Preventative costs A'!I513-'Preventative costs B'!I513</f>
        <v>0</v>
      </c>
      <c r="J513" s="49">
        <f>'Preventative costs A'!J513-'Preventative costs B'!J513</f>
        <v>0</v>
      </c>
      <c r="K513" s="49">
        <f>'Preventative costs A'!K513-'Preventative costs B'!K513</f>
        <v>0</v>
      </c>
      <c r="M513" s="43" t="str">
        <f t="shared" si="33"/>
        <v>$million per Mtonne</v>
      </c>
    </row>
    <row r="514" spans="1:13" s="2" customFormat="1" ht="15.5" thickTop="1" x14ac:dyDescent="0.4">
      <c r="A514" s="2" t="s">
        <v>401</v>
      </c>
      <c r="B514" s="2" t="s">
        <v>404</v>
      </c>
    </row>
    <row r="515" spans="1:13" s="7" customFormat="1" x14ac:dyDescent="0.25">
      <c r="A515" s="4" t="str">
        <f t="array" ref="A515:A522">R_CODE&amp;" "&amp;'Base data'!$D$11</f>
        <v>EU N2O</v>
      </c>
      <c r="B515" s="39">
        <f>'Preventative costs A'!B515-'Preventative costs B'!B515</f>
        <v>0</v>
      </c>
      <c r="C515" s="39">
        <f>'Preventative costs A'!C515-'Preventative costs B'!C515</f>
        <v>0</v>
      </c>
      <c r="D515" s="39">
        <f>'Preventative costs A'!D515-'Preventative costs B'!D515</f>
        <v>0</v>
      </c>
      <c r="E515" s="39">
        <f>'Preventative costs A'!E515-'Preventative costs B'!E515</f>
        <v>0</v>
      </c>
      <c r="F515" s="39">
        <f>'Preventative costs A'!F515-'Preventative costs B'!F515</f>
        <v>0</v>
      </c>
      <c r="G515" s="39">
        <f>'Preventative costs A'!G515-'Preventative costs B'!G515</f>
        <v>0</v>
      </c>
      <c r="H515" s="39">
        <f>'Preventative costs A'!H515-'Preventative costs B'!H515</f>
        <v>0</v>
      </c>
      <c r="I515" s="39">
        <f>'Preventative costs A'!I515-'Preventative costs B'!I515</f>
        <v>0</v>
      </c>
      <c r="J515" s="39">
        <f>'Preventative costs A'!J515-'Preventative costs B'!J515</f>
        <v>0</v>
      </c>
      <c r="K515" s="39">
        <f>'Preventative costs A'!K515-'Preventative costs B'!K515</f>
        <v>0</v>
      </c>
      <c r="M515" s="43" t="str">
        <f t="shared" ref="M515:M522" si="34">CURRENCY_NAME&amp;" per "&amp;EMIT_NAME</f>
        <v>$million per Mtonne</v>
      </c>
    </row>
    <row r="516" spans="1:13" s="7" customFormat="1" x14ac:dyDescent="0.25">
      <c r="A516" s="4" t="str">
        <v>US N2O</v>
      </c>
      <c r="B516" s="35">
        <f>'Preventative costs A'!B516-'Preventative costs B'!B516</f>
        <v>0</v>
      </c>
      <c r="C516" s="35">
        <f>'Preventative costs A'!C516-'Preventative costs B'!C516</f>
        <v>0</v>
      </c>
      <c r="D516" s="35">
        <f>'Preventative costs A'!D516-'Preventative costs B'!D516</f>
        <v>0</v>
      </c>
      <c r="E516" s="35">
        <f>'Preventative costs A'!E516-'Preventative costs B'!E516</f>
        <v>0</v>
      </c>
      <c r="F516" s="35">
        <f>'Preventative costs A'!F516-'Preventative costs B'!F516</f>
        <v>0</v>
      </c>
      <c r="G516" s="35">
        <f>'Preventative costs A'!G516-'Preventative costs B'!G516</f>
        <v>0</v>
      </c>
      <c r="H516" s="35">
        <f>'Preventative costs A'!H516-'Preventative costs B'!H516</f>
        <v>0</v>
      </c>
      <c r="I516" s="35">
        <f>'Preventative costs A'!I516-'Preventative costs B'!I516</f>
        <v>0</v>
      </c>
      <c r="J516" s="35">
        <f>'Preventative costs A'!J516-'Preventative costs B'!J516</f>
        <v>0</v>
      </c>
      <c r="K516" s="35">
        <f>'Preventative costs A'!K516-'Preventative costs B'!K516</f>
        <v>0</v>
      </c>
      <c r="M516" s="43" t="str">
        <f t="shared" si="34"/>
        <v>$million per Mtonne</v>
      </c>
    </row>
    <row r="517" spans="1:13" s="7" customFormat="1" x14ac:dyDescent="0.25">
      <c r="A517" s="4" t="str">
        <v>OT N2O</v>
      </c>
      <c r="B517" s="35">
        <f>'Preventative costs A'!B517-'Preventative costs B'!B517</f>
        <v>0</v>
      </c>
      <c r="C517" s="35">
        <f>'Preventative costs A'!C517-'Preventative costs B'!C517</f>
        <v>0</v>
      </c>
      <c r="D517" s="35">
        <f>'Preventative costs A'!D517-'Preventative costs B'!D517</f>
        <v>0</v>
      </c>
      <c r="E517" s="35">
        <f>'Preventative costs A'!E517-'Preventative costs B'!E517</f>
        <v>0</v>
      </c>
      <c r="F517" s="35">
        <f>'Preventative costs A'!F517-'Preventative costs B'!F517</f>
        <v>0</v>
      </c>
      <c r="G517" s="35">
        <f>'Preventative costs A'!G517-'Preventative costs B'!G517</f>
        <v>0</v>
      </c>
      <c r="H517" s="35">
        <f>'Preventative costs A'!H517-'Preventative costs B'!H517</f>
        <v>0</v>
      </c>
      <c r="I517" s="35">
        <f>'Preventative costs A'!I517-'Preventative costs B'!I517</f>
        <v>0</v>
      </c>
      <c r="J517" s="35">
        <f>'Preventative costs A'!J517-'Preventative costs B'!J517</f>
        <v>0</v>
      </c>
      <c r="K517" s="35">
        <f>'Preventative costs A'!K517-'Preventative costs B'!K517</f>
        <v>0</v>
      </c>
      <c r="M517" s="43" t="str">
        <f t="shared" si="34"/>
        <v>$million per Mtonne</v>
      </c>
    </row>
    <row r="518" spans="1:13" s="7" customFormat="1" x14ac:dyDescent="0.25">
      <c r="A518" s="4" t="str">
        <v>EE N2O</v>
      </c>
      <c r="B518" s="35">
        <f>'Preventative costs A'!B518-'Preventative costs B'!B518</f>
        <v>0</v>
      </c>
      <c r="C518" s="35">
        <f>'Preventative costs A'!C518-'Preventative costs B'!C518</f>
        <v>0</v>
      </c>
      <c r="D518" s="35">
        <f>'Preventative costs A'!D518-'Preventative costs B'!D518</f>
        <v>0</v>
      </c>
      <c r="E518" s="35">
        <f>'Preventative costs A'!E518-'Preventative costs B'!E518</f>
        <v>0</v>
      </c>
      <c r="F518" s="35">
        <f>'Preventative costs A'!F518-'Preventative costs B'!F518</f>
        <v>0</v>
      </c>
      <c r="G518" s="35">
        <f>'Preventative costs A'!G518-'Preventative costs B'!G518</f>
        <v>0</v>
      </c>
      <c r="H518" s="35">
        <f>'Preventative costs A'!H518-'Preventative costs B'!H518</f>
        <v>0</v>
      </c>
      <c r="I518" s="35">
        <f>'Preventative costs A'!I518-'Preventative costs B'!I518</f>
        <v>0</v>
      </c>
      <c r="J518" s="35">
        <f>'Preventative costs A'!J518-'Preventative costs B'!J518</f>
        <v>0</v>
      </c>
      <c r="K518" s="35">
        <f>'Preventative costs A'!K518-'Preventative costs B'!K518</f>
        <v>0</v>
      </c>
      <c r="M518" s="43" t="str">
        <f t="shared" si="34"/>
        <v>$million per Mtonne</v>
      </c>
    </row>
    <row r="519" spans="1:13" s="7" customFormat="1" x14ac:dyDescent="0.25">
      <c r="A519" s="4" t="str">
        <v>CA N2O</v>
      </c>
      <c r="B519" s="35">
        <f>'Preventative costs A'!B519-'Preventative costs B'!B519</f>
        <v>0</v>
      </c>
      <c r="C519" s="35">
        <f>'Preventative costs A'!C519-'Preventative costs B'!C519</f>
        <v>0</v>
      </c>
      <c r="D519" s="35">
        <f>'Preventative costs A'!D519-'Preventative costs B'!D519</f>
        <v>0</v>
      </c>
      <c r="E519" s="35">
        <f>'Preventative costs A'!E519-'Preventative costs B'!E519</f>
        <v>0</v>
      </c>
      <c r="F519" s="35">
        <f>'Preventative costs A'!F519-'Preventative costs B'!F519</f>
        <v>0</v>
      </c>
      <c r="G519" s="35">
        <f>'Preventative costs A'!G519-'Preventative costs B'!G519</f>
        <v>0</v>
      </c>
      <c r="H519" s="35">
        <f>'Preventative costs A'!H519-'Preventative costs B'!H519</f>
        <v>0</v>
      </c>
      <c r="I519" s="35">
        <f>'Preventative costs A'!I519-'Preventative costs B'!I519</f>
        <v>0</v>
      </c>
      <c r="J519" s="35">
        <f>'Preventative costs A'!J519-'Preventative costs B'!J519</f>
        <v>0</v>
      </c>
      <c r="K519" s="35">
        <f>'Preventative costs A'!K519-'Preventative costs B'!K519</f>
        <v>0</v>
      </c>
      <c r="M519" s="43" t="str">
        <f t="shared" si="34"/>
        <v>$million per Mtonne</v>
      </c>
    </row>
    <row r="520" spans="1:13" s="7" customFormat="1" x14ac:dyDescent="0.25">
      <c r="A520" s="4" t="str">
        <v>IA N2O</v>
      </c>
      <c r="B520" s="35">
        <f>'Preventative costs A'!B520-'Preventative costs B'!B520</f>
        <v>0</v>
      </c>
      <c r="C520" s="35">
        <f>'Preventative costs A'!C520-'Preventative costs B'!C520</f>
        <v>0</v>
      </c>
      <c r="D520" s="35">
        <f>'Preventative costs A'!D520-'Preventative costs B'!D520</f>
        <v>0</v>
      </c>
      <c r="E520" s="35">
        <f>'Preventative costs A'!E520-'Preventative costs B'!E520</f>
        <v>0</v>
      </c>
      <c r="F520" s="35">
        <f>'Preventative costs A'!F520-'Preventative costs B'!F520</f>
        <v>0</v>
      </c>
      <c r="G520" s="35">
        <f>'Preventative costs A'!G520-'Preventative costs B'!G520</f>
        <v>0</v>
      </c>
      <c r="H520" s="35">
        <f>'Preventative costs A'!H520-'Preventative costs B'!H520</f>
        <v>0</v>
      </c>
      <c r="I520" s="35">
        <f>'Preventative costs A'!I520-'Preventative costs B'!I520</f>
        <v>0</v>
      </c>
      <c r="J520" s="35">
        <f>'Preventative costs A'!J520-'Preventative costs B'!J520</f>
        <v>0</v>
      </c>
      <c r="K520" s="35">
        <f>'Preventative costs A'!K520-'Preventative costs B'!K520</f>
        <v>0</v>
      </c>
      <c r="M520" s="43" t="str">
        <f t="shared" si="34"/>
        <v>$million per Mtonne</v>
      </c>
    </row>
    <row r="521" spans="1:13" s="7" customFormat="1" x14ac:dyDescent="0.25">
      <c r="A521" s="4" t="str">
        <v>AF N2O</v>
      </c>
      <c r="B521" s="35">
        <f>'Preventative costs A'!B521-'Preventative costs B'!B521</f>
        <v>0</v>
      </c>
      <c r="C521" s="35">
        <f>'Preventative costs A'!C521-'Preventative costs B'!C521</f>
        <v>0</v>
      </c>
      <c r="D521" s="35">
        <f>'Preventative costs A'!D521-'Preventative costs B'!D521</f>
        <v>0</v>
      </c>
      <c r="E521" s="35">
        <f>'Preventative costs A'!E521-'Preventative costs B'!E521</f>
        <v>0</v>
      </c>
      <c r="F521" s="35">
        <f>'Preventative costs A'!F521-'Preventative costs B'!F521</f>
        <v>0</v>
      </c>
      <c r="G521" s="35">
        <f>'Preventative costs A'!G521-'Preventative costs B'!G521</f>
        <v>0</v>
      </c>
      <c r="H521" s="35">
        <f>'Preventative costs A'!H521-'Preventative costs B'!H521</f>
        <v>0</v>
      </c>
      <c r="I521" s="35">
        <f>'Preventative costs A'!I521-'Preventative costs B'!I521</f>
        <v>0</v>
      </c>
      <c r="J521" s="35">
        <f>'Preventative costs A'!J521-'Preventative costs B'!J521</f>
        <v>0</v>
      </c>
      <c r="K521" s="35">
        <f>'Preventative costs A'!K521-'Preventative costs B'!K521</f>
        <v>0</v>
      </c>
      <c r="M521" s="43" t="str">
        <f t="shared" si="34"/>
        <v>$million per Mtonne</v>
      </c>
    </row>
    <row r="522" spans="1:13" s="7" customFormat="1" ht="13" thickBot="1" x14ac:dyDescent="0.3">
      <c r="A522" s="4" t="str">
        <v>LA N2O</v>
      </c>
      <c r="B522" s="49">
        <f>'Preventative costs A'!B522-'Preventative costs B'!B522</f>
        <v>0</v>
      </c>
      <c r="C522" s="49">
        <f>'Preventative costs A'!C522-'Preventative costs B'!C522</f>
        <v>0</v>
      </c>
      <c r="D522" s="49">
        <f>'Preventative costs A'!D522-'Preventative costs B'!D522</f>
        <v>0</v>
      </c>
      <c r="E522" s="49">
        <f>'Preventative costs A'!E522-'Preventative costs B'!E522</f>
        <v>0</v>
      </c>
      <c r="F522" s="49">
        <f>'Preventative costs A'!F522-'Preventative costs B'!F522</f>
        <v>0</v>
      </c>
      <c r="G522" s="49">
        <f>'Preventative costs A'!G522-'Preventative costs B'!G522</f>
        <v>0</v>
      </c>
      <c r="H522" s="49">
        <f>'Preventative costs A'!H522-'Preventative costs B'!H522</f>
        <v>0</v>
      </c>
      <c r="I522" s="49">
        <f>'Preventative costs A'!I522-'Preventative costs B'!I522</f>
        <v>0</v>
      </c>
      <c r="J522" s="49">
        <f>'Preventative costs A'!J522-'Preventative costs B'!J522</f>
        <v>0</v>
      </c>
      <c r="K522" s="49">
        <f>'Preventative costs A'!K522-'Preventative costs B'!K522</f>
        <v>0</v>
      </c>
      <c r="M522" s="43" t="str">
        <f t="shared" si="34"/>
        <v>$million per Mtonne</v>
      </c>
    </row>
    <row r="523" spans="1:13" s="2" customFormat="1" ht="15.5" thickTop="1" x14ac:dyDescent="0.4">
      <c r="A523" s="2" t="s">
        <v>401</v>
      </c>
      <c r="B523" s="2" t="s">
        <v>405</v>
      </c>
    </row>
    <row r="524" spans="1:13" s="7" customFormat="1" x14ac:dyDescent="0.25">
      <c r="A524" s="4" t="str">
        <f t="array" ref="A524:A531">R_CODE&amp;" "&amp;GLIN_NAME</f>
        <v>EU Lin</v>
      </c>
      <c r="B524" s="39">
        <f>'Preventative costs A'!B524-'Preventative costs B'!B524</f>
        <v>0</v>
      </c>
      <c r="C524" s="39">
        <f>'Preventative costs A'!C524-'Preventative costs B'!C524</f>
        <v>0</v>
      </c>
      <c r="D524" s="39">
        <f>'Preventative costs A'!D524-'Preventative costs B'!D524</f>
        <v>0</v>
      </c>
      <c r="E524" s="39">
        <f>'Preventative costs A'!E524-'Preventative costs B'!E524</f>
        <v>0</v>
      </c>
      <c r="F524" s="39">
        <f>'Preventative costs A'!F524-'Preventative costs B'!F524</f>
        <v>0</v>
      </c>
      <c r="G524" s="39">
        <f>'Preventative costs A'!G524-'Preventative costs B'!G524</f>
        <v>0</v>
      </c>
      <c r="H524" s="39">
        <f>'Preventative costs A'!H524-'Preventative costs B'!H524</f>
        <v>0</v>
      </c>
      <c r="I524" s="39">
        <f>'Preventative costs A'!I524-'Preventative costs B'!I524</f>
        <v>0</v>
      </c>
      <c r="J524" s="39">
        <f>'Preventative costs A'!J524-'Preventative costs B'!J524</f>
        <v>0</v>
      </c>
      <c r="K524" s="39">
        <f>'Preventative costs A'!K524-'Preventative costs B'!K524</f>
        <v>0</v>
      </c>
      <c r="M524" s="43" t="str">
        <f t="shared" ref="M524:M531" si="35">CURRENCY_NAME&amp;" per "&amp;EMIT_NAME</f>
        <v>$million per Mtonne</v>
      </c>
    </row>
    <row r="525" spans="1:13" s="7" customFormat="1" x14ac:dyDescent="0.25">
      <c r="A525" s="4" t="str">
        <v>US Lin</v>
      </c>
      <c r="B525" s="35">
        <f>'Preventative costs A'!B525-'Preventative costs B'!B525</f>
        <v>0</v>
      </c>
      <c r="C525" s="35">
        <f>'Preventative costs A'!C525-'Preventative costs B'!C525</f>
        <v>0</v>
      </c>
      <c r="D525" s="35">
        <f>'Preventative costs A'!D525-'Preventative costs B'!D525</f>
        <v>0</v>
      </c>
      <c r="E525" s="35">
        <f>'Preventative costs A'!E525-'Preventative costs B'!E525</f>
        <v>0</v>
      </c>
      <c r="F525" s="35">
        <f>'Preventative costs A'!F525-'Preventative costs B'!F525</f>
        <v>0</v>
      </c>
      <c r="G525" s="35">
        <f>'Preventative costs A'!G525-'Preventative costs B'!G525</f>
        <v>0</v>
      </c>
      <c r="H525" s="35">
        <f>'Preventative costs A'!H525-'Preventative costs B'!H525</f>
        <v>0</v>
      </c>
      <c r="I525" s="35">
        <f>'Preventative costs A'!I525-'Preventative costs B'!I525</f>
        <v>0</v>
      </c>
      <c r="J525" s="35">
        <f>'Preventative costs A'!J525-'Preventative costs B'!J525</f>
        <v>0</v>
      </c>
      <c r="K525" s="35">
        <f>'Preventative costs A'!K525-'Preventative costs B'!K525</f>
        <v>0</v>
      </c>
      <c r="M525" s="43" t="str">
        <f t="shared" si="35"/>
        <v>$million per Mtonne</v>
      </c>
    </row>
    <row r="526" spans="1:13" s="7" customFormat="1" x14ac:dyDescent="0.25">
      <c r="A526" s="4" t="str">
        <v>OT Lin</v>
      </c>
      <c r="B526" s="35">
        <f>'Preventative costs A'!B526-'Preventative costs B'!B526</f>
        <v>0</v>
      </c>
      <c r="C526" s="35">
        <f>'Preventative costs A'!C526-'Preventative costs B'!C526</f>
        <v>0</v>
      </c>
      <c r="D526" s="35">
        <f>'Preventative costs A'!D526-'Preventative costs B'!D526</f>
        <v>0</v>
      </c>
      <c r="E526" s="35">
        <f>'Preventative costs A'!E526-'Preventative costs B'!E526</f>
        <v>0</v>
      </c>
      <c r="F526" s="35">
        <f>'Preventative costs A'!F526-'Preventative costs B'!F526</f>
        <v>0</v>
      </c>
      <c r="G526" s="35">
        <f>'Preventative costs A'!G526-'Preventative costs B'!G526</f>
        <v>0</v>
      </c>
      <c r="H526" s="35">
        <f>'Preventative costs A'!H526-'Preventative costs B'!H526</f>
        <v>0</v>
      </c>
      <c r="I526" s="35">
        <f>'Preventative costs A'!I526-'Preventative costs B'!I526</f>
        <v>0</v>
      </c>
      <c r="J526" s="35">
        <f>'Preventative costs A'!J526-'Preventative costs B'!J526</f>
        <v>0</v>
      </c>
      <c r="K526" s="35">
        <f>'Preventative costs A'!K526-'Preventative costs B'!K526</f>
        <v>0</v>
      </c>
      <c r="M526" s="43" t="str">
        <f t="shared" si="35"/>
        <v>$million per Mtonne</v>
      </c>
    </row>
    <row r="527" spans="1:13" s="7" customFormat="1" x14ac:dyDescent="0.25">
      <c r="A527" s="4" t="str">
        <v>EE Lin</v>
      </c>
      <c r="B527" s="35">
        <f>'Preventative costs A'!B527-'Preventative costs B'!B527</f>
        <v>0</v>
      </c>
      <c r="C527" s="35">
        <f>'Preventative costs A'!C527-'Preventative costs B'!C527</f>
        <v>0</v>
      </c>
      <c r="D527" s="35">
        <f>'Preventative costs A'!D527-'Preventative costs B'!D527</f>
        <v>0</v>
      </c>
      <c r="E527" s="35">
        <f>'Preventative costs A'!E527-'Preventative costs B'!E527</f>
        <v>0</v>
      </c>
      <c r="F527" s="35">
        <f>'Preventative costs A'!F527-'Preventative costs B'!F527</f>
        <v>0</v>
      </c>
      <c r="G527" s="35">
        <f>'Preventative costs A'!G527-'Preventative costs B'!G527</f>
        <v>0</v>
      </c>
      <c r="H527" s="35">
        <f>'Preventative costs A'!H527-'Preventative costs B'!H527</f>
        <v>0</v>
      </c>
      <c r="I527" s="35">
        <f>'Preventative costs A'!I527-'Preventative costs B'!I527</f>
        <v>0</v>
      </c>
      <c r="J527" s="35">
        <f>'Preventative costs A'!J527-'Preventative costs B'!J527</f>
        <v>0</v>
      </c>
      <c r="K527" s="35">
        <f>'Preventative costs A'!K527-'Preventative costs B'!K527</f>
        <v>0</v>
      </c>
      <c r="M527" s="43" t="str">
        <f t="shared" si="35"/>
        <v>$million per Mtonne</v>
      </c>
    </row>
    <row r="528" spans="1:13" s="7" customFormat="1" x14ac:dyDescent="0.25">
      <c r="A528" s="4" t="str">
        <v>CA Lin</v>
      </c>
      <c r="B528" s="35">
        <f>'Preventative costs A'!B528-'Preventative costs B'!B528</f>
        <v>0</v>
      </c>
      <c r="C528" s="35">
        <f>'Preventative costs A'!C528-'Preventative costs B'!C528</f>
        <v>0</v>
      </c>
      <c r="D528" s="35">
        <f>'Preventative costs A'!D528-'Preventative costs B'!D528</f>
        <v>0</v>
      </c>
      <c r="E528" s="35">
        <f>'Preventative costs A'!E528-'Preventative costs B'!E528</f>
        <v>0</v>
      </c>
      <c r="F528" s="35">
        <f>'Preventative costs A'!F528-'Preventative costs B'!F528</f>
        <v>0</v>
      </c>
      <c r="G528" s="35">
        <f>'Preventative costs A'!G528-'Preventative costs B'!G528</f>
        <v>0</v>
      </c>
      <c r="H528" s="35">
        <f>'Preventative costs A'!H528-'Preventative costs B'!H528</f>
        <v>0</v>
      </c>
      <c r="I528" s="35">
        <f>'Preventative costs A'!I528-'Preventative costs B'!I528</f>
        <v>0</v>
      </c>
      <c r="J528" s="35">
        <f>'Preventative costs A'!J528-'Preventative costs B'!J528</f>
        <v>0</v>
      </c>
      <c r="K528" s="35">
        <f>'Preventative costs A'!K528-'Preventative costs B'!K528</f>
        <v>0</v>
      </c>
      <c r="M528" s="43" t="str">
        <f t="shared" si="35"/>
        <v>$million per Mtonne</v>
      </c>
    </row>
    <row r="529" spans="1:13" s="7" customFormat="1" x14ac:dyDescent="0.25">
      <c r="A529" s="4" t="str">
        <v>IA Lin</v>
      </c>
      <c r="B529" s="35">
        <f>'Preventative costs A'!B529-'Preventative costs B'!B529</f>
        <v>0</v>
      </c>
      <c r="C529" s="35">
        <f>'Preventative costs A'!C529-'Preventative costs B'!C529</f>
        <v>0</v>
      </c>
      <c r="D529" s="35">
        <f>'Preventative costs A'!D529-'Preventative costs B'!D529</f>
        <v>0</v>
      </c>
      <c r="E529" s="35">
        <f>'Preventative costs A'!E529-'Preventative costs B'!E529</f>
        <v>0</v>
      </c>
      <c r="F529" s="35">
        <f>'Preventative costs A'!F529-'Preventative costs B'!F529</f>
        <v>0</v>
      </c>
      <c r="G529" s="35">
        <f>'Preventative costs A'!G529-'Preventative costs B'!G529</f>
        <v>0</v>
      </c>
      <c r="H529" s="35">
        <f>'Preventative costs A'!H529-'Preventative costs B'!H529</f>
        <v>0</v>
      </c>
      <c r="I529" s="35">
        <f>'Preventative costs A'!I529-'Preventative costs B'!I529</f>
        <v>0</v>
      </c>
      <c r="J529" s="35">
        <f>'Preventative costs A'!J529-'Preventative costs B'!J529</f>
        <v>0</v>
      </c>
      <c r="K529" s="35">
        <f>'Preventative costs A'!K529-'Preventative costs B'!K529</f>
        <v>0</v>
      </c>
      <c r="M529" s="43" t="str">
        <f t="shared" si="35"/>
        <v>$million per Mtonne</v>
      </c>
    </row>
    <row r="530" spans="1:13" s="7" customFormat="1" x14ac:dyDescent="0.25">
      <c r="A530" s="4" t="str">
        <v>AF Lin</v>
      </c>
      <c r="B530" s="35">
        <f>'Preventative costs A'!B530-'Preventative costs B'!B530</f>
        <v>0</v>
      </c>
      <c r="C530" s="35">
        <f>'Preventative costs A'!C530-'Preventative costs B'!C530</f>
        <v>0</v>
      </c>
      <c r="D530" s="35">
        <f>'Preventative costs A'!D530-'Preventative costs B'!D530</f>
        <v>0</v>
      </c>
      <c r="E530" s="35">
        <f>'Preventative costs A'!E530-'Preventative costs B'!E530</f>
        <v>0</v>
      </c>
      <c r="F530" s="35">
        <f>'Preventative costs A'!F530-'Preventative costs B'!F530</f>
        <v>0</v>
      </c>
      <c r="G530" s="35">
        <f>'Preventative costs A'!G530-'Preventative costs B'!G530</f>
        <v>0</v>
      </c>
      <c r="H530" s="35">
        <f>'Preventative costs A'!H530-'Preventative costs B'!H530</f>
        <v>0</v>
      </c>
      <c r="I530" s="35">
        <f>'Preventative costs A'!I530-'Preventative costs B'!I530</f>
        <v>0</v>
      </c>
      <c r="J530" s="35">
        <f>'Preventative costs A'!J530-'Preventative costs B'!J530</f>
        <v>0</v>
      </c>
      <c r="K530" s="35">
        <f>'Preventative costs A'!K530-'Preventative costs B'!K530</f>
        <v>0</v>
      </c>
      <c r="M530" s="43" t="str">
        <f t="shared" si="35"/>
        <v>$million per Mtonne</v>
      </c>
    </row>
    <row r="531" spans="1:13" s="7" customFormat="1" ht="13" thickBot="1" x14ac:dyDescent="0.3">
      <c r="A531" s="4" t="str">
        <v>LA Lin</v>
      </c>
      <c r="B531" s="49">
        <f>'Preventative costs A'!B531-'Preventative costs B'!B531</f>
        <v>0</v>
      </c>
      <c r="C531" s="49">
        <f>'Preventative costs A'!C531-'Preventative costs B'!C531</f>
        <v>0</v>
      </c>
      <c r="D531" s="49">
        <f>'Preventative costs A'!D531-'Preventative costs B'!D531</f>
        <v>0</v>
      </c>
      <c r="E531" s="49">
        <f>'Preventative costs A'!E531-'Preventative costs B'!E531</f>
        <v>0</v>
      </c>
      <c r="F531" s="49">
        <f>'Preventative costs A'!F531-'Preventative costs B'!F531</f>
        <v>0</v>
      </c>
      <c r="G531" s="49">
        <f>'Preventative costs A'!G531-'Preventative costs B'!G531</f>
        <v>0</v>
      </c>
      <c r="H531" s="49">
        <f>'Preventative costs A'!H531-'Preventative costs B'!H531</f>
        <v>0</v>
      </c>
      <c r="I531" s="49">
        <f>'Preventative costs A'!I531-'Preventative costs B'!I531</f>
        <v>0</v>
      </c>
      <c r="J531" s="49">
        <f>'Preventative costs A'!J531-'Preventative costs B'!J531</f>
        <v>0</v>
      </c>
      <c r="K531" s="49">
        <f>'Preventative costs A'!K531-'Preventative costs B'!K531</f>
        <v>0</v>
      </c>
      <c r="M531" s="43" t="str">
        <f t="shared" si="35"/>
        <v>$million per Mtonne</v>
      </c>
    </row>
    <row r="532" spans="1:13" s="2" customFormat="1" ht="15.5" thickTop="1" x14ac:dyDescent="0.4">
      <c r="A532" s="2" t="s">
        <v>406</v>
      </c>
      <c r="B532" s="2" t="s">
        <v>407</v>
      </c>
    </row>
    <row r="533" spans="1:13" s="6" customFormat="1" x14ac:dyDescent="0.25">
      <c r="A533" s="4" t="str">
        <f t="array" ref="A533:A540">R_CODE&amp;" "&amp;'Base data'!$B$11</f>
        <v>EU CO2</v>
      </c>
      <c r="B533" s="39">
        <f>'Preventative costs A'!B533-'Preventative costs B'!B533</f>
        <v>0</v>
      </c>
      <c r="C533" s="39">
        <f>'Preventative costs A'!C533-'Preventative costs B'!C533</f>
        <v>0</v>
      </c>
      <c r="D533" s="39">
        <f>'Preventative costs A'!D533-'Preventative costs B'!D533</f>
        <v>0</v>
      </c>
      <c r="E533" s="39">
        <f>'Preventative costs A'!E533-'Preventative costs B'!E533</f>
        <v>0</v>
      </c>
      <c r="F533" s="39">
        <f>'Preventative costs A'!F533-'Preventative costs B'!F533</f>
        <v>0</v>
      </c>
      <c r="G533" s="39">
        <f>'Preventative costs A'!G533-'Preventative costs B'!G533</f>
        <v>0</v>
      </c>
      <c r="H533" s="39">
        <f>'Preventative costs A'!H533-'Preventative costs B'!H533</f>
        <v>0</v>
      </c>
      <c r="I533" s="39">
        <f>'Preventative costs A'!I533-'Preventative costs B'!I533</f>
        <v>0</v>
      </c>
      <c r="J533" s="39">
        <f>'Preventative costs A'!J533-'Preventative costs B'!J533</f>
        <v>0</v>
      </c>
      <c r="K533" s="39">
        <f>'Preventative costs A'!K533-'Preventative costs B'!K533</f>
        <v>0</v>
      </c>
      <c r="M533" s="43" t="str">
        <f t="shared" ref="M533:M540" si="36">CURRENCY_NAME</f>
        <v>$million</v>
      </c>
    </row>
    <row r="534" spans="1:13" s="6" customFormat="1" x14ac:dyDescent="0.25">
      <c r="A534" s="4" t="str">
        <v>US CO2</v>
      </c>
      <c r="B534" s="35">
        <f>'Preventative costs A'!B534-'Preventative costs B'!B534</f>
        <v>0</v>
      </c>
      <c r="C534" s="35">
        <f>'Preventative costs A'!C534-'Preventative costs B'!C534</f>
        <v>0</v>
      </c>
      <c r="D534" s="35">
        <f>'Preventative costs A'!D534-'Preventative costs B'!D534</f>
        <v>0</v>
      </c>
      <c r="E534" s="35">
        <f>'Preventative costs A'!E534-'Preventative costs B'!E534</f>
        <v>0</v>
      </c>
      <c r="F534" s="35">
        <f>'Preventative costs A'!F534-'Preventative costs B'!F534</f>
        <v>0</v>
      </c>
      <c r="G534" s="35">
        <f>'Preventative costs A'!G534-'Preventative costs B'!G534</f>
        <v>0</v>
      </c>
      <c r="H534" s="35">
        <f>'Preventative costs A'!H534-'Preventative costs B'!H534</f>
        <v>0</v>
      </c>
      <c r="I534" s="35">
        <f>'Preventative costs A'!I534-'Preventative costs B'!I534</f>
        <v>0</v>
      </c>
      <c r="J534" s="35">
        <f>'Preventative costs A'!J534-'Preventative costs B'!J534</f>
        <v>0</v>
      </c>
      <c r="K534" s="35">
        <f>'Preventative costs A'!K534-'Preventative costs B'!K534</f>
        <v>0</v>
      </c>
      <c r="M534" s="43" t="str">
        <f t="shared" si="36"/>
        <v>$million</v>
      </c>
    </row>
    <row r="535" spans="1:13" s="6" customFormat="1" x14ac:dyDescent="0.25">
      <c r="A535" s="4" t="str">
        <v>OT CO2</v>
      </c>
      <c r="B535" s="35">
        <f>'Preventative costs A'!B535-'Preventative costs B'!B535</f>
        <v>0</v>
      </c>
      <c r="C535" s="35">
        <f>'Preventative costs A'!C535-'Preventative costs B'!C535</f>
        <v>0</v>
      </c>
      <c r="D535" s="35">
        <f>'Preventative costs A'!D535-'Preventative costs B'!D535</f>
        <v>0</v>
      </c>
      <c r="E535" s="35">
        <f>'Preventative costs A'!E535-'Preventative costs B'!E535</f>
        <v>0</v>
      </c>
      <c r="F535" s="35">
        <f>'Preventative costs A'!F535-'Preventative costs B'!F535</f>
        <v>0</v>
      </c>
      <c r="G535" s="35">
        <f>'Preventative costs A'!G535-'Preventative costs B'!G535</f>
        <v>0</v>
      </c>
      <c r="H535" s="35">
        <f>'Preventative costs A'!H535-'Preventative costs B'!H535</f>
        <v>0</v>
      </c>
      <c r="I535" s="35">
        <f>'Preventative costs A'!I535-'Preventative costs B'!I535</f>
        <v>0</v>
      </c>
      <c r="J535" s="35">
        <f>'Preventative costs A'!J535-'Preventative costs B'!J535</f>
        <v>0</v>
      </c>
      <c r="K535" s="35">
        <f>'Preventative costs A'!K535-'Preventative costs B'!K535</f>
        <v>0</v>
      </c>
      <c r="M535" s="43" t="str">
        <f t="shared" si="36"/>
        <v>$million</v>
      </c>
    </row>
    <row r="536" spans="1:13" s="6" customFormat="1" x14ac:dyDescent="0.25">
      <c r="A536" s="4" t="str">
        <v>EE CO2</v>
      </c>
      <c r="B536" s="35">
        <f>'Preventative costs A'!B536-'Preventative costs B'!B536</f>
        <v>0</v>
      </c>
      <c r="C536" s="35">
        <f>'Preventative costs A'!C536-'Preventative costs B'!C536</f>
        <v>0</v>
      </c>
      <c r="D536" s="35">
        <f>'Preventative costs A'!D536-'Preventative costs B'!D536</f>
        <v>0</v>
      </c>
      <c r="E536" s="35">
        <f>'Preventative costs A'!E536-'Preventative costs B'!E536</f>
        <v>0</v>
      </c>
      <c r="F536" s="35">
        <f>'Preventative costs A'!F536-'Preventative costs B'!F536</f>
        <v>0</v>
      </c>
      <c r="G536" s="35">
        <f>'Preventative costs A'!G536-'Preventative costs B'!G536</f>
        <v>0</v>
      </c>
      <c r="H536" s="35">
        <f>'Preventative costs A'!H536-'Preventative costs B'!H536</f>
        <v>0</v>
      </c>
      <c r="I536" s="35">
        <f>'Preventative costs A'!I536-'Preventative costs B'!I536</f>
        <v>0</v>
      </c>
      <c r="J536" s="35">
        <f>'Preventative costs A'!J536-'Preventative costs B'!J536</f>
        <v>0</v>
      </c>
      <c r="K536" s="35">
        <f>'Preventative costs A'!K536-'Preventative costs B'!K536</f>
        <v>0</v>
      </c>
      <c r="M536" s="43" t="str">
        <f t="shared" si="36"/>
        <v>$million</v>
      </c>
    </row>
    <row r="537" spans="1:13" s="6" customFormat="1" x14ac:dyDescent="0.25">
      <c r="A537" s="4" t="str">
        <v>CA CO2</v>
      </c>
      <c r="B537" s="35">
        <f>'Preventative costs A'!B537-'Preventative costs B'!B537</f>
        <v>0</v>
      </c>
      <c r="C537" s="35">
        <f>'Preventative costs A'!C537-'Preventative costs B'!C537</f>
        <v>0</v>
      </c>
      <c r="D537" s="35">
        <f>'Preventative costs A'!D537-'Preventative costs B'!D537</f>
        <v>0</v>
      </c>
      <c r="E537" s="35">
        <f>'Preventative costs A'!E537-'Preventative costs B'!E537</f>
        <v>0</v>
      </c>
      <c r="F537" s="35">
        <f>'Preventative costs A'!F537-'Preventative costs B'!F537</f>
        <v>0</v>
      </c>
      <c r="G537" s="35">
        <f>'Preventative costs A'!G537-'Preventative costs B'!G537</f>
        <v>0</v>
      </c>
      <c r="H537" s="35">
        <f>'Preventative costs A'!H537-'Preventative costs B'!H537</f>
        <v>0</v>
      </c>
      <c r="I537" s="35">
        <f>'Preventative costs A'!I537-'Preventative costs B'!I537</f>
        <v>0</v>
      </c>
      <c r="J537" s="35">
        <f>'Preventative costs A'!J537-'Preventative costs B'!J537</f>
        <v>0</v>
      </c>
      <c r="K537" s="35">
        <f>'Preventative costs A'!K537-'Preventative costs B'!K537</f>
        <v>0</v>
      </c>
      <c r="M537" s="43" t="str">
        <f t="shared" si="36"/>
        <v>$million</v>
      </c>
    </row>
    <row r="538" spans="1:13" s="6" customFormat="1" x14ac:dyDescent="0.25">
      <c r="A538" s="4" t="str">
        <v>IA CO2</v>
      </c>
      <c r="B538" s="35">
        <f>'Preventative costs A'!B538-'Preventative costs B'!B538</f>
        <v>0</v>
      </c>
      <c r="C538" s="35">
        <f>'Preventative costs A'!C538-'Preventative costs B'!C538</f>
        <v>0</v>
      </c>
      <c r="D538" s="35">
        <f>'Preventative costs A'!D538-'Preventative costs B'!D538</f>
        <v>0</v>
      </c>
      <c r="E538" s="35">
        <f>'Preventative costs A'!E538-'Preventative costs B'!E538</f>
        <v>0</v>
      </c>
      <c r="F538" s="35">
        <f>'Preventative costs A'!F538-'Preventative costs B'!F538</f>
        <v>0</v>
      </c>
      <c r="G538" s="35">
        <f>'Preventative costs A'!G538-'Preventative costs B'!G538</f>
        <v>0</v>
      </c>
      <c r="H538" s="35">
        <f>'Preventative costs A'!H538-'Preventative costs B'!H538</f>
        <v>0</v>
      </c>
      <c r="I538" s="35">
        <f>'Preventative costs A'!I538-'Preventative costs B'!I538</f>
        <v>0</v>
      </c>
      <c r="J538" s="35">
        <f>'Preventative costs A'!J538-'Preventative costs B'!J538</f>
        <v>0</v>
      </c>
      <c r="K538" s="35">
        <f>'Preventative costs A'!K538-'Preventative costs B'!K538</f>
        <v>0</v>
      </c>
      <c r="M538" s="43" t="str">
        <f t="shared" si="36"/>
        <v>$million</v>
      </c>
    </row>
    <row r="539" spans="1:13" s="6" customFormat="1" x14ac:dyDescent="0.25">
      <c r="A539" s="4" t="str">
        <v>AF CO2</v>
      </c>
      <c r="B539" s="35">
        <f>'Preventative costs A'!B539-'Preventative costs B'!B539</f>
        <v>0</v>
      </c>
      <c r="C539" s="35">
        <f>'Preventative costs A'!C539-'Preventative costs B'!C539</f>
        <v>0</v>
      </c>
      <c r="D539" s="35">
        <f>'Preventative costs A'!D539-'Preventative costs B'!D539</f>
        <v>0</v>
      </c>
      <c r="E539" s="35">
        <f>'Preventative costs A'!E539-'Preventative costs B'!E539</f>
        <v>0</v>
      </c>
      <c r="F539" s="35">
        <f>'Preventative costs A'!F539-'Preventative costs B'!F539</f>
        <v>0</v>
      </c>
      <c r="G539" s="35">
        <f>'Preventative costs A'!G539-'Preventative costs B'!G539</f>
        <v>0</v>
      </c>
      <c r="H539" s="35">
        <f>'Preventative costs A'!H539-'Preventative costs B'!H539</f>
        <v>0</v>
      </c>
      <c r="I539" s="35">
        <f>'Preventative costs A'!I539-'Preventative costs B'!I539</f>
        <v>0</v>
      </c>
      <c r="J539" s="35">
        <f>'Preventative costs A'!J539-'Preventative costs B'!J539</f>
        <v>0</v>
      </c>
      <c r="K539" s="35">
        <f>'Preventative costs A'!K539-'Preventative costs B'!K539</f>
        <v>0</v>
      </c>
      <c r="M539" s="43" t="str">
        <f t="shared" si="36"/>
        <v>$million</v>
      </c>
    </row>
    <row r="540" spans="1:13" s="6" customFormat="1" ht="13" thickBot="1" x14ac:dyDescent="0.3">
      <c r="A540" s="4" t="str">
        <v>LA CO2</v>
      </c>
      <c r="B540" s="49">
        <f>'Preventative costs A'!B540-'Preventative costs B'!B540</f>
        <v>0</v>
      </c>
      <c r="C540" s="49">
        <f>'Preventative costs A'!C540-'Preventative costs B'!C540</f>
        <v>0</v>
      </c>
      <c r="D540" s="49">
        <f>'Preventative costs A'!D540-'Preventative costs B'!D540</f>
        <v>0</v>
      </c>
      <c r="E540" s="49">
        <f>'Preventative costs A'!E540-'Preventative costs B'!E540</f>
        <v>0</v>
      </c>
      <c r="F540" s="49">
        <f>'Preventative costs A'!F540-'Preventative costs B'!F540</f>
        <v>0</v>
      </c>
      <c r="G540" s="49">
        <f>'Preventative costs A'!G540-'Preventative costs B'!G540</f>
        <v>0</v>
      </c>
      <c r="H540" s="49">
        <f>'Preventative costs A'!H540-'Preventative costs B'!H540</f>
        <v>0</v>
      </c>
      <c r="I540" s="49">
        <f>'Preventative costs A'!I540-'Preventative costs B'!I540</f>
        <v>0</v>
      </c>
      <c r="J540" s="49">
        <f>'Preventative costs A'!J540-'Preventative costs B'!J540</f>
        <v>0</v>
      </c>
      <c r="K540" s="49">
        <f>'Preventative costs A'!K540-'Preventative costs B'!K540</f>
        <v>0</v>
      </c>
      <c r="M540" s="43" t="str">
        <f t="shared" si="36"/>
        <v>$million</v>
      </c>
    </row>
    <row r="541" spans="1:13" s="2" customFormat="1" ht="15.5" thickTop="1" x14ac:dyDescent="0.4">
      <c r="A541" s="2" t="s">
        <v>406</v>
      </c>
      <c r="B541" s="2" t="s">
        <v>408</v>
      </c>
    </row>
    <row r="542" spans="1:13" s="6" customFormat="1" x14ac:dyDescent="0.25">
      <c r="A542" s="4" t="str">
        <f t="array" ref="A542:A549">R_CODE&amp;" "&amp;'Base data'!$C$11</f>
        <v>EU CH4</v>
      </c>
      <c r="B542" s="39">
        <f>'Preventative costs A'!B542-'Preventative costs B'!B542</f>
        <v>0</v>
      </c>
      <c r="C542" s="39">
        <f>'Preventative costs A'!C542-'Preventative costs B'!C542</f>
        <v>0</v>
      </c>
      <c r="D542" s="39">
        <f>'Preventative costs A'!D542-'Preventative costs B'!D542</f>
        <v>0</v>
      </c>
      <c r="E542" s="39">
        <f>'Preventative costs A'!E542-'Preventative costs B'!E542</f>
        <v>0</v>
      </c>
      <c r="F542" s="39">
        <f>'Preventative costs A'!F542-'Preventative costs B'!F542</f>
        <v>0</v>
      </c>
      <c r="G542" s="39">
        <f>'Preventative costs A'!G542-'Preventative costs B'!G542</f>
        <v>0</v>
      </c>
      <c r="H542" s="39">
        <f>'Preventative costs A'!H542-'Preventative costs B'!H542</f>
        <v>0</v>
      </c>
      <c r="I542" s="39">
        <f>'Preventative costs A'!I542-'Preventative costs B'!I542</f>
        <v>0</v>
      </c>
      <c r="J542" s="39">
        <f>'Preventative costs A'!J542-'Preventative costs B'!J542</f>
        <v>0</v>
      </c>
      <c r="K542" s="39">
        <f>'Preventative costs A'!K542-'Preventative costs B'!K542</f>
        <v>0</v>
      </c>
      <c r="M542" s="43" t="str">
        <f t="shared" ref="M542:M549" si="37">CURRENCY_NAME</f>
        <v>$million</v>
      </c>
    </row>
    <row r="543" spans="1:13" s="6" customFormat="1" x14ac:dyDescent="0.25">
      <c r="A543" s="4" t="str">
        <v>US CH4</v>
      </c>
      <c r="B543" s="35">
        <f>'Preventative costs A'!B543-'Preventative costs B'!B543</f>
        <v>0</v>
      </c>
      <c r="C543" s="35">
        <f>'Preventative costs A'!C543-'Preventative costs B'!C543</f>
        <v>0</v>
      </c>
      <c r="D543" s="35">
        <f>'Preventative costs A'!D543-'Preventative costs B'!D543</f>
        <v>0</v>
      </c>
      <c r="E543" s="35">
        <f>'Preventative costs A'!E543-'Preventative costs B'!E543</f>
        <v>0</v>
      </c>
      <c r="F543" s="35">
        <f>'Preventative costs A'!F543-'Preventative costs B'!F543</f>
        <v>0</v>
      </c>
      <c r="G543" s="35">
        <f>'Preventative costs A'!G543-'Preventative costs B'!G543</f>
        <v>0</v>
      </c>
      <c r="H543" s="35">
        <f>'Preventative costs A'!H543-'Preventative costs B'!H543</f>
        <v>0</v>
      </c>
      <c r="I543" s="35">
        <f>'Preventative costs A'!I543-'Preventative costs B'!I543</f>
        <v>0</v>
      </c>
      <c r="J543" s="35">
        <f>'Preventative costs A'!J543-'Preventative costs B'!J543</f>
        <v>0</v>
      </c>
      <c r="K543" s="35">
        <f>'Preventative costs A'!K543-'Preventative costs B'!K543</f>
        <v>0</v>
      </c>
      <c r="M543" s="43" t="str">
        <f t="shared" si="37"/>
        <v>$million</v>
      </c>
    </row>
    <row r="544" spans="1:13" s="6" customFormat="1" x14ac:dyDescent="0.25">
      <c r="A544" s="4" t="str">
        <v>OT CH4</v>
      </c>
      <c r="B544" s="35">
        <f>'Preventative costs A'!B544-'Preventative costs B'!B544</f>
        <v>0</v>
      </c>
      <c r="C544" s="35">
        <f>'Preventative costs A'!C544-'Preventative costs B'!C544</f>
        <v>0</v>
      </c>
      <c r="D544" s="35">
        <f>'Preventative costs A'!D544-'Preventative costs B'!D544</f>
        <v>0</v>
      </c>
      <c r="E544" s="35">
        <f>'Preventative costs A'!E544-'Preventative costs B'!E544</f>
        <v>0</v>
      </c>
      <c r="F544" s="35">
        <f>'Preventative costs A'!F544-'Preventative costs B'!F544</f>
        <v>0</v>
      </c>
      <c r="G544" s="35">
        <f>'Preventative costs A'!G544-'Preventative costs B'!G544</f>
        <v>0</v>
      </c>
      <c r="H544" s="35">
        <f>'Preventative costs A'!H544-'Preventative costs B'!H544</f>
        <v>0</v>
      </c>
      <c r="I544" s="35">
        <f>'Preventative costs A'!I544-'Preventative costs B'!I544</f>
        <v>0</v>
      </c>
      <c r="J544" s="35">
        <f>'Preventative costs A'!J544-'Preventative costs B'!J544</f>
        <v>0</v>
      </c>
      <c r="K544" s="35">
        <f>'Preventative costs A'!K544-'Preventative costs B'!K544</f>
        <v>0</v>
      </c>
      <c r="M544" s="43" t="str">
        <f t="shared" si="37"/>
        <v>$million</v>
      </c>
    </row>
    <row r="545" spans="1:13" s="6" customFormat="1" x14ac:dyDescent="0.25">
      <c r="A545" s="4" t="str">
        <v>EE CH4</v>
      </c>
      <c r="B545" s="35">
        <f>'Preventative costs A'!B545-'Preventative costs B'!B545</f>
        <v>0</v>
      </c>
      <c r="C545" s="35">
        <f>'Preventative costs A'!C545-'Preventative costs B'!C545</f>
        <v>0</v>
      </c>
      <c r="D545" s="35">
        <f>'Preventative costs A'!D545-'Preventative costs B'!D545</f>
        <v>0</v>
      </c>
      <c r="E545" s="35">
        <f>'Preventative costs A'!E545-'Preventative costs B'!E545</f>
        <v>0</v>
      </c>
      <c r="F545" s="35">
        <f>'Preventative costs A'!F545-'Preventative costs B'!F545</f>
        <v>0</v>
      </c>
      <c r="G545" s="35">
        <f>'Preventative costs A'!G545-'Preventative costs B'!G545</f>
        <v>0</v>
      </c>
      <c r="H545" s="35">
        <f>'Preventative costs A'!H545-'Preventative costs B'!H545</f>
        <v>0</v>
      </c>
      <c r="I545" s="35">
        <f>'Preventative costs A'!I545-'Preventative costs B'!I545</f>
        <v>0</v>
      </c>
      <c r="J545" s="35">
        <f>'Preventative costs A'!J545-'Preventative costs B'!J545</f>
        <v>0</v>
      </c>
      <c r="K545" s="35">
        <f>'Preventative costs A'!K545-'Preventative costs B'!K545</f>
        <v>0</v>
      </c>
      <c r="M545" s="43" t="str">
        <f t="shared" si="37"/>
        <v>$million</v>
      </c>
    </row>
    <row r="546" spans="1:13" s="6" customFormat="1" x14ac:dyDescent="0.25">
      <c r="A546" s="4" t="str">
        <v>CA CH4</v>
      </c>
      <c r="B546" s="35">
        <f>'Preventative costs A'!B546-'Preventative costs B'!B546</f>
        <v>0</v>
      </c>
      <c r="C546" s="35">
        <f>'Preventative costs A'!C546-'Preventative costs B'!C546</f>
        <v>0</v>
      </c>
      <c r="D546" s="35">
        <f>'Preventative costs A'!D546-'Preventative costs B'!D546</f>
        <v>0</v>
      </c>
      <c r="E546" s="35">
        <f>'Preventative costs A'!E546-'Preventative costs B'!E546</f>
        <v>0</v>
      </c>
      <c r="F546" s="35">
        <f>'Preventative costs A'!F546-'Preventative costs B'!F546</f>
        <v>0</v>
      </c>
      <c r="G546" s="35">
        <f>'Preventative costs A'!G546-'Preventative costs B'!G546</f>
        <v>0</v>
      </c>
      <c r="H546" s="35">
        <f>'Preventative costs A'!H546-'Preventative costs B'!H546</f>
        <v>0</v>
      </c>
      <c r="I546" s="35">
        <f>'Preventative costs A'!I546-'Preventative costs B'!I546</f>
        <v>0</v>
      </c>
      <c r="J546" s="35">
        <f>'Preventative costs A'!J546-'Preventative costs B'!J546</f>
        <v>0</v>
      </c>
      <c r="K546" s="35">
        <f>'Preventative costs A'!K546-'Preventative costs B'!K546</f>
        <v>0</v>
      </c>
      <c r="M546" s="43" t="str">
        <f t="shared" si="37"/>
        <v>$million</v>
      </c>
    </row>
    <row r="547" spans="1:13" s="6" customFormat="1" x14ac:dyDescent="0.25">
      <c r="A547" s="4" t="str">
        <v>IA CH4</v>
      </c>
      <c r="B547" s="35">
        <f>'Preventative costs A'!B547-'Preventative costs B'!B547</f>
        <v>0</v>
      </c>
      <c r="C547" s="35">
        <f>'Preventative costs A'!C547-'Preventative costs B'!C547</f>
        <v>0</v>
      </c>
      <c r="D547" s="35">
        <f>'Preventative costs A'!D547-'Preventative costs B'!D547</f>
        <v>0</v>
      </c>
      <c r="E547" s="35">
        <f>'Preventative costs A'!E547-'Preventative costs B'!E547</f>
        <v>0</v>
      </c>
      <c r="F547" s="35">
        <f>'Preventative costs A'!F547-'Preventative costs B'!F547</f>
        <v>0</v>
      </c>
      <c r="G547" s="35">
        <f>'Preventative costs A'!G547-'Preventative costs B'!G547</f>
        <v>0</v>
      </c>
      <c r="H547" s="35">
        <f>'Preventative costs A'!H547-'Preventative costs B'!H547</f>
        <v>0</v>
      </c>
      <c r="I547" s="35">
        <f>'Preventative costs A'!I547-'Preventative costs B'!I547</f>
        <v>0</v>
      </c>
      <c r="J547" s="35">
        <f>'Preventative costs A'!J547-'Preventative costs B'!J547</f>
        <v>0</v>
      </c>
      <c r="K547" s="35">
        <f>'Preventative costs A'!K547-'Preventative costs B'!K547</f>
        <v>0</v>
      </c>
      <c r="M547" s="43" t="str">
        <f t="shared" si="37"/>
        <v>$million</v>
      </c>
    </row>
    <row r="548" spans="1:13" s="6" customFormat="1" x14ac:dyDescent="0.25">
      <c r="A548" s="4" t="str">
        <v>AF CH4</v>
      </c>
      <c r="B548" s="35">
        <f>'Preventative costs A'!B548-'Preventative costs B'!B548</f>
        <v>0</v>
      </c>
      <c r="C548" s="35">
        <f>'Preventative costs A'!C548-'Preventative costs B'!C548</f>
        <v>0</v>
      </c>
      <c r="D548" s="35">
        <f>'Preventative costs A'!D548-'Preventative costs B'!D548</f>
        <v>0</v>
      </c>
      <c r="E548" s="35">
        <f>'Preventative costs A'!E548-'Preventative costs B'!E548</f>
        <v>0</v>
      </c>
      <c r="F548" s="35">
        <f>'Preventative costs A'!F548-'Preventative costs B'!F548</f>
        <v>0</v>
      </c>
      <c r="G548" s="35">
        <f>'Preventative costs A'!G548-'Preventative costs B'!G548</f>
        <v>0</v>
      </c>
      <c r="H548" s="35">
        <f>'Preventative costs A'!H548-'Preventative costs B'!H548</f>
        <v>0</v>
      </c>
      <c r="I548" s="35">
        <f>'Preventative costs A'!I548-'Preventative costs B'!I548</f>
        <v>0</v>
      </c>
      <c r="J548" s="35">
        <f>'Preventative costs A'!J548-'Preventative costs B'!J548</f>
        <v>0</v>
      </c>
      <c r="K548" s="35">
        <f>'Preventative costs A'!K548-'Preventative costs B'!K548</f>
        <v>0</v>
      </c>
      <c r="M548" s="43" t="str">
        <f t="shared" si="37"/>
        <v>$million</v>
      </c>
    </row>
    <row r="549" spans="1:13" s="6" customFormat="1" ht="13" thickBot="1" x14ac:dyDescent="0.3">
      <c r="A549" s="4" t="str">
        <v>LA CH4</v>
      </c>
      <c r="B549" s="49">
        <f>'Preventative costs A'!B549-'Preventative costs B'!B549</f>
        <v>0</v>
      </c>
      <c r="C549" s="49">
        <f>'Preventative costs A'!C549-'Preventative costs B'!C549</f>
        <v>0</v>
      </c>
      <c r="D549" s="49">
        <f>'Preventative costs A'!D549-'Preventative costs B'!D549</f>
        <v>0</v>
      </c>
      <c r="E549" s="49">
        <f>'Preventative costs A'!E549-'Preventative costs B'!E549</f>
        <v>0</v>
      </c>
      <c r="F549" s="49">
        <f>'Preventative costs A'!F549-'Preventative costs B'!F549</f>
        <v>0</v>
      </c>
      <c r="G549" s="49">
        <f>'Preventative costs A'!G549-'Preventative costs B'!G549</f>
        <v>0</v>
      </c>
      <c r="H549" s="49">
        <f>'Preventative costs A'!H549-'Preventative costs B'!H549</f>
        <v>0</v>
      </c>
      <c r="I549" s="49">
        <f>'Preventative costs A'!I549-'Preventative costs B'!I549</f>
        <v>0</v>
      </c>
      <c r="J549" s="49">
        <f>'Preventative costs A'!J549-'Preventative costs B'!J549</f>
        <v>0</v>
      </c>
      <c r="K549" s="49">
        <f>'Preventative costs A'!K549-'Preventative costs B'!K549</f>
        <v>0</v>
      </c>
      <c r="M549" s="43" t="str">
        <f t="shared" si="37"/>
        <v>$million</v>
      </c>
    </row>
    <row r="550" spans="1:13" s="2" customFormat="1" ht="15.5" thickTop="1" x14ac:dyDescent="0.4">
      <c r="A550" s="2" t="s">
        <v>406</v>
      </c>
      <c r="B550" s="2" t="s">
        <v>409</v>
      </c>
    </row>
    <row r="551" spans="1:13" s="7" customFormat="1" x14ac:dyDescent="0.25">
      <c r="A551" s="4" t="str">
        <f t="array" ref="A551:A558">R_CODE&amp;" "&amp;'Base data'!$D$11</f>
        <v>EU N2O</v>
      </c>
      <c r="B551" s="39">
        <f>'Preventative costs A'!B551-'Preventative costs B'!B551</f>
        <v>0</v>
      </c>
      <c r="C551" s="39">
        <f>'Preventative costs A'!C551-'Preventative costs B'!C551</f>
        <v>0</v>
      </c>
      <c r="D551" s="39">
        <f>'Preventative costs A'!D551-'Preventative costs B'!D551</f>
        <v>0</v>
      </c>
      <c r="E551" s="39">
        <f>'Preventative costs A'!E551-'Preventative costs B'!E551</f>
        <v>0</v>
      </c>
      <c r="F551" s="39">
        <f>'Preventative costs A'!F551-'Preventative costs B'!F551</f>
        <v>0</v>
      </c>
      <c r="G551" s="39">
        <f>'Preventative costs A'!G551-'Preventative costs B'!G551</f>
        <v>0</v>
      </c>
      <c r="H551" s="39">
        <f>'Preventative costs A'!H551-'Preventative costs B'!H551</f>
        <v>0</v>
      </c>
      <c r="I551" s="39">
        <f>'Preventative costs A'!I551-'Preventative costs B'!I551</f>
        <v>0</v>
      </c>
      <c r="J551" s="39">
        <f>'Preventative costs A'!J551-'Preventative costs B'!J551</f>
        <v>0</v>
      </c>
      <c r="K551" s="39">
        <f>'Preventative costs A'!K551-'Preventative costs B'!K551</f>
        <v>0</v>
      </c>
      <c r="M551" s="43" t="str">
        <f t="shared" ref="M551:M558" si="38">CURRENCY_NAME</f>
        <v>$million</v>
      </c>
    </row>
    <row r="552" spans="1:13" s="7" customFormat="1" x14ac:dyDescent="0.25">
      <c r="A552" s="4" t="str">
        <v>US N2O</v>
      </c>
      <c r="B552" s="35">
        <f>'Preventative costs A'!B552-'Preventative costs B'!B552</f>
        <v>0</v>
      </c>
      <c r="C552" s="35">
        <f>'Preventative costs A'!C552-'Preventative costs B'!C552</f>
        <v>0</v>
      </c>
      <c r="D552" s="35">
        <f>'Preventative costs A'!D552-'Preventative costs B'!D552</f>
        <v>0</v>
      </c>
      <c r="E552" s="35">
        <f>'Preventative costs A'!E552-'Preventative costs B'!E552</f>
        <v>0</v>
      </c>
      <c r="F552" s="35">
        <f>'Preventative costs A'!F552-'Preventative costs B'!F552</f>
        <v>0</v>
      </c>
      <c r="G552" s="35">
        <f>'Preventative costs A'!G552-'Preventative costs B'!G552</f>
        <v>0</v>
      </c>
      <c r="H552" s="35">
        <f>'Preventative costs A'!H552-'Preventative costs B'!H552</f>
        <v>0</v>
      </c>
      <c r="I552" s="35">
        <f>'Preventative costs A'!I552-'Preventative costs B'!I552</f>
        <v>0</v>
      </c>
      <c r="J552" s="35">
        <f>'Preventative costs A'!J552-'Preventative costs B'!J552</f>
        <v>0</v>
      </c>
      <c r="K552" s="35">
        <f>'Preventative costs A'!K552-'Preventative costs B'!K552</f>
        <v>0</v>
      </c>
      <c r="M552" s="43" t="str">
        <f t="shared" si="38"/>
        <v>$million</v>
      </c>
    </row>
    <row r="553" spans="1:13" s="7" customFormat="1" x14ac:dyDescent="0.25">
      <c r="A553" s="4" t="str">
        <v>OT N2O</v>
      </c>
      <c r="B553" s="35">
        <f>'Preventative costs A'!B553-'Preventative costs B'!B553</f>
        <v>0</v>
      </c>
      <c r="C553" s="35">
        <f>'Preventative costs A'!C553-'Preventative costs B'!C553</f>
        <v>0</v>
      </c>
      <c r="D553" s="35">
        <f>'Preventative costs A'!D553-'Preventative costs B'!D553</f>
        <v>0</v>
      </c>
      <c r="E553" s="35">
        <f>'Preventative costs A'!E553-'Preventative costs B'!E553</f>
        <v>0</v>
      </c>
      <c r="F553" s="35">
        <f>'Preventative costs A'!F553-'Preventative costs B'!F553</f>
        <v>0</v>
      </c>
      <c r="G553" s="35">
        <f>'Preventative costs A'!G553-'Preventative costs B'!G553</f>
        <v>0</v>
      </c>
      <c r="H553" s="35">
        <f>'Preventative costs A'!H553-'Preventative costs B'!H553</f>
        <v>0</v>
      </c>
      <c r="I553" s="35">
        <f>'Preventative costs A'!I553-'Preventative costs B'!I553</f>
        <v>0</v>
      </c>
      <c r="J553" s="35">
        <f>'Preventative costs A'!J553-'Preventative costs B'!J553</f>
        <v>0</v>
      </c>
      <c r="K553" s="35">
        <f>'Preventative costs A'!K553-'Preventative costs B'!K553</f>
        <v>0</v>
      </c>
      <c r="M553" s="43" t="str">
        <f t="shared" si="38"/>
        <v>$million</v>
      </c>
    </row>
    <row r="554" spans="1:13" s="7" customFormat="1" x14ac:dyDescent="0.25">
      <c r="A554" s="4" t="str">
        <v>EE N2O</v>
      </c>
      <c r="B554" s="35">
        <f>'Preventative costs A'!B554-'Preventative costs B'!B554</f>
        <v>0</v>
      </c>
      <c r="C554" s="35">
        <f>'Preventative costs A'!C554-'Preventative costs B'!C554</f>
        <v>0</v>
      </c>
      <c r="D554" s="35">
        <f>'Preventative costs A'!D554-'Preventative costs B'!D554</f>
        <v>0</v>
      </c>
      <c r="E554" s="35">
        <f>'Preventative costs A'!E554-'Preventative costs B'!E554</f>
        <v>0</v>
      </c>
      <c r="F554" s="35">
        <f>'Preventative costs A'!F554-'Preventative costs B'!F554</f>
        <v>0</v>
      </c>
      <c r="G554" s="35">
        <f>'Preventative costs A'!G554-'Preventative costs B'!G554</f>
        <v>0</v>
      </c>
      <c r="H554" s="35">
        <f>'Preventative costs A'!H554-'Preventative costs B'!H554</f>
        <v>0</v>
      </c>
      <c r="I554" s="35">
        <f>'Preventative costs A'!I554-'Preventative costs B'!I554</f>
        <v>0</v>
      </c>
      <c r="J554" s="35">
        <f>'Preventative costs A'!J554-'Preventative costs B'!J554</f>
        <v>0</v>
      </c>
      <c r="K554" s="35">
        <f>'Preventative costs A'!K554-'Preventative costs B'!K554</f>
        <v>0</v>
      </c>
      <c r="M554" s="43" t="str">
        <f t="shared" si="38"/>
        <v>$million</v>
      </c>
    </row>
    <row r="555" spans="1:13" s="7" customFormat="1" x14ac:dyDescent="0.25">
      <c r="A555" s="4" t="str">
        <v>CA N2O</v>
      </c>
      <c r="B555" s="35">
        <f>'Preventative costs A'!B555-'Preventative costs B'!B555</f>
        <v>0</v>
      </c>
      <c r="C555" s="35">
        <f>'Preventative costs A'!C555-'Preventative costs B'!C555</f>
        <v>0</v>
      </c>
      <c r="D555" s="35">
        <f>'Preventative costs A'!D555-'Preventative costs B'!D555</f>
        <v>0</v>
      </c>
      <c r="E555" s="35">
        <f>'Preventative costs A'!E555-'Preventative costs B'!E555</f>
        <v>0</v>
      </c>
      <c r="F555" s="35">
        <f>'Preventative costs A'!F555-'Preventative costs B'!F555</f>
        <v>0</v>
      </c>
      <c r="G555" s="35">
        <f>'Preventative costs A'!G555-'Preventative costs B'!G555</f>
        <v>0</v>
      </c>
      <c r="H555" s="35">
        <f>'Preventative costs A'!H555-'Preventative costs B'!H555</f>
        <v>0</v>
      </c>
      <c r="I555" s="35">
        <f>'Preventative costs A'!I555-'Preventative costs B'!I555</f>
        <v>0</v>
      </c>
      <c r="J555" s="35">
        <f>'Preventative costs A'!J555-'Preventative costs B'!J555</f>
        <v>0</v>
      </c>
      <c r="K555" s="35">
        <f>'Preventative costs A'!K555-'Preventative costs B'!K555</f>
        <v>0</v>
      </c>
      <c r="M555" s="43" t="str">
        <f t="shared" si="38"/>
        <v>$million</v>
      </c>
    </row>
    <row r="556" spans="1:13" s="7" customFormat="1" x14ac:dyDescent="0.25">
      <c r="A556" s="4" t="str">
        <v>IA N2O</v>
      </c>
      <c r="B556" s="35">
        <f>'Preventative costs A'!B556-'Preventative costs B'!B556</f>
        <v>0</v>
      </c>
      <c r="C556" s="35">
        <f>'Preventative costs A'!C556-'Preventative costs B'!C556</f>
        <v>0</v>
      </c>
      <c r="D556" s="35">
        <f>'Preventative costs A'!D556-'Preventative costs B'!D556</f>
        <v>0</v>
      </c>
      <c r="E556" s="35">
        <f>'Preventative costs A'!E556-'Preventative costs B'!E556</f>
        <v>0</v>
      </c>
      <c r="F556" s="35">
        <f>'Preventative costs A'!F556-'Preventative costs B'!F556</f>
        <v>0</v>
      </c>
      <c r="G556" s="35">
        <f>'Preventative costs A'!G556-'Preventative costs B'!G556</f>
        <v>0</v>
      </c>
      <c r="H556" s="35">
        <f>'Preventative costs A'!H556-'Preventative costs B'!H556</f>
        <v>0</v>
      </c>
      <c r="I556" s="35">
        <f>'Preventative costs A'!I556-'Preventative costs B'!I556</f>
        <v>0</v>
      </c>
      <c r="J556" s="35">
        <f>'Preventative costs A'!J556-'Preventative costs B'!J556</f>
        <v>0</v>
      </c>
      <c r="K556" s="35">
        <f>'Preventative costs A'!K556-'Preventative costs B'!K556</f>
        <v>0</v>
      </c>
      <c r="M556" s="43" t="str">
        <f t="shared" si="38"/>
        <v>$million</v>
      </c>
    </row>
    <row r="557" spans="1:13" s="7" customFormat="1" x14ac:dyDescent="0.25">
      <c r="A557" s="4" t="str">
        <v>AF N2O</v>
      </c>
      <c r="B557" s="35">
        <f>'Preventative costs A'!B557-'Preventative costs B'!B557</f>
        <v>0</v>
      </c>
      <c r="C557" s="35">
        <f>'Preventative costs A'!C557-'Preventative costs B'!C557</f>
        <v>0</v>
      </c>
      <c r="D557" s="35">
        <f>'Preventative costs A'!D557-'Preventative costs B'!D557</f>
        <v>0</v>
      </c>
      <c r="E557" s="35">
        <f>'Preventative costs A'!E557-'Preventative costs B'!E557</f>
        <v>0</v>
      </c>
      <c r="F557" s="35">
        <f>'Preventative costs A'!F557-'Preventative costs B'!F557</f>
        <v>0</v>
      </c>
      <c r="G557" s="35">
        <f>'Preventative costs A'!G557-'Preventative costs B'!G557</f>
        <v>0</v>
      </c>
      <c r="H557" s="35">
        <f>'Preventative costs A'!H557-'Preventative costs B'!H557</f>
        <v>0</v>
      </c>
      <c r="I557" s="35">
        <f>'Preventative costs A'!I557-'Preventative costs B'!I557</f>
        <v>0</v>
      </c>
      <c r="J557" s="35">
        <f>'Preventative costs A'!J557-'Preventative costs B'!J557</f>
        <v>0</v>
      </c>
      <c r="K557" s="35">
        <f>'Preventative costs A'!K557-'Preventative costs B'!K557</f>
        <v>0</v>
      </c>
      <c r="M557" s="43" t="str">
        <f t="shared" si="38"/>
        <v>$million</v>
      </c>
    </row>
    <row r="558" spans="1:13" s="7" customFormat="1" ht="13" thickBot="1" x14ac:dyDescent="0.3">
      <c r="A558" s="4" t="str">
        <v>LA N2O</v>
      </c>
      <c r="B558" s="49">
        <f>'Preventative costs A'!B558-'Preventative costs B'!B558</f>
        <v>0</v>
      </c>
      <c r="C558" s="49">
        <f>'Preventative costs A'!C558-'Preventative costs B'!C558</f>
        <v>0</v>
      </c>
      <c r="D558" s="49">
        <f>'Preventative costs A'!D558-'Preventative costs B'!D558</f>
        <v>0</v>
      </c>
      <c r="E558" s="49">
        <f>'Preventative costs A'!E558-'Preventative costs B'!E558</f>
        <v>0</v>
      </c>
      <c r="F558" s="49">
        <f>'Preventative costs A'!F558-'Preventative costs B'!F558</f>
        <v>0</v>
      </c>
      <c r="G558" s="49">
        <f>'Preventative costs A'!G558-'Preventative costs B'!G558</f>
        <v>0</v>
      </c>
      <c r="H558" s="49">
        <f>'Preventative costs A'!H558-'Preventative costs B'!H558</f>
        <v>0</v>
      </c>
      <c r="I558" s="49">
        <f>'Preventative costs A'!I558-'Preventative costs B'!I558</f>
        <v>0</v>
      </c>
      <c r="J558" s="49">
        <f>'Preventative costs A'!J558-'Preventative costs B'!J558</f>
        <v>0</v>
      </c>
      <c r="K558" s="49">
        <f>'Preventative costs A'!K558-'Preventative costs B'!K558</f>
        <v>0</v>
      </c>
      <c r="M558" s="43" t="str">
        <f t="shared" si="38"/>
        <v>$million</v>
      </c>
    </row>
    <row r="559" spans="1:13" s="2" customFormat="1" ht="15.5" thickTop="1" x14ac:dyDescent="0.4">
      <c r="A559" s="2" t="s">
        <v>406</v>
      </c>
      <c r="B559" s="2" t="s">
        <v>410</v>
      </c>
    </row>
    <row r="560" spans="1:13" s="7" customFormat="1" x14ac:dyDescent="0.25">
      <c r="A560" s="4" t="str">
        <f t="array" ref="A560:A567">R_CODE&amp;" "&amp;GLIN_NAME</f>
        <v>EU Lin</v>
      </c>
      <c r="B560" s="39">
        <f>'Preventative costs A'!B560-'Preventative costs B'!B560</f>
        <v>0</v>
      </c>
      <c r="C560" s="39">
        <f>'Preventative costs A'!C560-'Preventative costs B'!C560</f>
        <v>0</v>
      </c>
      <c r="D560" s="39">
        <f>'Preventative costs A'!D560-'Preventative costs B'!D560</f>
        <v>0</v>
      </c>
      <c r="E560" s="39">
        <f>'Preventative costs A'!E560-'Preventative costs B'!E560</f>
        <v>0</v>
      </c>
      <c r="F560" s="39">
        <f>'Preventative costs A'!F560-'Preventative costs B'!F560</f>
        <v>0</v>
      </c>
      <c r="G560" s="39">
        <f>'Preventative costs A'!G560-'Preventative costs B'!G560</f>
        <v>0</v>
      </c>
      <c r="H560" s="39">
        <f>'Preventative costs A'!H560-'Preventative costs B'!H560</f>
        <v>0</v>
      </c>
      <c r="I560" s="39">
        <f>'Preventative costs A'!I560-'Preventative costs B'!I560</f>
        <v>0</v>
      </c>
      <c r="J560" s="39">
        <f>'Preventative costs A'!J560-'Preventative costs B'!J560</f>
        <v>0</v>
      </c>
      <c r="K560" s="39">
        <f>'Preventative costs A'!K560-'Preventative costs B'!K560</f>
        <v>0</v>
      </c>
      <c r="M560" s="43" t="str">
        <f t="shared" ref="M560:M567" si="39">CURRENCY_NAME</f>
        <v>$million</v>
      </c>
    </row>
    <row r="561" spans="1:13" s="7" customFormat="1" x14ac:dyDescent="0.25">
      <c r="A561" s="4" t="str">
        <v>US Lin</v>
      </c>
      <c r="B561" s="35">
        <f>'Preventative costs A'!B561-'Preventative costs B'!B561</f>
        <v>0</v>
      </c>
      <c r="C561" s="35">
        <f>'Preventative costs A'!C561-'Preventative costs B'!C561</f>
        <v>0</v>
      </c>
      <c r="D561" s="35">
        <f>'Preventative costs A'!D561-'Preventative costs B'!D561</f>
        <v>0</v>
      </c>
      <c r="E561" s="35">
        <f>'Preventative costs A'!E561-'Preventative costs B'!E561</f>
        <v>0</v>
      </c>
      <c r="F561" s="35">
        <f>'Preventative costs A'!F561-'Preventative costs B'!F561</f>
        <v>0</v>
      </c>
      <c r="G561" s="35">
        <f>'Preventative costs A'!G561-'Preventative costs B'!G561</f>
        <v>0</v>
      </c>
      <c r="H561" s="35">
        <f>'Preventative costs A'!H561-'Preventative costs B'!H561</f>
        <v>0</v>
      </c>
      <c r="I561" s="35">
        <f>'Preventative costs A'!I561-'Preventative costs B'!I561</f>
        <v>0</v>
      </c>
      <c r="J561" s="35">
        <f>'Preventative costs A'!J561-'Preventative costs B'!J561</f>
        <v>0</v>
      </c>
      <c r="K561" s="35">
        <f>'Preventative costs A'!K561-'Preventative costs B'!K561</f>
        <v>0</v>
      </c>
      <c r="M561" s="43" t="str">
        <f t="shared" si="39"/>
        <v>$million</v>
      </c>
    </row>
    <row r="562" spans="1:13" s="7" customFormat="1" x14ac:dyDescent="0.25">
      <c r="A562" s="4" t="str">
        <v>OT Lin</v>
      </c>
      <c r="B562" s="35">
        <f>'Preventative costs A'!B562-'Preventative costs B'!B562</f>
        <v>0</v>
      </c>
      <c r="C562" s="35">
        <f>'Preventative costs A'!C562-'Preventative costs B'!C562</f>
        <v>0</v>
      </c>
      <c r="D562" s="35">
        <f>'Preventative costs A'!D562-'Preventative costs B'!D562</f>
        <v>0</v>
      </c>
      <c r="E562" s="35">
        <f>'Preventative costs A'!E562-'Preventative costs B'!E562</f>
        <v>0</v>
      </c>
      <c r="F562" s="35">
        <f>'Preventative costs A'!F562-'Preventative costs B'!F562</f>
        <v>0</v>
      </c>
      <c r="G562" s="35">
        <f>'Preventative costs A'!G562-'Preventative costs B'!G562</f>
        <v>0</v>
      </c>
      <c r="H562" s="35">
        <f>'Preventative costs A'!H562-'Preventative costs B'!H562</f>
        <v>0</v>
      </c>
      <c r="I562" s="35">
        <f>'Preventative costs A'!I562-'Preventative costs B'!I562</f>
        <v>0</v>
      </c>
      <c r="J562" s="35">
        <f>'Preventative costs A'!J562-'Preventative costs B'!J562</f>
        <v>0</v>
      </c>
      <c r="K562" s="35">
        <f>'Preventative costs A'!K562-'Preventative costs B'!K562</f>
        <v>0</v>
      </c>
      <c r="M562" s="43" t="str">
        <f t="shared" si="39"/>
        <v>$million</v>
      </c>
    </row>
    <row r="563" spans="1:13" s="7" customFormat="1" x14ac:dyDescent="0.25">
      <c r="A563" s="4" t="str">
        <v>EE Lin</v>
      </c>
      <c r="B563" s="35">
        <f>'Preventative costs A'!B563-'Preventative costs B'!B563</f>
        <v>0</v>
      </c>
      <c r="C563" s="35">
        <f>'Preventative costs A'!C563-'Preventative costs B'!C563</f>
        <v>0</v>
      </c>
      <c r="D563" s="35">
        <f>'Preventative costs A'!D563-'Preventative costs B'!D563</f>
        <v>0</v>
      </c>
      <c r="E563" s="35">
        <f>'Preventative costs A'!E563-'Preventative costs B'!E563</f>
        <v>0</v>
      </c>
      <c r="F563" s="35">
        <f>'Preventative costs A'!F563-'Preventative costs B'!F563</f>
        <v>0</v>
      </c>
      <c r="G563" s="35">
        <f>'Preventative costs A'!G563-'Preventative costs B'!G563</f>
        <v>0</v>
      </c>
      <c r="H563" s="35">
        <f>'Preventative costs A'!H563-'Preventative costs B'!H563</f>
        <v>0</v>
      </c>
      <c r="I563" s="35">
        <f>'Preventative costs A'!I563-'Preventative costs B'!I563</f>
        <v>0</v>
      </c>
      <c r="J563" s="35">
        <f>'Preventative costs A'!J563-'Preventative costs B'!J563</f>
        <v>0</v>
      </c>
      <c r="K563" s="35">
        <f>'Preventative costs A'!K563-'Preventative costs B'!K563</f>
        <v>0</v>
      </c>
      <c r="M563" s="43" t="str">
        <f t="shared" si="39"/>
        <v>$million</v>
      </c>
    </row>
    <row r="564" spans="1:13" s="7" customFormat="1" x14ac:dyDescent="0.25">
      <c r="A564" s="4" t="str">
        <v>CA Lin</v>
      </c>
      <c r="B564" s="35">
        <f>'Preventative costs A'!B564-'Preventative costs B'!B564</f>
        <v>0</v>
      </c>
      <c r="C564" s="35">
        <f>'Preventative costs A'!C564-'Preventative costs B'!C564</f>
        <v>0</v>
      </c>
      <c r="D564" s="35">
        <f>'Preventative costs A'!D564-'Preventative costs B'!D564</f>
        <v>0</v>
      </c>
      <c r="E564" s="35">
        <f>'Preventative costs A'!E564-'Preventative costs B'!E564</f>
        <v>0</v>
      </c>
      <c r="F564" s="35">
        <f>'Preventative costs A'!F564-'Preventative costs B'!F564</f>
        <v>0</v>
      </c>
      <c r="G564" s="35">
        <f>'Preventative costs A'!G564-'Preventative costs B'!G564</f>
        <v>0</v>
      </c>
      <c r="H564" s="35">
        <f>'Preventative costs A'!H564-'Preventative costs B'!H564</f>
        <v>0</v>
      </c>
      <c r="I564" s="35">
        <f>'Preventative costs A'!I564-'Preventative costs B'!I564</f>
        <v>0</v>
      </c>
      <c r="J564" s="35">
        <f>'Preventative costs A'!J564-'Preventative costs B'!J564</f>
        <v>0</v>
      </c>
      <c r="K564" s="35">
        <f>'Preventative costs A'!K564-'Preventative costs B'!K564</f>
        <v>0</v>
      </c>
      <c r="M564" s="43" t="str">
        <f t="shared" si="39"/>
        <v>$million</v>
      </c>
    </row>
    <row r="565" spans="1:13" s="7" customFormat="1" x14ac:dyDescent="0.25">
      <c r="A565" s="4" t="str">
        <v>IA Lin</v>
      </c>
      <c r="B565" s="35">
        <f>'Preventative costs A'!B565-'Preventative costs B'!B565</f>
        <v>0</v>
      </c>
      <c r="C565" s="35">
        <f>'Preventative costs A'!C565-'Preventative costs B'!C565</f>
        <v>0</v>
      </c>
      <c r="D565" s="35">
        <f>'Preventative costs A'!D565-'Preventative costs B'!D565</f>
        <v>0</v>
      </c>
      <c r="E565" s="35">
        <f>'Preventative costs A'!E565-'Preventative costs B'!E565</f>
        <v>0</v>
      </c>
      <c r="F565" s="35">
        <f>'Preventative costs A'!F565-'Preventative costs B'!F565</f>
        <v>0</v>
      </c>
      <c r="G565" s="35">
        <f>'Preventative costs A'!G565-'Preventative costs B'!G565</f>
        <v>0</v>
      </c>
      <c r="H565" s="35">
        <f>'Preventative costs A'!H565-'Preventative costs B'!H565</f>
        <v>0</v>
      </c>
      <c r="I565" s="35">
        <f>'Preventative costs A'!I565-'Preventative costs B'!I565</f>
        <v>0</v>
      </c>
      <c r="J565" s="35">
        <f>'Preventative costs A'!J565-'Preventative costs B'!J565</f>
        <v>0</v>
      </c>
      <c r="K565" s="35">
        <f>'Preventative costs A'!K565-'Preventative costs B'!K565</f>
        <v>0</v>
      </c>
      <c r="M565" s="43" t="str">
        <f t="shared" si="39"/>
        <v>$million</v>
      </c>
    </row>
    <row r="566" spans="1:13" s="7" customFormat="1" x14ac:dyDescent="0.25">
      <c r="A566" s="4" t="str">
        <v>AF Lin</v>
      </c>
      <c r="B566" s="35">
        <f>'Preventative costs A'!B566-'Preventative costs B'!B566</f>
        <v>0</v>
      </c>
      <c r="C566" s="35">
        <f>'Preventative costs A'!C566-'Preventative costs B'!C566</f>
        <v>0</v>
      </c>
      <c r="D566" s="35">
        <f>'Preventative costs A'!D566-'Preventative costs B'!D566</f>
        <v>0</v>
      </c>
      <c r="E566" s="35">
        <f>'Preventative costs A'!E566-'Preventative costs B'!E566</f>
        <v>0</v>
      </c>
      <c r="F566" s="35">
        <f>'Preventative costs A'!F566-'Preventative costs B'!F566</f>
        <v>0</v>
      </c>
      <c r="G566" s="35">
        <f>'Preventative costs A'!G566-'Preventative costs B'!G566</f>
        <v>0</v>
      </c>
      <c r="H566" s="35">
        <f>'Preventative costs A'!H566-'Preventative costs B'!H566</f>
        <v>0</v>
      </c>
      <c r="I566" s="35">
        <f>'Preventative costs A'!I566-'Preventative costs B'!I566</f>
        <v>0</v>
      </c>
      <c r="J566" s="35">
        <f>'Preventative costs A'!J566-'Preventative costs B'!J566</f>
        <v>0</v>
      </c>
      <c r="K566" s="35">
        <f>'Preventative costs A'!K566-'Preventative costs B'!K566</f>
        <v>0</v>
      </c>
      <c r="M566" s="43" t="str">
        <f t="shared" si="39"/>
        <v>$million</v>
      </c>
    </row>
    <row r="567" spans="1:13" s="7" customFormat="1" ht="13" thickBot="1" x14ac:dyDescent="0.3">
      <c r="A567" s="4" t="str">
        <v>LA Lin</v>
      </c>
      <c r="B567" s="49">
        <f>'Preventative costs A'!B567-'Preventative costs B'!B567</f>
        <v>0</v>
      </c>
      <c r="C567" s="49">
        <f>'Preventative costs A'!C567-'Preventative costs B'!C567</f>
        <v>0</v>
      </c>
      <c r="D567" s="49">
        <f>'Preventative costs A'!D567-'Preventative costs B'!D567</f>
        <v>0</v>
      </c>
      <c r="E567" s="49">
        <f>'Preventative costs A'!E567-'Preventative costs B'!E567</f>
        <v>0</v>
      </c>
      <c r="F567" s="49">
        <f>'Preventative costs A'!F567-'Preventative costs B'!F567</f>
        <v>0</v>
      </c>
      <c r="G567" s="49">
        <f>'Preventative costs A'!G567-'Preventative costs B'!G567</f>
        <v>0</v>
      </c>
      <c r="H567" s="49">
        <f>'Preventative costs A'!H567-'Preventative costs B'!H567</f>
        <v>0</v>
      </c>
      <c r="I567" s="49">
        <f>'Preventative costs A'!I567-'Preventative costs B'!I567</f>
        <v>0</v>
      </c>
      <c r="J567" s="49">
        <f>'Preventative costs A'!J567-'Preventative costs B'!J567</f>
        <v>0</v>
      </c>
      <c r="K567" s="49">
        <f>'Preventative costs A'!K567-'Preventative costs B'!K567</f>
        <v>0</v>
      </c>
      <c r="M567" s="43" t="str">
        <f t="shared" si="39"/>
        <v>$million</v>
      </c>
    </row>
    <row r="568" spans="1:13" s="2" customFormat="1" ht="15.5" thickTop="1" x14ac:dyDescent="0.4">
      <c r="A568" s="2" t="s">
        <v>411</v>
      </c>
      <c r="B568" s="2" t="s">
        <v>412</v>
      </c>
    </row>
    <row r="569" spans="1:13" s="6" customFormat="1" x14ac:dyDescent="0.25">
      <c r="A569" s="4" t="str">
        <f t="array" ref="A569:A576">R_CODE&amp;" "&amp;'Base data'!$B$11</f>
        <v>EU CO2</v>
      </c>
      <c r="B569" s="39">
        <f>'Preventative costs A'!B569-'Preventative costs B'!B569</f>
        <v>0</v>
      </c>
      <c r="C569" s="39">
        <f>'Preventative costs A'!C569-'Preventative costs B'!C569</f>
        <v>0</v>
      </c>
      <c r="D569" s="39">
        <f>'Preventative costs A'!D569-'Preventative costs B'!D569</f>
        <v>0</v>
      </c>
      <c r="E569" s="39">
        <f>'Preventative costs A'!E569-'Preventative costs B'!E569</f>
        <v>0</v>
      </c>
      <c r="F569" s="39">
        <f>'Preventative costs A'!F569-'Preventative costs B'!F569</f>
        <v>0</v>
      </c>
      <c r="G569" s="39">
        <f>'Preventative costs A'!G569-'Preventative costs B'!G569</f>
        <v>0</v>
      </c>
      <c r="H569" s="39">
        <f>'Preventative costs A'!H569-'Preventative costs B'!H569</f>
        <v>0</v>
      </c>
      <c r="I569" s="39">
        <f>'Preventative costs A'!I569-'Preventative costs B'!I569</f>
        <v>0</v>
      </c>
      <c r="J569" s="39">
        <f>'Preventative costs A'!J569-'Preventative costs B'!J569</f>
        <v>0</v>
      </c>
      <c r="K569" s="39">
        <f>'Preventative costs A'!K569-'Preventative costs B'!K569</f>
        <v>0</v>
      </c>
      <c r="M569" s="43" t="str">
        <f t="shared" ref="M569:M576" si="40">CURRENCY_NAME&amp;" per "&amp;EMIT_NAME</f>
        <v>$million per Mtonne</v>
      </c>
    </row>
    <row r="570" spans="1:13" s="6" customFormat="1" x14ac:dyDescent="0.25">
      <c r="A570" s="4" t="str">
        <v>US CO2</v>
      </c>
      <c r="B570" s="35">
        <f>'Preventative costs A'!B570-'Preventative costs B'!B570</f>
        <v>0</v>
      </c>
      <c r="C570" s="35">
        <f>'Preventative costs A'!C570-'Preventative costs B'!C570</f>
        <v>0</v>
      </c>
      <c r="D570" s="35">
        <f>'Preventative costs A'!D570-'Preventative costs B'!D570</f>
        <v>0</v>
      </c>
      <c r="E570" s="35">
        <f>'Preventative costs A'!E570-'Preventative costs B'!E570</f>
        <v>0</v>
      </c>
      <c r="F570" s="35">
        <f>'Preventative costs A'!F570-'Preventative costs B'!F570</f>
        <v>0</v>
      </c>
      <c r="G570" s="35">
        <f>'Preventative costs A'!G570-'Preventative costs B'!G570</f>
        <v>0</v>
      </c>
      <c r="H570" s="35">
        <f>'Preventative costs A'!H570-'Preventative costs B'!H570</f>
        <v>0</v>
      </c>
      <c r="I570" s="35">
        <f>'Preventative costs A'!I570-'Preventative costs B'!I570</f>
        <v>0</v>
      </c>
      <c r="J570" s="35">
        <f>'Preventative costs A'!J570-'Preventative costs B'!J570</f>
        <v>0</v>
      </c>
      <c r="K570" s="35">
        <f>'Preventative costs A'!K570-'Preventative costs B'!K570</f>
        <v>0</v>
      </c>
      <c r="M570" s="43" t="str">
        <f t="shared" si="40"/>
        <v>$million per Mtonne</v>
      </c>
    </row>
    <row r="571" spans="1:13" s="6" customFormat="1" x14ac:dyDescent="0.25">
      <c r="A571" s="4" t="str">
        <v>OT CO2</v>
      </c>
      <c r="B571" s="35">
        <f>'Preventative costs A'!B571-'Preventative costs B'!B571</f>
        <v>0</v>
      </c>
      <c r="C571" s="35">
        <f>'Preventative costs A'!C571-'Preventative costs B'!C571</f>
        <v>0</v>
      </c>
      <c r="D571" s="35">
        <f>'Preventative costs A'!D571-'Preventative costs B'!D571</f>
        <v>0</v>
      </c>
      <c r="E571" s="35">
        <f>'Preventative costs A'!E571-'Preventative costs B'!E571</f>
        <v>0</v>
      </c>
      <c r="F571" s="35">
        <f>'Preventative costs A'!F571-'Preventative costs B'!F571</f>
        <v>0</v>
      </c>
      <c r="G571" s="35">
        <f>'Preventative costs A'!G571-'Preventative costs B'!G571</f>
        <v>0</v>
      </c>
      <c r="H571" s="35">
        <f>'Preventative costs A'!H571-'Preventative costs B'!H571</f>
        <v>0</v>
      </c>
      <c r="I571" s="35">
        <f>'Preventative costs A'!I571-'Preventative costs B'!I571</f>
        <v>0</v>
      </c>
      <c r="J571" s="35">
        <f>'Preventative costs A'!J571-'Preventative costs B'!J571</f>
        <v>0</v>
      </c>
      <c r="K571" s="35">
        <f>'Preventative costs A'!K571-'Preventative costs B'!K571</f>
        <v>0</v>
      </c>
      <c r="M571" s="43" t="str">
        <f t="shared" si="40"/>
        <v>$million per Mtonne</v>
      </c>
    </row>
    <row r="572" spans="1:13" s="6" customFormat="1" x14ac:dyDescent="0.25">
      <c r="A572" s="4" t="str">
        <v>EE CO2</v>
      </c>
      <c r="B572" s="35">
        <f>'Preventative costs A'!B572-'Preventative costs B'!B572</f>
        <v>0</v>
      </c>
      <c r="C572" s="35">
        <f>'Preventative costs A'!C572-'Preventative costs B'!C572</f>
        <v>0</v>
      </c>
      <c r="D572" s="35">
        <f>'Preventative costs A'!D572-'Preventative costs B'!D572</f>
        <v>0</v>
      </c>
      <c r="E572" s="35">
        <f>'Preventative costs A'!E572-'Preventative costs B'!E572</f>
        <v>0</v>
      </c>
      <c r="F572" s="35">
        <f>'Preventative costs A'!F572-'Preventative costs B'!F572</f>
        <v>0</v>
      </c>
      <c r="G572" s="35">
        <f>'Preventative costs A'!G572-'Preventative costs B'!G572</f>
        <v>0</v>
      </c>
      <c r="H572" s="35">
        <f>'Preventative costs A'!H572-'Preventative costs B'!H572</f>
        <v>0</v>
      </c>
      <c r="I572" s="35">
        <f>'Preventative costs A'!I572-'Preventative costs B'!I572</f>
        <v>0</v>
      </c>
      <c r="J572" s="35">
        <f>'Preventative costs A'!J572-'Preventative costs B'!J572</f>
        <v>0</v>
      </c>
      <c r="K572" s="35">
        <f>'Preventative costs A'!K572-'Preventative costs B'!K572</f>
        <v>0</v>
      </c>
      <c r="M572" s="43" t="str">
        <f t="shared" si="40"/>
        <v>$million per Mtonne</v>
      </c>
    </row>
    <row r="573" spans="1:13" s="6" customFormat="1" x14ac:dyDescent="0.25">
      <c r="A573" s="4" t="str">
        <v>CA CO2</v>
      </c>
      <c r="B573" s="35">
        <f>'Preventative costs A'!B573-'Preventative costs B'!B573</f>
        <v>0</v>
      </c>
      <c r="C573" s="35">
        <f>'Preventative costs A'!C573-'Preventative costs B'!C573</f>
        <v>0</v>
      </c>
      <c r="D573" s="35">
        <f>'Preventative costs A'!D573-'Preventative costs B'!D573</f>
        <v>0</v>
      </c>
      <c r="E573" s="35">
        <f>'Preventative costs A'!E573-'Preventative costs B'!E573</f>
        <v>0</v>
      </c>
      <c r="F573" s="35">
        <f>'Preventative costs A'!F573-'Preventative costs B'!F573</f>
        <v>0</v>
      </c>
      <c r="G573" s="35">
        <f>'Preventative costs A'!G573-'Preventative costs B'!G573</f>
        <v>0</v>
      </c>
      <c r="H573" s="35">
        <f>'Preventative costs A'!H573-'Preventative costs B'!H573</f>
        <v>0</v>
      </c>
      <c r="I573" s="35">
        <f>'Preventative costs A'!I573-'Preventative costs B'!I573</f>
        <v>0</v>
      </c>
      <c r="J573" s="35">
        <f>'Preventative costs A'!J573-'Preventative costs B'!J573</f>
        <v>0</v>
      </c>
      <c r="K573" s="35">
        <f>'Preventative costs A'!K573-'Preventative costs B'!K573</f>
        <v>0</v>
      </c>
      <c r="M573" s="43" t="str">
        <f t="shared" si="40"/>
        <v>$million per Mtonne</v>
      </c>
    </row>
    <row r="574" spans="1:13" s="6" customFormat="1" x14ac:dyDescent="0.25">
      <c r="A574" s="4" t="str">
        <v>IA CO2</v>
      </c>
      <c r="B574" s="35">
        <f>'Preventative costs A'!B574-'Preventative costs B'!B574</f>
        <v>0</v>
      </c>
      <c r="C574" s="35">
        <f>'Preventative costs A'!C574-'Preventative costs B'!C574</f>
        <v>0</v>
      </c>
      <c r="D574" s="35">
        <f>'Preventative costs A'!D574-'Preventative costs B'!D574</f>
        <v>0</v>
      </c>
      <c r="E574" s="35">
        <f>'Preventative costs A'!E574-'Preventative costs B'!E574</f>
        <v>0</v>
      </c>
      <c r="F574" s="35">
        <f>'Preventative costs A'!F574-'Preventative costs B'!F574</f>
        <v>0</v>
      </c>
      <c r="G574" s="35">
        <f>'Preventative costs A'!G574-'Preventative costs B'!G574</f>
        <v>0</v>
      </c>
      <c r="H574" s="35">
        <f>'Preventative costs A'!H574-'Preventative costs B'!H574</f>
        <v>0</v>
      </c>
      <c r="I574" s="35">
        <f>'Preventative costs A'!I574-'Preventative costs B'!I574</f>
        <v>0</v>
      </c>
      <c r="J574" s="35">
        <f>'Preventative costs A'!J574-'Preventative costs B'!J574</f>
        <v>0</v>
      </c>
      <c r="K574" s="35">
        <f>'Preventative costs A'!K574-'Preventative costs B'!K574</f>
        <v>0</v>
      </c>
      <c r="M574" s="43" t="str">
        <f t="shared" si="40"/>
        <v>$million per Mtonne</v>
      </c>
    </row>
    <row r="575" spans="1:13" s="6" customFormat="1" x14ac:dyDescent="0.25">
      <c r="A575" s="4" t="str">
        <v>AF CO2</v>
      </c>
      <c r="B575" s="35">
        <f>'Preventative costs A'!B575-'Preventative costs B'!B575</f>
        <v>0</v>
      </c>
      <c r="C575" s="35">
        <f>'Preventative costs A'!C575-'Preventative costs B'!C575</f>
        <v>0</v>
      </c>
      <c r="D575" s="35">
        <f>'Preventative costs A'!D575-'Preventative costs B'!D575</f>
        <v>0</v>
      </c>
      <c r="E575" s="35">
        <f>'Preventative costs A'!E575-'Preventative costs B'!E575</f>
        <v>0</v>
      </c>
      <c r="F575" s="35">
        <f>'Preventative costs A'!F575-'Preventative costs B'!F575</f>
        <v>0</v>
      </c>
      <c r="G575" s="35">
        <f>'Preventative costs A'!G575-'Preventative costs B'!G575</f>
        <v>0</v>
      </c>
      <c r="H575" s="35">
        <f>'Preventative costs A'!H575-'Preventative costs B'!H575</f>
        <v>0</v>
      </c>
      <c r="I575" s="35">
        <f>'Preventative costs A'!I575-'Preventative costs B'!I575</f>
        <v>0</v>
      </c>
      <c r="J575" s="35">
        <f>'Preventative costs A'!J575-'Preventative costs B'!J575</f>
        <v>0</v>
      </c>
      <c r="K575" s="35">
        <f>'Preventative costs A'!K575-'Preventative costs B'!K575</f>
        <v>0</v>
      </c>
      <c r="M575" s="43" t="str">
        <f t="shared" si="40"/>
        <v>$million per Mtonne</v>
      </c>
    </row>
    <row r="576" spans="1:13" s="6" customFormat="1" ht="13" thickBot="1" x14ac:dyDescent="0.3">
      <c r="A576" s="4" t="str">
        <v>LA CO2</v>
      </c>
      <c r="B576" s="49">
        <f>'Preventative costs A'!B576-'Preventative costs B'!B576</f>
        <v>0</v>
      </c>
      <c r="C576" s="49">
        <f>'Preventative costs A'!C576-'Preventative costs B'!C576</f>
        <v>0</v>
      </c>
      <c r="D576" s="49">
        <f>'Preventative costs A'!D576-'Preventative costs B'!D576</f>
        <v>0</v>
      </c>
      <c r="E576" s="49">
        <f>'Preventative costs A'!E576-'Preventative costs B'!E576</f>
        <v>0</v>
      </c>
      <c r="F576" s="49">
        <f>'Preventative costs A'!F576-'Preventative costs B'!F576</f>
        <v>0</v>
      </c>
      <c r="G576" s="49">
        <f>'Preventative costs A'!G576-'Preventative costs B'!G576</f>
        <v>0</v>
      </c>
      <c r="H576" s="49">
        <f>'Preventative costs A'!H576-'Preventative costs B'!H576</f>
        <v>0</v>
      </c>
      <c r="I576" s="49">
        <f>'Preventative costs A'!I576-'Preventative costs B'!I576</f>
        <v>0</v>
      </c>
      <c r="J576" s="49">
        <f>'Preventative costs A'!J576-'Preventative costs B'!J576</f>
        <v>0</v>
      </c>
      <c r="K576" s="49">
        <f>'Preventative costs A'!K576-'Preventative costs B'!K576</f>
        <v>0</v>
      </c>
      <c r="M576" s="43" t="str">
        <f t="shared" si="40"/>
        <v>$million per Mtonne</v>
      </c>
    </row>
    <row r="577" spans="1:13" s="2" customFormat="1" ht="15.5" thickTop="1" x14ac:dyDescent="0.4">
      <c r="A577" s="2" t="s">
        <v>411</v>
      </c>
      <c r="B577" s="2" t="s">
        <v>413</v>
      </c>
    </row>
    <row r="578" spans="1:13" s="6" customFormat="1" x14ac:dyDescent="0.25">
      <c r="A578" s="4" t="str">
        <f t="array" ref="A578:A585">R_CODE&amp;" "&amp;'Base data'!$C$11</f>
        <v>EU CH4</v>
      </c>
      <c r="B578" s="39">
        <f>'Preventative costs A'!B578-'Preventative costs B'!B578</f>
        <v>0</v>
      </c>
      <c r="C578" s="39">
        <f>'Preventative costs A'!C578-'Preventative costs B'!C578</f>
        <v>0</v>
      </c>
      <c r="D578" s="39">
        <f>'Preventative costs A'!D578-'Preventative costs B'!D578</f>
        <v>0</v>
      </c>
      <c r="E578" s="39">
        <f>'Preventative costs A'!E578-'Preventative costs B'!E578</f>
        <v>0</v>
      </c>
      <c r="F578" s="39">
        <f>'Preventative costs A'!F578-'Preventative costs B'!F578</f>
        <v>0</v>
      </c>
      <c r="G578" s="39">
        <f>'Preventative costs A'!G578-'Preventative costs B'!G578</f>
        <v>0</v>
      </c>
      <c r="H578" s="39">
        <f>'Preventative costs A'!H578-'Preventative costs B'!H578</f>
        <v>0</v>
      </c>
      <c r="I578" s="39">
        <f>'Preventative costs A'!I578-'Preventative costs B'!I578</f>
        <v>0</v>
      </c>
      <c r="J578" s="39">
        <f>'Preventative costs A'!J578-'Preventative costs B'!J578</f>
        <v>0</v>
      </c>
      <c r="K578" s="39">
        <f>'Preventative costs A'!K578-'Preventative costs B'!K578</f>
        <v>0</v>
      </c>
      <c r="M578" s="43" t="str">
        <f t="shared" ref="M578:M585" si="41">CURRENCY_NAME&amp;" per "&amp;EMIT_NAME</f>
        <v>$million per Mtonne</v>
      </c>
    </row>
    <row r="579" spans="1:13" s="6" customFormat="1" x14ac:dyDescent="0.25">
      <c r="A579" s="4" t="str">
        <v>US CH4</v>
      </c>
      <c r="B579" s="35">
        <f>'Preventative costs A'!B579-'Preventative costs B'!B579</f>
        <v>0</v>
      </c>
      <c r="C579" s="35">
        <f>'Preventative costs A'!C579-'Preventative costs B'!C579</f>
        <v>0</v>
      </c>
      <c r="D579" s="35">
        <f>'Preventative costs A'!D579-'Preventative costs B'!D579</f>
        <v>0</v>
      </c>
      <c r="E579" s="35">
        <f>'Preventative costs A'!E579-'Preventative costs B'!E579</f>
        <v>0</v>
      </c>
      <c r="F579" s="35">
        <f>'Preventative costs A'!F579-'Preventative costs B'!F579</f>
        <v>0</v>
      </c>
      <c r="G579" s="35">
        <f>'Preventative costs A'!G579-'Preventative costs B'!G579</f>
        <v>0</v>
      </c>
      <c r="H579" s="35">
        <f>'Preventative costs A'!H579-'Preventative costs B'!H579</f>
        <v>0</v>
      </c>
      <c r="I579" s="35">
        <f>'Preventative costs A'!I579-'Preventative costs B'!I579</f>
        <v>0</v>
      </c>
      <c r="J579" s="35">
        <f>'Preventative costs A'!J579-'Preventative costs B'!J579</f>
        <v>0</v>
      </c>
      <c r="K579" s="35">
        <f>'Preventative costs A'!K579-'Preventative costs B'!K579</f>
        <v>0</v>
      </c>
      <c r="M579" s="43" t="str">
        <f t="shared" si="41"/>
        <v>$million per Mtonne</v>
      </c>
    </row>
    <row r="580" spans="1:13" s="6" customFormat="1" x14ac:dyDescent="0.25">
      <c r="A580" s="4" t="str">
        <v>OT CH4</v>
      </c>
      <c r="B580" s="35">
        <f>'Preventative costs A'!B580-'Preventative costs B'!B580</f>
        <v>0</v>
      </c>
      <c r="C580" s="35">
        <f>'Preventative costs A'!C580-'Preventative costs B'!C580</f>
        <v>0</v>
      </c>
      <c r="D580" s="35">
        <f>'Preventative costs A'!D580-'Preventative costs B'!D580</f>
        <v>0</v>
      </c>
      <c r="E580" s="35">
        <f>'Preventative costs A'!E580-'Preventative costs B'!E580</f>
        <v>0</v>
      </c>
      <c r="F580" s="35">
        <f>'Preventative costs A'!F580-'Preventative costs B'!F580</f>
        <v>0</v>
      </c>
      <c r="G580" s="35">
        <f>'Preventative costs A'!G580-'Preventative costs B'!G580</f>
        <v>0</v>
      </c>
      <c r="H580" s="35">
        <f>'Preventative costs A'!H580-'Preventative costs B'!H580</f>
        <v>0</v>
      </c>
      <c r="I580" s="35">
        <f>'Preventative costs A'!I580-'Preventative costs B'!I580</f>
        <v>0</v>
      </c>
      <c r="J580" s="35">
        <f>'Preventative costs A'!J580-'Preventative costs B'!J580</f>
        <v>0</v>
      </c>
      <c r="K580" s="35">
        <f>'Preventative costs A'!K580-'Preventative costs B'!K580</f>
        <v>0</v>
      </c>
      <c r="M580" s="43" t="str">
        <f t="shared" si="41"/>
        <v>$million per Mtonne</v>
      </c>
    </row>
    <row r="581" spans="1:13" s="6" customFormat="1" x14ac:dyDescent="0.25">
      <c r="A581" s="4" t="str">
        <v>EE CH4</v>
      </c>
      <c r="B581" s="35">
        <f>'Preventative costs A'!B581-'Preventative costs B'!B581</f>
        <v>0</v>
      </c>
      <c r="C581" s="35">
        <f>'Preventative costs A'!C581-'Preventative costs B'!C581</f>
        <v>0</v>
      </c>
      <c r="D581" s="35">
        <f>'Preventative costs A'!D581-'Preventative costs B'!D581</f>
        <v>0</v>
      </c>
      <c r="E581" s="35">
        <f>'Preventative costs A'!E581-'Preventative costs B'!E581</f>
        <v>0</v>
      </c>
      <c r="F581" s="35">
        <f>'Preventative costs A'!F581-'Preventative costs B'!F581</f>
        <v>0</v>
      </c>
      <c r="G581" s="35">
        <f>'Preventative costs A'!G581-'Preventative costs B'!G581</f>
        <v>0</v>
      </c>
      <c r="H581" s="35">
        <f>'Preventative costs A'!H581-'Preventative costs B'!H581</f>
        <v>0</v>
      </c>
      <c r="I581" s="35">
        <f>'Preventative costs A'!I581-'Preventative costs B'!I581</f>
        <v>0</v>
      </c>
      <c r="J581" s="35">
        <f>'Preventative costs A'!J581-'Preventative costs B'!J581</f>
        <v>0</v>
      </c>
      <c r="K581" s="35">
        <f>'Preventative costs A'!K581-'Preventative costs B'!K581</f>
        <v>0</v>
      </c>
      <c r="M581" s="43" t="str">
        <f t="shared" si="41"/>
        <v>$million per Mtonne</v>
      </c>
    </row>
    <row r="582" spans="1:13" s="6" customFormat="1" x14ac:dyDescent="0.25">
      <c r="A582" s="4" t="str">
        <v>CA CH4</v>
      </c>
      <c r="B582" s="35">
        <f>'Preventative costs A'!B582-'Preventative costs B'!B582</f>
        <v>0</v>
      </c>
      <c r="C582" s="35">
        <f>'Preventative costs A'!C582-'Preventative costs B'!C582</f>
        <v>0</v>
      </c>
      <c r="D582" s="35">
        <f>'Preventative costs A'!D582-'Preventative costs B'!D582</f>
        <v>0</v>
      </c>
      <c r="E582" s="35">
        <f>'Preventative costs A'!E582-'Preventative costs B'!E582</f>
        <v>0</v>
      </c>
      <c r="F582" s="35">
        <f>'Preventative costs A'!F582-'Preventative costs B'!F582</f>
        <v>0</v>
      </c>
      <c r="G582" s="35">
        <f>'Preventative costs A'!G582-'Preventative costs B'!G582</f>
        <v>0</v>
      </c>
      <c r="H582" s="35">
        <f>'Preventative costs A'!H582-'Preventative costs B'!H582</f>
        <v>0</v>
      </c>
      <c r="I582" s="35">
        <f>'Preventative costs A'!I582-'Preventative costs B'!I582</f>
        <v>0</v>
      </c>
      <c r="J582" s="35">
        <f>'Preventative costs A'!J582-'Preventative costs B'!J582</f>
        <v>0</v>
      </c>
      <c r="K582" s="35">
        <f>'Preventative costs A'!K582-'Preventative costs B'!K582</f>
        <v>0</v>
      </c>
      <c r="M582" s="43" t="str">
        <f t="shared" si="41"/>
        <v>$million per Mtonne</v>
      </c>
    </row>
    <row r="583" spans="1:13" s="6" customFormat="1" x14ac:dyDescent="0.25">
      <c r="A583" s="4" t="str">
        <v>IA CH4</v>
      </c>
      <c r="B583" s="35">
        <f>'Preventative costs A'!B583-'Preventative costs B'!B583</f>
        <v>0</v>
      </c>
      <c r="C583" s="35">
        <f>'Preventative costs A'!C583-'Preventative costs B'!C583</f>
        <v>0</v>
      </c>
      <c r="D583" s="35">
        <f>'Preventative costs A'!D583-'Preventative costs B'!D583</f>
        <v>0</v>
      </c>
      <c r="E583" s="35">
        <f>'Preventative costs A'!E583-'Preventative costs B'!E583</f>
        <v>0</v>
      </c>
      <c r="F583" s="35">
        <f>'Preventative costs A'!F583-'Preventative costs B'!F583</f>
        <v>0</v>
      </c>
      <c r="G583" s="35">
        <f>'Preventative costs A'!G583-'Preventative costs B'!G583</f>
        <v>0</v>
      </c>
      <c r="H583" s="35">
        <f>'Preventative costs A'!H583-'Preventative costs B'!H583</f>
        <v>0</v>
      </c>
      <c r="I583" s="35">
        <f>'Preventative costs A'!I583-'Preventative costs B'!I583</f>
        <v>0</v>
      </c>
      <c r="J583" s="35">
        <f>'Preventative costs A'!J583-'Preventative costs B'!J583</f>
        <v>0</v>
      </c>
      <c r="K583" s="35">
        <f>'Preventative costs A'!K583-'Preventative costs B'!K583</f>
        <v>0</v>
      </c>
      <c r="M583" s="43" t="str">
        <f t="shared" si="41"/>
        <v>$million per Mtonne</v>
      </c>
    </row>
    <row r="584" spans="1:13" s="6" customFormat="1" x14ac:dyDescent="0.25">
      <c r="A584" s="4" t="str">
        <v>AF CH4</v>
      </c>
      <c r="B584" s="35">
        <f>'Preventative costs A'!B584-'Preventative costs B'!B584</f>
        <v>0</v>
      </c>
      <c r="C584" s="35">
        <f>'Preventative costs A'!C584-'Preventative costs B'!C584</f>
        <v>0</v>
      </c>
      <c r="D584" s="35">
        <f>'Preventative costs A'!D584-'Preventative costs B'!D584</f>
        <v>0</v>
      </c>
      <c r="E584" s="35">
        <f>'Preventative costs A'!E584-'Preventative costs B'!E584</f>
        <v>0</v>
      </c>
      <c r="F584" s="35">
        <f>'Preventative costs A'!F584-'Preventative costs B'!F584</f>
        <v>0</v>
      </c>
      <c r="G584" s="35">
        <f>'Preventative costs A'!G584-'Preventative costs B'!G584</f>
        <v>0</v>
      </c>
      <c r="H584" s="35">
        <f>'Preventative costs A'!H584-'Preventative costs B'!H584</f>
        <v>0</v>
      </c>
      <c r="I584" s="35">
        <f>'Preventative costs A'!I584-'Preventative costs B'!I584</f>
        <v>0</v>
      </c>
      <c r="J584" s="35">
        <f>'Preventative costs A'!J584-'Preventative costs B'!J584</f>
        <v>0</v>
      </c>
      <c r="K584" s="35">
        <f>'Preventative costs A'!K584-'Preventative costs B'!K584</f>
        <v>0</v>
      </c>
      <c r="M584" s="43" t="str">
        <f t="shared" si="41"/>
        <v>$million per Mtonne</v>
      </c>
    </row>
    <row r="585" spans="1:13" s="6" customFormat="1" ht="13" thickBot="1" x14ac:dyDescent="0.3">
      <c r="A585" s="4" t="str">
        <v>LA CH4</v>
      </c>
      <c r="B585" s="49">
        <f>'Preventative costs A'!B585-'Preventative costs B'!B585</f>
        <v>0</v>
      </c>
      <c r="C585" s="49">
        <f>'Preventative costs A'!C585-'Preventative costs B'!C585</f>
        <v>0</v>
      </c>
      <c r="D585" s="49">
        <f>'Preventative costs A'!D585-'Preventative costs B'!D585</f>
        <v>0</v>
      </c>
      <c r="E585" s="49">
        <f>'Preventative costs A'!E585-'Preventative costs B'!E585</f>
        <v>0</v>
      </c>
      <c r="F585" s="49">
        <f>'Preventative costs A'!F585-'Preventative costs B'!F585</f>
        <v>0</v>
      </c>
      <c r="G585" s="49">
        <f>'Preventative costs A'!G585-'Preventative costs B'!G585</f>
        <v>0</v>
      </c>
      <c r="H585" s="49">
        <f>'Preventative costs A'!H585-'Preventative costs B'!H585</f>
        <v>0</v>
      </c>
      <c r="I585" s="49">
        <f>'Preventative costs A'!I585-'Preventative costs B'!I585</f>
        <v>0</v>
      </c>
      <c r="J585" s="49">
        <f>'Preventative costs A'!J585-'Preventative costs B'!J585</f>
        <v>0</v>
      </c>
      <c r="K585" s="49">
        <f>'Preventative costs A'!K585-'Preventative costs B'!K585</f>
        <v>0</v>
      </c>
      <c r="M585" s="43" t="str">
        <f t="shared" si="41"/>
        <v>$million per Mtonne</v>
      </c>
    </row>
    <row r="586" spans="1:13" s="2" customFormat="1" ht="15.5" thickTop="1" x14ac:dyDescent="0.4">
      <c r="A586" s="2" t="s">
        <v>411</v>
      </c>
      <c r="B586" s="2" t="s">
        <v>414</v>
      </c>
    </row>
    <row r="587" spans="1:13" s="7" customFormat="1" x14ac:dyDescent="0.25">
      <c r="A587" s="4" t="str">
        <f t="array" ref="A587:A594">R_CODE&amp;" "&amp;'Base data'!$D$11</f>
        <v>EU N2O</v>
      </c>
      <c r="B587" s="39">
        <f>'Preventative costs A'!B587-'Preventative costs B'!B587</f>
        <v>0</v>
      </c>
      <c r="C587" s="39">
        <f>'Preventative costs A'!C587-'Preventative costs B'!C587</f>
        <v>0</v>
      </c>
      <c r="D587" s="39">
        <f>'Preventative costs A'!D587-'Preventative costs B'!D587</f>
        <v>0</v>
      </c>
      <c r="E587" s="39">
        <f>'Preventative costs A'!E587-'Preventative costs B'!E587</f>
        <v>0</v>
      </c>
      <c r="F587" s="39">
        <f>'Preventative costs A'!F587-'Preventative costs B'!F587</f>
        <v>0</v>
      </c>
      <c r="G587" s="39">
        <f>'Preventative costs A'!G587-'Preventative costs B'!G587</f>
        <v>0</v>
      </c>
      <c r="H587" s="39">
        <f>'Preventative costs A'!H587-'Preventative costs B'!H587</f>
        <v>0</v>
      </c>
      <c r="I587" s="39">
        <f>'Preventative costs A'!I587-'Preventative costs B'!I587</f>
        <v>0</v>
      </c>
      <c r="J587" s="39">
        <f>'Preventative costs A'!J587-'Preventative costs B'!J587</f>
        <v>0</v>
      </c>
      <c r="K587" s="39">
        <f>'Preventative costs A'!K587-'Preventative costs B'!K587</f>
        <v>0</v>
      </c>
      <c r="M587" s="43" t="str">
        <f t="shared" ref="M587:M594" si="42">CURRENCY_NAME&amp;" per "&amp;EMIT_NAME</f>
        <v>$million per Mtonne</v>
      </c>
    </row>
    <row r="588" spans="1:13" s="7" customFormat="1" x14ac:dyDescent="0.25">
      <c r="A588" s="4" t="str">
        <v>US N2O</v>
      </c>
      <c r="B588" s="35">
        <f>'Preventative costs A'!B588-'Preventative costs B'!B588</f>
        <v>0</v>
      </c>
      <c r="C588" s="35">
        <f>'Preventative costs A'!C588-'Preventative costs B'!C588</f>
        <v>0</v>
      </c>
      <c r="D588" s="35">
        <f>'Preventative costs A'!D588-'Preventative costs B'!D588</f>
        <v>0</v>
      </c>
      <c r="E588" s="35">
        <f>'Preventative costs A'!E588-'Preventative costs B'!E588</f>
        <v>0</v>
      </c>
      <c r="F588" s="35">
        <f>'Preventative costs A'!F588-'Preventative costs B'!F588</f>
        <v>0</v>
      </c>
      <c r="G588" s="35">
        <f>'Preventative costs A'!G588-'Preventative costs B'!G588</f>
        <v>0</v>
      </c>
      <c r="H588" s="35">
        <f>'Preventative costs A'!H588-'Preventative costs B'!H588</f>
        <v>0</v>
      </c>
      <c r="I588" s="35">
        <f>'Preventative costs A'!I588-'Preventative costs B'!I588</f>
        <v>0</v>
      </c>
      <c r="J588" s="35">
        <f>'Preventative costs A'!J588-'Preventative costs B'!J588</f>
        <v>0</v>
      </c>
      <c r="K588" s="35">
        <f>'Preventative costs A'!K588-'Preventative costs B'!K588</f>
        <v>0</v>
      </c>
      <c r="M588" s="43" t="str">
        <f t="shared" si="42"/>
        <v>$million per Mtonne</v>
      </c>
    </row>
    <row r="589" spans="1:13" s="7" customFormat="1" x14ac:dyDescent="0.25">
      <c r="A589" s="4" t="str">
        <v>OT N2O</v>
      </c>
      <c r="B589" s="35">
        <f>'Preventative costs A'!B589-'Preventative costs B'!B589</f>
        <v>0</v>
      </c>
      <c r="C589" s="35">
        <f>'Preventative costs A'!C589-'Preventative costs B'!C589</f>
        <v>0</v>
      </c>
      <c r="D589" s="35">
        <f>'Preventative costs A'!D589-'Preventative costs B'!D589</f>
        <v>0</v>
      </c>
      <c r="E589" s="35">
        <f>'Preventative costs A'!E589-'Preventative costs B'!E589</f>
        <v>0</v>
      </c>
      <c r="F589" s="35">
        <f>'Preventative costs A'!F589-'Preventative costs B'!F589</f>
        <v>0</v>
      </c>
      <c r="G589" s="35">
        <f>'Preventative costs A'!G589-'Preventative costs B'!G589</f>
        <v>0</v>
      </c>
      <c r="H589" s="35">
        <f>'Preventative costs A'!H589-'Preventative costs B'!H589</f>
        <v>0</v>
      </c>
      <c r="I589" s="35">
        <f>'Preventative costs A'!I589-'Preventative costs B'!I589</f>
        <v>0</v>
      </c>
      <c r="J589" s="35">
        <f>'Preventative costs A'!J589-'Preventative costs B'!J589</f>
        <v>0</v>
      </c>
      <c r="K589" s="35">
        <f>'Preventative costs A'!K589-'Preventative costs B'!K589</f>
        <v>0</v>
      </c>
      <c r="M589" s="43" t="str">
        <f t="shared" si="42"/>
        <v>$million per Mtonne</v>
      </c>
    </row>
    <row r="590" spans="1:13" s="7" customFormat="1" x14ac:dyDescent="0.25">
      <c r="A590" s="4" t="str">
        <v>EE N2O</v>
      </c>
      <c r="B590" s="35">
        <f>'Preventative costs A'!B590-'Preventative costs B'!B590</f>
        <v>0</v>
      </c>
      <c r="C590" s="35">
        <f>'Preventative costs A'!C590-'Preventative costs B'!C590</f>
        <v>0</v>
      </c>
      <c r="D590" s="35">
        <f>'Preventative costs A'!D590-'Preventative costs B'!D590</f>
        <v>0</v>
      </c>
      <c r="E590" s="35">
        <f>'Preventative costs A'!E590-'Preventative costs B'!E590</f>
        <v>0</v>
      </c>
      <c r="F590" s="35">
        <f>'Preventative costs A'!F590-'Preventative costs B'!F590</f>
        <v>0</v>
      </c>
      <c r="G590" s="35">
        <f>'Preventative costs A'!G590-'Preventative costs B'!G590</f>
        <v>0</v>
      </c>
      <c r="H590" s="35">
        <f>'Preventative costs A'!H590-'Preventative costs B'!H590</f>
        <v>0</v>
      </c>
      <c r="I590" s="35">
        <f>'Preventative costs A'!I590-'Preventative costs B'!I590</f>
        <v>0</v>
      </c>
      <c r="J590" s="35">
        <f>'Preventative costs A'!J590-'Preventative costs B'!J590</f>
        <v>0</v>
      </c>
      <c r="K590" s="35">
        <f>'Preventative costs A'!K590-'Preventative costs B'!K590</f>
        <v>0</v>
      </c>
      <c r="M590" s="43" t="str">
        <f t="shared" si="42"/>
        <v>$million per Mtonne</v>
      </c>
    </row>
    <row r="591" spans="1:13" s="7" customFormat="1" x14ac:dyDescent="0.25">
      <c r="A591" s="4" t="str">
        <v>CA N2O</v>
      </c>
      <c r="B591" s="35">
        <f>'Preventative costs A'!B591-'Preventative costs B'!B591</f>
        <v>0</v>
      </c>
      <c r="C591" s="35">
        <f>'Preventative costs A'!C591-'Preventative costs B'!C591</f>
        <v>0</v>
      </c>
      <c r="D591" s="35">
        <f>'Preventative costs A'!D591-'Preventative costs B'!D591</f>
        <v>0</v>
      </c>
      <c r="E591" s="35">
        <f>'Preventative costs A'!E591-'Preventative costs B'!E591</f>
        <v>0</v>
      </c>
      <c r="F591" s="35">
        <f>'Preventative costs A'!F591-'Preventative costs B'!F591</f>
        <v>0</v>
      </c>
      <c r="G591" s="35">
        <f>'Preventative costs A'!G591-'Preventative costs B'!G591</f>
        <v>0</v>
      </c>
      <c r="H591" s="35">
        <f>'Preventative costs A'!H591-'Preventative costs B'!H591</f>
        <v>0</v>
      </c>
      <c r="I591" s="35">
        <f>'Preventative costs A'!I591-'Preventative costs B'!I591</f>
        <v>0</v>
      </c>
      <c r="J591" s="35">
        <f>'Preventative costs A'!J591-'Preventative costs B'!J591</f>
        <v>0</v>
      </c>
      <c r="K591" s="35">
        <f>'Preventative costs A'!K591-'Preventative costs B'!K591</f>
        <v>0</v>
      </c>
      <c r="M591" s="43" t="str">
        <f t="shared" si="42"/>
        <v>$million per Mtonne</v>
      </c>
    </row>
    <row r="592" spans="1:13" s="7" customFormat="1" x14ac:dyDescent="0.25">
      <c r="A592" s="4" t="str">
        <v>IA N2O</v>
      </c>
      <c r="B592" s="35">
        <f>'Preventative costs A'!B592-'Preventative costs B'!B592</f>
        <v>0</v>
      </c>
      <c r="C592" s="35">
        <f>'Preventative costs A'!C592-'Preventative costs B'!C592</f>
        <v>0</v>
      </c>
      <c r="D592" s="35">
        <f>'Preventative costs A'!D592-'Preventative costs B'!D592</f>
        <v>0</v>
      </c>
      <c r="E592" s="35">
        <f>'Preventative costs A'!E592-'Preventative costs B'!E592</f>
        <v>0</v>
      </c>
      <c r="F592" s="35">
        <f>'Preventative costs A'!F592-'Preventative costs B'!F592</f>
        <v>0</v>
      </c>
      <c r="G592" s="35">
        <f>'Preventative costs A'!G592-'Preventative costs B'!G592</f>
        <v>0</v>
      </c>
      <c r="H592" s="35">
        <f>'Preventative costs A'!H592-'Preventative costs B'!H592</f>
        <v>0</v>
      </c>
      <c r="I592" s="35">
        <f>'Preventative costs A'!I592-'Preventative costs B'!I592</f>
        <v>0</v>
      </c>
      <c r="J592" s="35">
        <f>'Preventative costs A'!J592-'Preventative costs B'!J592</f>
        <v>0</v>
      </c>
      <c r="K592" s="35">
        <f>'Preventative costs A'!K592-'Preventative costs B'!K592</f>
        <v>0</v>
      </c>
      <c r="M592" s="43" t="str">
        <f t="shared" si="42"/>
        <v>$million per Mtonne</v>
      </c>
    </row>
    <row r="593" spans="1:13" s="7" customFormat="1" x14ac:dyDescent="0.25">
      <c r="A593" s="4" t="str">
        <v>AF N2O</v>
      </c>
      <c r="B593" s="35">
        <f>'Preventative costs A'!B593-'Preventative costs B'!B593</f>
        <v>0</v>
      </c>
      <c r="C593" s="35">
        <f>'Preventative costs A'!C593-'Preventative costs B'!C593</f>
        <v>0</v>
      </c>
      <c r="D593" s="35">
        <f>'Preventative costs A'!D593-'Preventative costs B'!D593</f>
        <v>0</v>
      </c>
      <c r="E593" s="35">
        <f>'Preventative costs A'!E593-'Preventative costs B'!E593</f>
        <v>0</v>
      </c>
      <c r="F593" s="35">
        <f>'Preventative costs A'!F593-'Preventative costs B'!F593</f>
        <v>0</v>
      </c>
      <c r="G593" s="35">
        <f>'Preventative costs A'!G593-'Preventative costs B'!G593</f>
        <v>0</v>
      </c>
      <c r="H593" s="35">
        <f>'Preventative costs A'!H593-'Preventative costs B'!H593</f>
        <v>0</v>
      </c>
      <c r="I593" s="35">
        <f>'Preventative costs A'!I593-'Preventative costs B'!I593</f>
        <v>0</v>
      </c>
      <c r="J593" s="35">
        <f>'Preventative costs A'!J593-'Preventative costs B'!J593</f>
        <v>0</v>
      </c>
      <c r="K593" s="35">
        <f>'Preventative costs A'!K593-'Preventative costs B'!K593</f>
        <v>0</v>
      </c>
      <c r="M593" s="43" t="str">
        <f t="shared" si="42"/>
        <v>$million per Mtonne</v>
      </c>
    </row>
    <row r="594" spans="1:13" s="7" customFormat="1" ht="13" thickBot="1" x14ac:dyDescent="0.3">
      <c r="A594" s="4" t="str">
        <v>LA N2O</v>
      </c>
      <c r="B594" s="49">
        <f>'Preventative costs A'!B594-'Preventative costs B'!B594</f>
        <v>0</v>
      </c>
      <c r="C594" s="49">
        <f>'Preventative costs A'!C594-'Preventative costs B'!C594</f>
        <v>0</v>
      </c>
      <c r="D594" s="49">
        <f>'Preventative costs A'!D594-'Preventative costs B'!D594</f>
        <v>0</v>
      </c>
      <c r="E594" s="49">
        <f>'Preventative costs A'!E594-'Preventative costs B'!E594</f>
        <v>0</v>
      </c>
      <c r="F594" s="49">
        <f>'Preventative costs A'!F594-'Preventative costs B'!F594</f>
        <v>0</v>
      </c>
      <c r="G594" s="49">
        <f>'Preventative costs A'!G594-'Preventative costs B'!G594</f>
        <v>0</v>
      </c>
      <c r="H594" s="49">
        <f>'Preventative costs A'!H594-'Preventative costs B'!H594</f>
        <v>0</v>
      </c>
      <c r="I594" s="49">
        <f>'Preventative costs A'!I594-'Preventative costs B'!I594</f>
        <v>0</v>
      </c>
      <c r="J594" s="49">
        <f>'Preventative costs A'!J594-'Preventative costs B'!J594</f>
        <v>0</v>
      </c>
      <c r="K594" s="49">
        <f>'Preventative costs A'!K594-'Preventative costs B'!K594</f>
        <v>0</v>
      </c>
      <c r="M594" s="43" t="str">
        <f t="shared" si="42"/>
        <v>$million per Mtonne</v>
      </c>
    </row>
    <row r="595" spans="1:13" s="2" customFormat="1" ht="15.5" thickTop="1" x14ac:dyDescent="0.4">
      <c r="A595" s="2" t="s">
        <v>411</v>
      </c>
      <c r="B595" s="2" t="s">
        <v>415</v>
      </c>
    </row>
    <row r="596" spans="1:13" s="7" customFormat="1" x14ac:dyDescent="0.25">
      <c r="A596" s="4" t="str">
        <f t="array" ref="A596:A603">R_CODE&amp;" "&amp;GLIN_NAME</f>
        <v>EU Lin</v>
      </c>
      <c r="B596" s="39">
        <f>'Preventative costs A'!B596-'Preventative costs B'!B596</f>
        <v>0</v>
      </c>
      <c r="C596" s="39">
        <f>'Preventative costs A'!C596-'Preventative costs B'!C596</f>
        <v>0</v>
      </c>
      <c r="D596" s="39">
        <f>'Preventative costs A'!D596-'Preventative costs B'!D596</f>
        <v>0</v>
      </c>
      <c r="E596" s="39">
        <f>'Preventative costs A'!E596-'Preventative costs B'!E596</f>
        <v>0</v>
      </c>
      <c r="F596" s="39">
        <f>'Preventative costs A'!F596-'Preventative costs B'!F596</f>
        <v>0</v>
      </c>
      <c r="G596" s="39">
        <f>'Preventative costs A'!G596-'Preventative costs B'!G596</f>
        <v>0</v>
      </c>
      <c r="H596" s="39">
        <f>'Preventative costs A'!H596-'Preventative costs B'!H596</f>
        <v>0</v>
      </c>
      <c r="I596" s="39">
        <f>'Preventative costs A'!I596-'Preventative costs B'!I596</f>
        <v>0</v>
      </c>
      <c r="J596" s="39">
        <f>'Preventative costs A'!J596-'Preventative costs B'!J596</f>
        <v>0</v>
      </c>
      <c r="K596" s="39">
        <f>'Preventative costs A'!K596-'Preventative costs B'!K596</f>
        <v>0</v>
      </c>
      <c r="M596" s="43" t="str">
        <f t="shared" ref="M596:M603" si="43">CURRENCY_NAME&amp;" per "&amp;EMIT_NAME</f>
        <v>$million per Mtonne</v>
      </c>
    </row>
    <row r="597" spans="1:13" s="7" customFormat="1" x14ac:dyDescent="0.25">
      <c r="A597" s="4" t="str">
        <v>US Lin</v>
      </c>
      <c r="B597" s="35">
        <f>'Preventative costs A'!B597-'Preventative costs B'!B597</f>
        <v>0</v>
      </c>
      <c r="C597" s="35">
        <f>'Preventative costs A'!C597-'Preventative costs B'!C597</f>
        <v>0</v>
      </c>
      <c r="D597" s="35">
        <f>'Preventative costs A'!D597-'Preventative costs B'!D597</f>
        <v>0</v>
      </c>
      <c r="E597" s="35">
        <f>'Preventative costs A'!E597-'Preventative costs B'!E597</f>
        <v>0</v>
      </c>
      <c r="F597" s="35">
        <f>'Preventative costs A'!F597-'Preventative costs B'!F597</f>
        <v>0</v>
      </c>
      <c r="G597" s="35">
        <f>'Preventative costs A'!G597-'Preventative costs B'!G597</f>
        <v>0</v>
      </c>
      <c r="H597" s="35">
        <f>'Preventative costs A'!H597-'Preventative costs B'!H597</f>
        <v>0</v>
      </c>
      <c r="I597" s="35">
        <f>'Preventative costs A'!I597-'Preventative costs B'!I597</f>
        <v>0</v>
      </c>
      <c r="J597" s="35">
        <f>'Preventative costs A'!J597-'Preventative costs B'!J597</f>
        <v>0</v>
      </c>
      <c r="K597" s="35">
        <f>'Preventative costs A'!K597-'Preventative costs B'!K597</f>
        <v>0</v>
      </c>
      <c r="M597" s="43" t="str">
        <f t="shared" si="43"/>
        <v>$million per Mtonne</v>
      </c>
    </row>
    <row r="598" spans="1:13" s="7" customFormat="1" x14ac:dyDescent="0.25">
      <c r="A598" s="4" t="str">
        <v>OT Lin</v>
      </c>
      <c r="B598" s="35">
        <f>'Preventative costs A'!B598-'Preventative costs B'!B598</f>
        <v>0</v>
      </c>
      <c r="C598" s="35">
        <f>'Preventative costs A'!C598-'Preventative costs B'!C598</f>
        <v>0</v>
      </c>
      <c r="D598" s="35">
        <f>'Preventative costs A'!D598-'Preventative costs B'!D598</f>
        <v>0</v>
      </c>
      <c r="E598" s="35">
        <f>'Preventative costs A'!E598-'Preventative costs B'!E598</f>
        <v>0</v>
      </c>
      <c r="F598" s="35">
        <f>'Preventative costs A'!F598-'Preventative costs B'!F598</f>
        <v>0</v>
      </c>
      <c r="G598" s="35">
        <f>'Preventative costs A'!G598-'Preventative costs B'!G598</f>
        <v>0</v>
      </c>
      <c r="H598" s="35">
        <f>'Preventative costs A'!H598-'Preventative costs B'!H598</f>
        <v>0</v>
      </c>
      <c r="I598" s="35">
        <f>'Preventative costs A'!I598-'Preventative costs B'!I598</f>
        <v>0</v>
      </c>
      <c r="J598" s="35">
        <f>'Preventative costs A'!J598-'Preventative costs B'!J598</f>
        <v>0</v>
      </c>
      <c r="K598" s="35">
        <f>'Preventative costs A'!K598-'Preventative costs B'!K598</f>
        <v>0</v>
      </c>
      <c r="M598" s="43" t="str">
        <f t="shared" si="43"/>
        <v>$million per Mtonne</v>
      </c>
    </row>
    <row r="599" spans="1:13" s="7" customFormat="1" x14ac:dyDescent="0.25">
      <c r="A599" s="4" t="str">
        <v>EE Lin</v>
      </c>
      <c r="B599" s="35">
        <f>'Preventative costs A'!B599-'Preventative costs B'!B599</f>
        <v>0</v>
      </c>
      <c r="C599" s="35">
        <f>'Preventative costs A'!C599-'Preventative costs B'!C599</f>
        <v>0</v>
      </c>
      <c r="D599" s="35">
        <f>'Preventative costs A'!D599-'Preventative costs B'!D599</f>
        <v>0</v>
      </c>
      <c r="E599" s="35">
        <f>'Preventative costs A'!E599-'Preventative costs B'!E599</f>
        <v>0</v>
      </c>
      <c r="F599" s="35">
        <f>'Preventative costs A'!F599-'Preventative costs B'!F599</f>
        <v>0</v>
      </c>
      <c r="G599" s="35">
        <f>'Preventative costs A'!G599-'Preventative costs B'!G599</f>
        <v>0</v>
      </c>
      <c r="H599" s="35">
        <f>'Preventative costs A'!H599-'Preventative costs B'!H599</f>
        <v>0</v>
      </c>
      <c r="I599" s="35">
        <f>'Preventative costs A'!I599-'Preventative costs B'!I599</f>
        <v>0</v>
      </c>
      <c r="J599" s="35">
        <f>'Preventative costs A'!J599-'Preventative costs B'!J599</f>
        <v>0</v>
      </c>
      <c r="K599" s="35">
        <f>'Preventative costs A'!K599-'Preventative costs B'!K599</f>
        <v>0</v>
      </c>
      <c r="M599" s="43" t="str">
        <f t="shared" si="43"/>
        <v>$million per Mtonne</v>
      </c>
    </row>
    <row r="600" spans="1:13" s="7" customFormat="1" x14ac:dyDescent="0.25">
      <c r="A600" s="4" t="str">
        <v>CA Lin</v>
      </c>
      <c r="B600" s="35">
        <f>'Preventative costs A'!B600-'Preventative costs B'!B600</f>
        <v>0</v>
      </c>
      <c r="C600" s="35">
        <f>'Preventative costs A'!C600-'Preventative costs B'!C600</f>
        <v>0</v>
      </c>
      <c r="D600" s="35">
        <f>'Preventative costs A'!D600-'Preventative costs B'!D600</f>
        <v>0</v>
      </c>
      <c r="E600" s="35">
        <f>'Preventative costs A'!E600-'Preventative costs B'!E600</f>
        <v>0</v>
      </c>
      <c r="F600" s="35">
        <f>'Preventative costs A'!F600-'Preventative costs B'!F600</f>
        <v>0</v>
      </c>
      <c r="G600" s="35">
        <f>'Preventative costs A'!G600-'Preventative costs B'!G600</f>
        <v>0</v>
      </c>
      <c r="H600" s="35">
        <f>'Preventative costs A'!H600-'Preventative costs B'!H600</f>
        <v>0</v>
      </c>
      <c r="I600" s="35">
        <f>'Preventative costs A'!I600-'Preventative costs B'!I600</f>
        <v>0</v>
      </c>
      <c r="J600" s="35">
        <f>'Preventative costs A'!J600-'Preventative costs B'!J600</f>
        <v>0</v>
      </c>
      <c r="K600" s="35">
        <f>'Preventative costs A'!K600-'Preventative costs B'!K600</f>
        <v>0</v>
      </c>
      <c r="M600" s="43" t="str">
        <f t="shared" si="43"/>
        <v>$million per Mtonne</v>
      </c>
    </row>
    <row r="601" spans="1:13" s="7" customFormat="1" x14ac:dyDescent="0.25">
      <c r="A601" s="4" t="str">
        <v>IA Lin</v>
      </c>
      <c r="B601" s="35">
        <f>'Preventative costs A'!B601-'Preventative costs B'!B601</f>
        <v>0</v>
      </c>
      <c r="C601" s="35">
        <f>'Preventative costs A'!C601-'Preventative costs B'!C601</f>
        <v>0</v>
      </c>
      <c r="D601" s="35">
        <f>'Preventative costs A'!D601-'Preventative costs B'!D601</f>
        <v>0</v>
      </c>
      <c r="E601" s="35">
        <f>'Preventative costs A'!E601-'Preventative costs B'!E601</f>
        <v>0</v>
      </c>
      <c r="F601" s="35">
        <f>'Preventative costs A'!F601-'Preventative costs B'!F601</f>
        <v>0</v>
      </c>
      <c r="G601" s="35">
        <f>'Preventative costs A'!G601-'Preventative costs B'!G601</f>
        <v>0</v>
      </c>
      <c r="H601" s="35">
        <f>'Preventative costs A'!H601-'Preventative costs B'!H601</f>
        <v>0</v>
      </c>
      <c r="I601" s="35">
        <f>'Preventative costs A'!I601-'Preventative costs B'!I601</f>
        <v>0</v>
      </c>
      <c r="J601" s="35">
        <f>'Preventative costs A'!J601-'Preventative costs B'!J601</f>
        <v>0</v>
      </c>
      <c r="K601" s="35">
        <f>'Preventative costs A'!K601-'Preventative costs B'!K601</f>
        <v>0</v>
      </c>
      <c r="M601" s="43" t="str">
        <f t="shared" si="43"/>
        <v>$million per Mtonne</v>
      </c>
    </row>
    <row r="602" spans="1:13" s="7" customFormat="1" x14ac:dyDescent="0.25">
      <c r="A602" s="4" t="str">
        <v>AF Lin</v>
      </c>
      <c r="B602" s="35">
        <f>'Preventative costs A'!B602-'Preventative costs B'!B602</f>
        <v>0</v>
      </c>
      <c r="C602" s="35">
        <f>'Preventative costs A'!C602-'Preventative costs B'!C602</f>
        <v>0</v>
      </c>
      <c r="D602" s="35">
        <f>'Preventative costs A'!D602-'Preventative costs B'!D602</f>
        <v>0</v>
      </c>
      <c r="E602" s="35">
        <f>'Preventative costs A'!E602-'Preventative costs B'!E602</f>
        <v>0</v>
      </c>
      <c r="F602" s="35">
        <f>'Preventative costs A'!F602-'Preventative costs B'!F602</f>
        <v>0</v>
      </c>
      <c r="G602" s="35">
        <f>'Preventative costs A'!G602-'Preventative costs B'!G602</f>
        <v>0</v>
      </c>
      <c r="H602" s="35">
        <f>'Preventative costs A'!H602-'Preventative costs B'!H602</f>
        <v>0</v>
      </c>
      <c r="I602" s="35">
        <f>'Preventative costs A'!I602-'Preventative costs B'!I602</f>
        <v>0</v>
      </c>
      <c r="J602" s="35">
        <f>'Preventative costs A'!J602-'Preventative costs B'!J602</f>
        <v>0</v>
      </c>
      <c r="K602" s="35">
        <f>'Preventative costs A'!K602-'Preventative costs B'!K602</f>
        <v>0</v>
      </c>
      <c r="M602" s="43" t="str">
        <f t="shared" si="43"/>
        <v>$million per Mtonne</v>
      </c>
    </row>
    <row r="603" spans="1:13" s="7" customFormat="1" ht="13" thickBot="1" x14ac:dyDescent="0.3">
      <c r="A603" s="4" t="str">
        <v>LA Lin</v>
      </c>
      <c r="B603" s="49">
        <f>'Preventative costs A'!B603-'Preventative costs B'!B603</f>
        <v>0</v>
      </c>
      <c r="C603" s="49">
        <f>'Preventative costs A'!C603-'Preventative costs B'!C603</f>
        <v>0</v>
      </c>
      <c r="D603" s="49">
        <f>'Preventative costs A'!D603-'Preventative costs B'!D603</f>
        <v>0</v>
      </c>
      <c r="E603" s="49">
        <f>'Preventative costs A'!E603-'Preventative costs B'!E603</f>
        <v>0</v>
      </c>
      <c r="F603" s="49">
        <f>'Preventative costs A'!F603-'Preventative costs B'!F603</f>
        <v>0</v>
      </c>
      <c r="G603" s="49">
        <f>'Preventative costs A'!G603-'Preventative costs B'!G603</f>
        <v>0</v>
      </c>
      <c r="H603" s="49">
        <f>'Preventative costs A'!H603-'Preventative costs B'!H603</f>
        <v>0</v>
      </c>
      <c r="I603" s="49">
        <f>'Preventative costs A'!I603-'Preventative costs B'!I603</f>
        <v>0</v>
      </c>
      <c r="J603" s="49">
        <f>'Preventative costs A'!J603-'Preventative costs B'!J603</f>
        <v>0</v>
      </c>
      <c r="K603" s="49">
        <f>'Preventative costs A'!K603-'Preventative costs B'!K603</f>
        <v>0</v>
      </c>
      <c r="M603" s="43" t="str">
        <f t="shared" si="43"/>
        <v>$million per Mtonne</v>
      </c>
    </row>
    <row r="604" spans="1:13" s="2" customFormat="1" ht="15.5" thickTop="1" x14ac:dyDescent="0.4">
      <c r="A604" s="2" t="s">
        <v>416</v>
      </c>
      <c r="B604" s="2" t="s">
        <v>417</v>
      </c>
    </row>
    <row r="605" spans="1:13" s="6" customFormat="1" x14ac:dyDescent="0.25">
      <c r="A605" s="4" t="str">
        <f t="array" ref="A605:A612">R_CODE&amp;" "&amp;'Base data'!$B$11</f>
        <v>EU CO2</v>
      </c>
      <c r="B605" s="39">
        <f>'Preventative costs A'!B605-'Preventative costs B'!B605</f>
        <v>0</v>
      </c>
      <c r="C605" s="39">
        <f>'Preventative costs A'!C605-'Preventative costs B'!C605</f>
        <v>0</v>
      </c>
      <c r="D605" s="39">
        <f>'Preventative costs A'!D605-'Preventative costs B'!D605</f>
        <v>0</v>
      </c>
      <c r="E605" s="39">
        <f>'Preventative costs A'!E605-'Preventative costs B'!E605</f>
        <v>0</v>
      </c>
      <c r="F605" s="39">
        <f>'Preventative costs A'!F605-'Preventative costs B'!F605</f>
        <v>0</v>
      </c>
      <c r="G605" s="39">
        <f>'Preventative costs A'!G605-'Preventative costs B'!G605</f>
        <v>0</v>
      </c>
      <c r="H605" s="39">
        <f>'Preventative costs A'!H605-'Preventative costs B'!H605</f>
        <v>0</v>
      </c>
      <c r="I605" s="39">
        <f>'Preventative costs A'!I605-'Preventative costs B'!I605</f>
        <v>0</v>
      </c>
      <c r="J605" s="39">
        <f>'Preventative costs A'!J605-'Preventative costs B'!J605</f>
        <v>0</v>
      </c>
      <c r="K605" s="39">
        <f>'Preventative costs A'!K605-'Preventative costs B'!K605</f>
        <v>0</v>
      </c>
      <c r="M605" s="43" t="str">
        <f t="shared" ref="M605:M612" si="44">CURRENCY_NAME</f>
        <v>$million</v>
      </c>
    </row>
    <row r="606" spans="1:13" s="6" customFormat="1" x14ac:dyDescent="0.25">
      <c r="A606" s="4" t="str">
        <v>US CO2</v>
      </c>
      <c r="B606" s="35">
        <f>'Preventative costs A'!B606-'Preventative costs B'!B606</f>
        <v>0</v>
      </c>
      <c r="C606" s="35">
        <f>'Preventative costs A'!C606-'Preventative costs B'!C606</f>
        <v>0</v>
      </c>
      <c r="D606" s="35">
        <f>'Preventative costs A'!D606-'Preventative costs B'!D606</f>
        <v>0</v>
      </c>
      <c r="E606" s="35">
        <f>'Preventative costs A'!E606-'Preventative costs B'!E606</f>
        <v>0</v>
      </c>
      <c r="F606" s="35">
        <f>'Preventative costs A'!F606-'Preventative costs B'!F606</f>
        <v>0</v>
      </c>
      <c r="G606" s="35">
        <f>'Preventative costs A'!G606-'Preventative costs B'!G606</f>
        <v>0</v>
      </c>
      <c r="H606" s="35">
        <f>'Preventative costs A'!H606-'Preventative costs B'!H606</f>
        <v>0</v>
      </c>
      <c r="I606" s="35">
        <f>'Preventative costs A'!I606-'Preventative costs B'!I606</f>
        <v>0</v>
      </c>
      <c r="J606" s="35">
        <f>'Preventative costs A'!J606-'Preventative costs B'!J606</f>
        <v>0</v>
      </c>
      <c r="K606" s="35">
        <f>'Preventative costs A'!K606-'Preventative costs B'!K606</f>
        <v>0</v>
      </c>
      <c r="M606" s="43" t="str">
        <f t="shared" si="44"/>
        <v>$million</v>
      </c>
    </row>
    <row r="607" spans="1:13" s="6" customFormat="1" x14ac:dyDescent="0.25">
      <c r="A607" s="4" t="str">
        <v>OT CO2</v>
      </c>
      <c r="B607" s="35">
        <f>'Preventative costs A'!B607-'Preventative costs B'!B607</f>
        <v>0</v>
      </c>
      <c r="C607" s="35">
        <f>'Preventative costs A'!C607-'Preventative costs B'!C607</f>
        <v>0</v>
      </c>
      <c r="D607" s="35">
        <f>'Preventative costs A'!D607-'Preventative costs B'!D607</f>
        <v>0</v>
      </c>
      <c r="E607" s="35">
        <f>'Preventative costs A'!E607-'Preventative costs B'!E607</f>
        <v>0</v>
      </c>
      <c r="F607" s="35">
        <f>'Preventative costs A'!F607-'Preventative costs B'!F607</f>
        <v>0</v>
      </c>
      <c r="G607" s="35">
        <f>'Preventative costs A'!G607-'Preventative costs B'!G607</f>
        <v>0</v>
      </c>
      <c r="H607" s="35">
        <f>'Preventative costs A'!H607-'Preventative costs B'!H607</f>
        <v>0</v>
      </c>
      <c r="I607" s="35">
        <f>'Preventative costs A'!I607-'Preventative costs B'!I607</f>
        <v>0</v>
      </c>
      <c r="J607" s="35">
        <f>'Preventative costs A'!J607-'Preventative costs B'!J607</f>
        <v>0</v>
      </c>
      <c r="K607" s="35">
        <f>'Preventative costs A'!K607-'Preventative costs B'!K607</f>
        <v>0</v>
      </c>
      <c r="M607" s="43" t="str">
        <f t="shared" si="44"/>
        <v>$million</v>
      </c>
    </row>
    <row r="608" spans="1:13" s="6" customFormat="1" x14ac:dyDescent="0.25">
      <c r="A608" s="4" t="str">
        <v>EE CO2</v>
      </c>
      <c r="B608" s="35">
        <f>'Preventative costs A'!B608-'Preventative costs B'!B608</f>
        <v>0</v>
      </c>
      <c r="C608" s="35">
        <f>'Preventative costs A'!C608-'Preventative costs B'!C608</f>
        <v>0</v>
      </c>
      <c r="D608" s="35">
        <f>'Preventative costs A'!D608-'Preventative costs B'!D608</f>
        <v>0</v>
      </c>
      <c r="E608" s="35">
        <f>'Preventative costs A'!E608-'Preventative costs B'!E608</f>
        <v>0</v>
      </c>
      <c r="F608" s="35">
        <f>'Preventative costs A'!F608-'Preventative costs B'!F608</f>
        <v>0</v>
      </c>
      <c r="G608" s="35">
        <f>'Preventative costs A'!G608-'Preventative costs B'!G608</f>
        <v>0</v>
      </c>
      <c r="H608" s="35">
        <f>'Preventative costs A'!H608-'Preventative costs B'!H608</f>
        <v>0</v>
      </c>
      <c r="I608" s="35">
        <f>'Preventative costs A'!I608-'Preventative costs B'!I608</f>
        <v>0</v>
      </c>
      <c r="J608" s="35">
        <f>'Preventative costs A'!J608-'Preventative costs B'!J608</f>
        <v>0</v>
      </c>
      <c r="K608" s="35">
        <f>'Preventative costs A'!K608-'Preventative costs B'!K608</f>
        <v>0</v>
      </c>
      <c r="M608" s="43" t="str">
        <f t="shared" si="44"/>
        <v>$million</v>
      </c>
    </row>
    <row r="609" spans="1:13" s="6" customFormat="1" x14ac:dyDescent="0.25">
      <c r="A609" s="4" t="str">
        <v>CA CO2</v>
      </c>
      <c r="B609" s="35">
        <f>'Preventative costs A'!B609-'Preventative costs B'!B609</f>
        <v>0</v>
      </c>
      <c r="C609" s="35">
        <f>'Preventative costs A'!C609-'Preventative costs B'!C609</f>
        <v>0</v>
      </c>
      <c r="D609" s="35">
        <f>'Preventative costs A'!D609-'Preventative costs B'!D609</f>
        <v>0</v>
      </c>
      <c r="E609" s="35">
        <f>'Preventative costs A'!E609-'Preventative costs B'!E609</f>
        <v>0</v>
      </c>
      <c r="F609" s="35">
        <f>'Preventative costs A'!F609-'Preventative costs B'!F609</f>
        <v>0</v>
      </c>
      <c r="G609" s="35">
        <f>'Preventative costs A'!G609-'Preventative costs B'!G609</f>
        <v>0</v>
      </c>
      <c r="H609" s="35">
        <f>'Preventative costs A'!H609-'Preventative costs B'!H609</f>
        <v>0</v>
      </c>
      <c r="I609" s="35">
        <f>'Preventative costs A'!I609-'Preventative costs B'!I609</f>
        <v>0</v>
      </c>
      <c r="J609" s="35">
        <f>'Preventative costs A'!J609-'Preventative costs B'!J609</f>
        <v>0</v>
      </c>
      <c r="K609" s="35">
        <f>'Preventative costs A'!K609-'Preventative costs B'!K609</f>
        <v>0</v>
      </c>
      <c r="M609" s="43" t="str">
        <f t="shared" si="44"/>
        <v>$million</v>
      </c>
    </row>
    <row r="610" spans="1:13" s="6" customFormat="1" x14ac:dyDescent="0.25">
      <c r="A610" s="4" t="str">
        <v>IA CO2</v>
      </c>
      <c r="B610" s="35">
        <f>'Preventative costs A'!B610-'Preventative costs B'!B610</f>
        <v>0</v>
      </c>
      <c r="C610" s="35">
        <f>'Preventative costs A'!C610-'Preventative costs B'!C610</f>
        <v>0</v>
      </c>
      <c r="D610" s="35">
        <f>'Preventative costs A'!D610-'Preventative costs B'!D610</f>
        <v>0</v>
      </c>
      <c r="E610" s="35">
        <f>'Preventative costs A'!E610-'Preventative costs B'!E610</f>
        <v>0</v>
      </c>
      <c r="F610" s="35">
        <f>'Preventative costs A'!F610-'Preventative costs B'!F610</f>
        <v>0</v>
      </c>
      <c r="G610" s="35">
        <f>'Preventative costs A'!G610-'Preventative costs B'!G610</f>
        <v>0</v>
      </c>
      <c r="H610" s="35">
        <f>'Preventative costs A'!H610-'Preventative costs B'!H610</f>
        <v>0</v>
      </c>
      <c r="I610" s="35">
        <f>'Preventative costs A'!I610-'Preventative costs B'!I610</f>
        <v>0</v>
      </c>
      <c r="J610" s="35">
        <f>'Preventative costs A'!J610-'Preventative costs B'!J610</f>
        <v>0</v>
      </c>
      <c r="K610" s="35">
        <f>'Preventative costs A'!K610-'Preventative costs B'!K610</f>
        <v>0</v>
      </c>
      <c r="M610" s="43" t="str">
        <f t="shared" si="44"/>
        <v>$million</v>
      </c>
    </row>
    <row r="611" spans="1:13" s="6" customFormat="1" x14ac:dyDescent="0.25">
      <c r="A611" s="4" t="str">
        <v>AF CO2</v>
      </c>
      <c r="B611" s="35">
        <f>'Preventative costs A'!B611-'Preventative costs B'!B611</f>
        <v>0</v>
      </c>
      <c r="C611" s="35">
        <f>'Preventative costs A'!C611-'Preventative costs B'!C611</f>
        <v>0</v>
      </c>
      <c r="D611" s="35">
        <f>'Preventative costs A'!D611-'Preventative costs B'!D611</f>
        <v>0</v>
      </c>
      <c r="E611" s="35">
        <f>'Preventative costs A'!E611-'Preventative costs B'!E611</f>
        <v>0</v>
      </c>
      <c r="F611" s="35">
        <f>'Preventative costs A'!F611-'Preventative costs B'!F611</f>
        <v>0</v>
      </c>
      <c r="G611" s="35">
        <f>'Preventative costs A'!G611-'Preventative costs B'!G611</f>
        <v>0</v>
      </c>
      <c r="H611" s="35">
        <f>'Preventative costs A'!H611-'Preventative costs B'!H611</f>
        <v>0</v>
      </c>
      <c r="I611" s="35">
        <f>'Preventative costs A'!I611-'Preventative costs B'!I611</f>
        <v>0</v>
      </c>
      <c r="J611" s="35">
        <f>'Preventative costs A'!J611-'Preventative costs B'!J611</f>
        <v>0</v>
      </c>
      <c r="K611" s="35">
        <f>'Preventative costs A'!K611-'Preventative costs B'!K611</f>
        <v>0</v>
      </c>
      <c r="M611" s="43" t="str">
        <f t="shared" si="44"/>
        <v>$million</v>
      </c>
    </row>
    <row r="612" spans="1:13" s="6" customFormat="1" ht="13" thickBot="1" x14ac:dyDescent="0.3">
      <c r="A612" s="4" t="str">
        <v>LA CO2</v>
      </c>
      <c r="B612" s="49">
        <f>'Preventative costs A'!B612-'Preventative costs B'!B612</f>
        <v>0</v>
      </c>
      <c r="C612" s="49">
        <f>'Preventative costs A'!C612-'Preventative costs B'!C612</f>
        <v>0</v>
      </c>
      <c r="D612" s="49">
        <f>'Preventative costs A'!D612-'Preventative costs B'!D612</f>
        <v>0</v>
      </c>
      <c r="E612" s="49">
        <f>'Preventative costs A'!E612-'Preventative costs B'!E612</f>
        <v>0</v>
      </c>
      <c r="F612" s="49">
        <f>'Preventative costs A'!F612-'Preventative costs B'!F612</f>
        <v>0</v>
      </c>
      <c r="G612" s="49">
        <f>'Preventative costs A'!G612-'Preventative costs B'!G612</f>
        <v>0</v>
      </c>
      <c r="H612" s="49">
        <f>'Preventative costs A'!H612-'Preventative costs B'!H612</f>
        <v>0</v>
      </c>
      <c r="I612" s="49">
        <f>'Preventative costs A'!I612-'Preventative costs B'!I612</f>
        <v>0</v>
      </c>
      <c r="J612" s="49">
        <f>'Preventative costs A'!J612-'Preventative costs B'!J612</f>
        <v>0</v>
      </c>
      <c r="K612" s="49">
        <f>'Preventative costs A'!K612-'Preventative costs B'!K612</f>
        <v>0</v>
      </c>
      <c r="M612" s="43" t="str">
        <f t="shared" si="44"/>
        <v>$million</v>
      </c>
    </row>
    <row r="613" spans="1:13" s="2" customFormat="1" ht="15.5" thickTop="1" x14ac:dyDescent="0.4">
      <c r="A613" s="2" t="s">
        <v>416</v>
      </c>
      <c r="B613" s="2" t="s">
        <v>418</v>
      </c>
    </row>
    <row r="614" spans="1:13" s="6" customFormat="1" x14ac:dyDescent="0.25">
      <c r="A614" s="4" t="str">
        <f t="array" ref="A614:A621">R_CODE&amp;" "&amp;'Base data'!$C$11</f>
        <v>EU CH4</v>
      </c>
      <c r="B614" s="39">
        <f>'Preventative costs A'!B614-'Preventative costs B'!B614</f>
        <v>0</v>
      </c>
      <c r="C614" s="39">
        <f>'Preventative costs A'!C614-'Preventative costs B'!C614</f>
        <v>0</v>
      </c>
      <c r="D614" s="39">
        <f>'Preventative costs A'!D614-'Preventative costs B'!D614</f>
        <v>0</v>
      </c>
      <c r="E614" s="39">
        <f>'Preventative costs A'!E614-'Preventative costs B'!E614</f>
        <v>0</v>
      </c>
      <c r="F614" s="39">
        <f>'Preventative costs A'!F614-'Preventative costs B'!F614</f>
        <v>0</v>
      </c>
      <c r="G614" s="39">
        <f>'Preventative costs A'!G614-'Preventative costs B'!G614</f>
        <v>0</v>
      </c>
      <c r="H614" s="39">
        <f>'Preventative costs A'!H614-'Preventative costs B'!H614</f>
        <v>0</v>
      </c>
      <c r="I614" s="39">
        <f>'Preventative costs A'!I614-'Preventative costs B'!I614</f>
        <v>0</v>
      </c>
      <c r="J614" s="39">
        <f>'Preventative costs A'!J614-'Preventative costs B'!J614</f>
        <v>0</v>
      </c>
      <c r="K614" s="39">
        <f>'Preventative costs A'!K614-'Preventative costs B'!K614</f>
        <v>0</v>
      </c>
      <c r="M614" s="43" t="str">
        <f t="shared" ref="M614:M621" si="45">CURRENCY_NAME</f>
        <v>$million</v>
      </c>
    </row>
    <row r="615" spans="1:13" s="6" customFormat="1" x14ac:dyDescent="0.25">
      <c r="A615" s="4" t="str">
        <v>US CH4</v>
      </c>
      <c r="B615" s="35">
        <f>'Preventative costs A'!B615-'Preventative costs B'!B615</f>
        <v>0</v>
      </c>
      <c r="C615" s="35">
        <f>'Preventative costs A'!C615-'Preventative costs B'!C615</f>
        <v>0</v>
      </c>
      <c r="D615" s="35">
        <f>'Preventative costs A'!D615-'Preventative costs B'!D615</f>
        <v>0</v>
      </c>
      <c r="E615" s="35">
        <f>'Preventative costs A'!E615-'Preventative costs B'!E615</f>
        <v>0</v>
      </c>
      <c r="F615" s="35">
        <f>'Preventative costs A'!F615-'Preventative costs B'!F615</f>
        <v>0</v>
      </c>
      <c r="G615" s="35">
        <f>'Preventative costs A'!G615-'Preventative costs B'!G615</f>
        <v>0</v>
      </c>
      <c r="H615" s="35">
        <f>'Preventative costs A'!H615-'Preventative costs B'!H615</f>
        <v>0</v>
      </c>
      <c r="I615" s="35">
        <f>'Preventative costs A'!I615-'Preventative costs B'!I615</f>
        <v>0</v>
      </c>
      <c r="J615" s="35">
        <f>'Preventative costs A'!J615-'Preventative costs B'!J615</f>
        <v>0</v>
      </c>
      <c r="K615" s="35">
        <f>'Preventative costs A'!K615-'Preventative costs B'!K615</f>
        <v>0</v>
      </c>
      <c r="M615" s="43" t="str">
        <f t="shared" si="45"/>
        <v>$million</v>
      </c>
    </row>
    <row r="616" spans="1:13" s="6" customFormat="1" x14ac:dyDescent="0.25">
      <c r="A616" s="4" t="str">
        <v>OT CH4</v>
      </c>
      <c r="B616" s="35">
        <f>'Preventative costs A'!B616-'Preventative costs B'!B616</f>
        <v>0</v>
      </c>
      <c r="C616" s="35">
        <f>'Preventative costs A'!C616-'Preventative costs B'!C616</f>
        <v>0</v>
      </c>
      <c r="D616" s="35">
        <f>'Preventative costs A'!D616-'Preventative costs B'!D616</f>
        <v>0</v>
      </c>
      <c r="E616" s="35">
        <f>'Preventative costs A'!E616-'Preventative costs B'!E616</f>
        <v>0</v>
      </c>
      <c r="F616" s="35">
        <f>'Preventative costs A'!F616-'Preventative costs B'!F616</f>
        <v>0</v>
      </c>
      <c r="G616" s="35">
        <f>'Preventative costs A'!G616-'Preventative costs B'!G616</f>
        <v>0</v>
      </c>
      <c r="H616" s="35">
        <f>'Preventative costs A'!H616-'Preventative costs B'!H616</f>
        <v>0</v>
      </c>
      <c r="I616" s="35">
        <f>'Preventative costs A'!I616-'Preventative costs B'!I616</f>
        <v>0</v>
      </c>
      <c r="J616" s="35">
        <f>'Preventative costs A'!J616-'Preventative costs B'!J616</f>
        <v>0</v>
      </c>
      <c r="K616" s="35">
        <f>'Preventative costs A'!K616-'Preventative costs B'!K616</f>
        <v>0</v>
      </c>
      <c r="M616" s="43" t="str">
        <f t="shared" si="45"/>
        <v>$million</v>
      </c>
    </row>
    <row r="617" spans="1:13" s="6" customFormat="1" x14ac:dyDescent="0.25">
      <c r="A617" s="4" t="str">
        <v>EE CH4</v>
      </c>
      <c r="B617" s="35">
        <f>'Preventative costs A'!B617-'Preventative costs B'!B617</f>
        <v>0</v>
      </c>
      <c r="C617" s="35">
        <f>'Preventative costs A'!C617-'Preventative costs B'!C617</f>
        <v>0</v>
      </c>
      <c r="D617" s="35">
        <f>'Preventative costs A'!D617-'Preventative costs B'!D617</f>
        <v>0</v>
      </c>
      <c r="E617" s="35">
        <f>'Preventative costs A'!E617-'Preventative costs B'!E617</f>
        <v>0</v>
      </c>
      <c r="F617" s="35">
        <f>'Preventative costs A'!F617-'Preventative costs B'!F617</f>
        <v>0</v>
      </c>
      <c r="G617" s="35">
        <f>'Preventative costs A'!G617-'Preventative costs B'!G617</f>
        <v>0</v>
      </c>
      <c r="H617" s="35">
        <f>'Preventative costs A'!H617-'Preventative costs B'!H617</f>
        <v>0</v>
      </c>
      <c r="I617" s="35">
        <f>'Preventative costs A'!I617-'Preventative costs B'!I617</f>
        <v>0</v>
      </c>
      <c r="J617" s="35">
        <f>'Preventative costs A'!J617-'Preventative costs B'!J617</f>
        <v>0</v>
      </c>
      <c r="K617" s="35">
        <f>'Preventative costs A'!K617-'Preventative costs B'!K617</f>
        <v>0</v>
      </c>
      <c r="M617" s="43" t="str">
        <f t="shared" si="45"/>
        <v>$million</v>
      </c>
    </row>
    <row r="618" spans="1:13" s="6" customFormat="1" x14ac:dyDescent="0.25">
      <c r="A618" s="4" t="str">
        <v>CA CH4</v>
      </c>
      <c r="B618" s="35">
        <f>'Preventative costs A'!B618-'Preventative costs B'!B618</f>
        <v>0</v>
      </c>
      <c r="C618" s="35">
        <f>'Preventative costs A'!C618-'Preventative costs B'!C618</f>
        <v>0</v>
      </c>
      <c r="D618" s="35">
        <f>'Preventative costs A'!D618-'Preventative costs B'!D618</f>
        <v>0</v>
      </c>
      <c r="E618" s="35">
        <f>'Preventative costs A'!E618-'Preventative costs B'!E618</f>
        <v>0</v>
      </c>
      <c r="F618" s="35">
        <f>'Preventative costs A'!F618-'Preventative costs B'!F618</f>
        <v>0</v>
      </c>
      <c r="G618" s="35">
        <f>'Preventative costs A'!G618-'Preventative costs B'!G618</f>
        <v>0</v>
      </c>
      <c r="H618" s="35">
        <f>'Preventative costs A'!H618-'Preventative costs B'!H618</f>
        <v>0</v>
      </c>
      <c r="I618" s="35">
        <f>'Preventative costs A'!I618-'Preventative costs B'!I618</f>
        <v>0</v>
      </c>
      <c r="J618" s="35">
        <f>'Preventative costs A'!J618-'Preventative costs B'!J618</f>
        <v>0</v>
      </c>
      <c r="K618" s="35">
        <f>'Preventative costs A'!K618-'Preventative costs B'!K618</f>
        <v>0</v>
      </c>
      <c r="M618" s="43" t="str">
        <f t="shared" si="45"/>
        <v>$million</v>
      </c>
    </row>
    <row r="619" spans="1:13" s="6" customFormat="1" x14ac:dyDescent="0.25">
      <c r="A619" s="4" t="str">
        <v>IA CH4</v>
      </c>
      <c r="B619" s="35">
        <f>'Preventative costs A'!B619-'Preventative costs B'!B619</f>
        <v>0</v>
      </c>
      <c r="C619" s="35">
        <f>'Preventative costs A'!C619-'Preventative costs B'!C619</f>
        <v>0</v>
      </c>
      <c r="D619" s="35">
        <f>'Preventative costs A'!D619-'Preventative costs B'!D619</f>
        <v>0</v>
      </c>
      <c r="E619" s="35">
        <f>'Preventative costs A'!E619-'Preventative costs B'!E619</f>
        <v>0</v>
      </c>
      <c r="F619" s="35">
        <f>'Preventative costs A'!F619-'Preventative costs B'!F619</f>
        <v>0</v>
      </c>
      <c r="G619" s="35">
        <f>'Preventative costs A'!G619-'Preventative costs B'!G619</f>
        <v>0</v>
      </c>
      <c r="H619" s="35">
        <f>'Preventative costs A'!H619-'Preventative costs B'!H619</f>
        <v>0</v>
      </c>
      <c r="I619" s="35">
        <f>'Preventative costs A'!I619-'Preventative costs B'!I619</f>
        <v>0</v>
      </c>
      <c r="J619" s="35">
        <f>'Preventative costs A'!J619-'Preventative costs B'!J619</f>
        <v>0</v>
      </c>
      <c r="K619" s="35">
        <f>'Preventative costs A'!K619-'Preventative costs B'!K619</f>
        <v>0</v>
      </c>
      <c r="M619" s="43" t="str">
        <f t="shared" si="45"/>
        <v>$million</v>
      </c>
    </row>
    <row r="620" spans="1:13" s="6" customFormat="1" x14ac:dyDescent="0.25">
      <c r="A620" s="4" t="str">
        <v>AF CH4</v>
      </c>
      <c r="B620" s="35">
        <f>'Preventative costs A'!B620-'Preventative costs B'!B620</f>
        <v>0</v>
      </c>
      <c r="C620" s="35">
        <f>'Preventative costs A'!C620-'Preventative costs B'!C620</f>
        <v>0</v>
      </c>
      <c r="D620" s="35">
        <f>'Preventative costs A'!D620-'Preventative costs B'!D620</f>
        <v>0</v>
      </c>
      <c r="E620" s="35">
        <f>'Preventative costs A'!E620-'Preventative costs B'!E620</f>
        <v>0</v>
      </c>
      <c r="F620" s="35">
        <f>'Preventative costs A'!F620-'Preventative costs B'!F620</f>
        <v>0</v>
      </c>
      <c r="G620" s="35">
        <f>'Preventative costs A'!G620-'Preventative costs B'!G620</f>
        <v>0</v>
      </c>
      <c r="H620" s="35">
        <f>'Preventative costs A'!H620-'Preventative costs B'!H620</f>
        <v>0</v>
      </c>
      <c r="I620" s="35">
        <f>'Preventative costs A'!I620-'Preventative costs B'!I620</f>
        <v>0</v>
      </c>
      <c r="J620" s="35">
        <f>'Preventative costs A'!J620-'Preventative costs B'!J620</f>
        <v>0</v>
      </c>
      <c r="K620" s="35">
        <f>'Preventative costs A'!K620-'Preventative costs B'!K620</f>
        <v>0</v>
      </c>
      <c r="M620" s="43" t="str">
        <f t="shared" si="45"/>
        <v>$million</v>
      </c>
    </row>
    <row r="621" spans="1:13" s="6" customFormat="1" ht="13" thickBot="1" x14ac:dyDescent="0.3">
      <c r="A621" s="4" t="str">
        <v>LA CH4</v>
      </c>
      <c r="B621" s="49">
        <f>'Preventative costs A'!B621-'Preventative costs B'!B621</f>
        <v>0</v>
      </c>
      <c r="C621" s="49">
        <f>'Preventative costs A'!C621-'Preventative costs B'!C621</f>
        <v>0</v>
      </c>
      <c r="D621" s="49">
        <f>'Preventative costs A'!D621-'Preventative costs B'!D621</f>
        <v>0</v>
      </c>
      <c r="E621" s="49">
        <f>'Preventative costs A'!E621-'Preventative costs B'!E621</f>
        <v>0</v>
      </c>
      <c r="F621" s="49">
        <f>'Preventative costs A'!F621-'Preventative costs B'!F621</f>
        <v>0</v>
      </c>
      <c r="G621" s="49">
        <f>'Preventative costs A'!G621-'Preventative costs B'!G621</f>
        <v>0</v>
      </c>
      <c r="H621" s="49">
        <f>'Preventative costs A'!H621-'Preventative costs B'!H621</f>
        <v>0</v>
      </c>
      <c r="I621" s="49">
        <f>'Preventative costs A'!I621-'Preventative costs B'!I621</f>
        <v>0</v>
      </c>
      <c r="J621" s="49">
        <f>'Preventative costs A'!J621-'Preventative costs B'!J621</f>
        <v>0</v>
      </c>
      <c r="K621" s="49">
        <f>'Preventative costs A'!K621-'Preventative costs B'!K621</f>
        <v>0</v>
      </c>
      <c r="M621" s="43" t="str">
        <f t="shared" si="45"/>
        <v>$million</v>
      </c>
    </row>
    <row r="622" spans="1:13" s="2" customFormat="1" ht="15.5" thickTop="1" x14ac:dyDescent="0.4">
      <c r="A622" s="2" t="s">
        <v>416</v>
      </c>
      <c r="B622" s="2" t="s">
        <v>419</v>
      </c>
    </row>
    <row r="623" spans="1:13" s="7" customFormat="1" x14ac:dyDescent="0.25">
      <c r="A623" s="4" t="str">
        <f t="array" ref="A623:A630">R_CODE&amp;" "&amp;'Base data'!$D$11</f>
        <v>EU N2O</v>
      </c>
      <c r="B623" s="39">
        <f>'Preventative costs A'!B623-'Preventative costs B'!B623</f>
        <v>0</v>
      </c>
      <c r="C623" s="39">
        <f>'Preventative costs A'!C623-'Preventative costs B'!C623</f>
        <v>0</v>
      </c>
      <c r="D623" s="39">
        <f>'Preventative costs A'!D623-'Preventative costs B'!D623</f>
        <v>0</v>
      </c>
      <c r="E623" s="39">
        <f>'Preventative costs A'!E623-'Preventative costs B'!E623</f>
        <v>0</v>
      </c>
      <c r="F623" s="39">
        <f>'Preventative costs A'!F623-'Preventative costs B'!F623</f>
        <v>0</v>
      </c>
      <c r="G623" s="39">
        <f>'Preventative costs A'!G623-'Preventative costs B'!G623</f>
        <v>0</v>
      </c>
      <c r="H623" s="39">
        <f>'Preventative costs A'!H623-'Preventative costs B'!H623</f>
        <v>0</v>
      </c>
      <c r="I623" s="39">
        <f>'Preventative costs A'!I623-'Preventative costs B'!I623</f>
        <v>0</v>
      </c>
      <c r="J623" s="39">
        <f>'Preventative costs A'!J623-'Preventative costs B'!J623</f>
        <v>0</v>
      </c>
      <c r="K623" s="39">
        <f>'Preventative costs A'!K623-'Preventative costs B'!K623</f>
        <v>0</v>
      </c>
      <c r="M623" s="43" t="str">
        <f t="shared" ref="M623:M630" si="46">CURRENCY_NAME</f>
        <v>$million</v>
      </c>
    </row>
    <row r="624" spans="1:13" s="7" customFormat="1" x14ac:dyDescent="0.25">
      <c r="A624" s="4" t="str">
        <v>US N2O</v>
      </c>
      <c r="B624" s="35">
        <f>'Preventative costs A'!B624-'Preventative costs B'!B624</f>
        <v>0</v>
      </c>
      <c r="C624" s="35">
        <f>'Preventative costs A'!C624-'Preventative costs B'!C624</f>
        <v>0</v>
      </c>
      <c r="D624" s="35">
        <f>'Preventative costs A'!D624-'Preventative costs B'!D624</f>
        <v>0</v>
      </c>
      <c r="E624" s="35">
        <f>'Preventative costs A'!E624-'Preventative costs B'!E624</f>
        <v>0</v>
      </c>
      <c r="F624" s="35">
        <f>'Preventative costs A'!F624-'Preventative costs B'!F624</f>
        <v>0</v>
      </c>
      <c r="G624" s="35">
        <f>'Preventative costs A'!G624-'Preventative costs B'!G624</f>
        <v>0</v>
      </c>
      <c r="H624" s="35">
        <f>'Preventative costs A'!H624-'Preventative costs B'!H624</f>
        <v>0</v>
      </c>
      <c r="I624" s="35">
        <f>'Preventative costs A'!I624-'Preventative costs B'!I624</f>
        <v>0</v>
      </c>
      <c r="J624" s="35">
        <f>'Preventative costs A'!J624-'Preventative costs B'!J624</f>
        <v>0</v>
      </c>
      <c r="K624" s="35">
        <f>'Preventative costs A'!K624-'Preventative costs B'!K624</f>
        <v>0</v>
      </c>
      <c r="M624" s="43" t="str">
        <f t="shared" si="46"/>
        <v>$million</v>
      </c>
    </row>
    <row r="625" spans="1:13" s="7" customFormat="1" x14ac:dyDescent="0.25">
      <c r="A625" s="4" t="str">
        <v>OT N2O</v>
      </c>
      <c r="B625" s="35">
        <f>'Preventative costs A'!B625-'Preventative costs B'!B625</f>
        <v>0</v>
      </c>
      <c r="C625" s="35">
        <f>'Preventative costs A'!C625-'Preventative costs B'!C625</f>
        <v>0</v>
      </c>
      <c r="D625" s="35">
        <f>'Preventative costs A'!D625-'Preventative costs B'!D625</f>
        <v>0</v>
      </c>
      <c r="E625" s="35">
        <f>'Preventative costs A'!E625-'Preventative costs B'!E625</f>
        <v>0</v>
      </c>
      <c r="F625" s="35">
        <f>'Preventative costs A'!F625-'Preventative costs B'!F625</f>
        <v>0</v>
      </c>
      <c r="G625" s="35">
        <f>'Preventative costs A'!G625-'Preventative costs B'!G625</f>
        <v>0</v>
      </c>
      <c r="H625" s="35">
        <f>'Preventative costs A'!H625-'Preventative costs B'!H625</f>
        <v>0</v>
      </c>
      <c r="I625" s="35">
        <f>'Preventative costs A'!I625-'Preventative costs B'!I625</f>
        <v>0</v>
      </c>
      <c r="J625" s="35">
        <f>'Preventative costs A'!J625-'Preventative costs B'!J625</f>
        <v>0</v>
      </c>
      <c r="K625" s="35">
        <f>'Preventative costs A'!K625-'Preventative costs B'!K625</f>
        <v>0</v>
      </c>
      <c r="M625" s="43" t="str">
        <f t="shared" si="46"/>
        <v>$million</v>
      </c>
    </row>
    <row r="626" spans="1:13" s="7" customFormat="1" x14ac:dyDescent="0.25">
      <c r="A626" s="4" t="str">
        <v>EE N2O</v>
      </c>
      <c r="B626" s="35">
        <f>'Preventative costs A'!B626-'Preventative costs B'!B626</f>
        <v>0</v>
      </c>
      <c r="C626" s="35">
        <f>'Preventative costs A'!C626-'Preventative costs B'!C626</f>
        <v>0</v>
      </c>
      <c r="D626" s="35">
        <f>'Preventative costs A'!D626-'Preventative costs B'!D626</f>
        <v>0</v>
      </c>
      <c r="E626" s="35">
        <f>'Preventative costs A'!E626-'Preventative costs B'!E626</f>
        <v>0</v>
      </c>
      <c r="F626" s="35">
        <f>'Preventative costs A'!F626-'Preventative costs B'!F626</f>
        <v>0</v>
      </c>
      <c r="G626" s="35">
        <f>'Preventative costs A'!G626-'Preventative costs B'!G626</f>
        <v>0</v>
      </c>
      <c r="H626" s="35">
        <f>'Preventative costs A'!H626-'Preventative costs B'!H626</f>
        <v>0</v>
      </c>
      <c r="I626" s="35">
        <f>'Preventative costs A'!I626-'Preventative costs B'!I626</f>
        <v>0</v>
      </c>
      <c r="J626" s="35">
        <f>'Preventative costs A'!J626-'Preventative costs B'!J626</f>
        <v>0</v>
      </c>
      <c r="K626" s="35">
        <f>'Preventative costs A'!K626-'Preventative costs B'!K626</f>
        <v>0</v>
      </c>
      <c r="M626" s="43" t="str">
        <f t="shared" si="46"/>
        <v>$million</v>
      </c>
    </row>
    <row r="627" spans="1:13" s="7" customFormat="1" x14ac:dyDescent="0.25">
      <c r="A627" s="4" t="str">
        <v>CA N2O</v>
      </c>
      <c r="B627" s="35">
        <f>'Preventative costs A'!B627-'Preventative costs B'!B627</f>
        <v>0</v>
      </c>
      <c r="C627" s="35">
        <f>'Preventative costs A'!C627-'Preventative costs B'!C627</f>
        <v>0</v>
      </c>
      <c r="D627" s="35">
        <f>'Preventative costs A'!D627-'Preventative costs B'!D627</f>
        <v>0</v>
      </c>
      <c r="E627" s="35">
        <f>'Preventative costs A'!E627-'Preventative costs B'!E627</f>
        <v>0</v>
      </c>
      <c r="F627" s="35">
        <f>'Preventative costs A'!F627-'Preventative costs B'!F627</f>
        <v>0</v>
      </c>
      <c r="G627" s="35">
        <f>'Preventative costs A'!G627-'Preventative costs B'!G627</f>
        <v>0</v>
      </c>
      <c r="H627" s="35">
        <f>'Preventative costs A'!H627-'Preventative costs B'!H627</f>
        <v>0</v>
      </c>
      <c r="I627" s="35">
        <f>'Preventative costs A'!I627-'Preventative costs B'!I627</f>
        <v>0</v>
      </c>
      <c r="J627" s="35">
        <f>'Preventative costs A'!J627-'Preventative costs B'!J627</f>
        <v>0</v>
      </c>
      <c r="K627" s="35">
        <f>'Preventative costs A'!K627-'Preventative costs B'!K627</f>
        <v>0</v>
      </c>
      <c r="M627" s="43" t="str">
        <f t="shared" si="46"/>
        <v>$million</v>
      </c>
    </row>
    <row r="628" spans="1:13" s="7" customFormat="1" x14ac:dyDescent="0.25">
      <c r="A628" s="4" t="str">
        <v>IA N2O</v>
      </c>
      <c r="B628" s="35">
        <f>'Preventative costs A'!B628-'Preventative costs B'!B628</f>
        <v>0</v>
      </c>
      <c r="C628" s="35">
        <f>'Preventative costs A'!C628-'Preventative costs B'!C628</f>
        <v>0</v>
      </c>
      <c r="D628" s="35">
        <f>'Preventative costs A'!D628-'Preventative costs B'!D628</f>
        <v>0</v>
      </c>
      <c r="E628" s="35">
        <f>'Preventative costs A'!E628-'Preventative costs B'!E628</f>
        <v>0</v>
      </c>
      <c r="F628" s="35">
        <f>'Preventative costs A'!F628-'Preventative costs B'!F628</f>
        <v>0</v>
      </c>
      <c r="G628" s="35">
        <f>'Preventative costs A'!G628-'Preventative costs B'!G628</f>
        <v>0</v>
      </c>
      <c r="H628" s="35">
        <f>'Preventative costs A'!H628-'Preventative costs B'!H628</f>
        <v>0</v>
      </c>
      <c r="I628" s="35">
        <f>'Preventative costs A'!I628-'Preventative costs B'!I628</f>
        <v>0</v>
      </c>
      <c r="J628" s="35">
        <f>'Preventative costs A'!J628-'Preventative costs B'!J628</f>
        <v>0</v>
      </c>
      <c r="K628" s="35">
        <f>'Preventative costs A'!K628-'Preventative costs B'!K628</f>
        <v>0</v>
      </c>
      <c r="M628" s="43" t="str">
        <f t="shared" si="46"/>
        <v>$million</v>
      </c>
    </row>
    <row r="629" spans="1:13" s="7" customFormat="1" x14ac:dyDescent="0.25">
      <c r="A629" s="4" t="str">
        <v>AF N2O</v>
      </c>
      <c r="B629" s="35">
        <f>'Preventative costs A'!B629-'Preventative costs B'!B629</f>
        <v>0</v>
      </c>
      <c r="C629" s="35">
        <f>'Preventative costs A'!C629-'Preventative costs B'!C629</f>
        <v>0</v>
      </c>
      <c r="D629" s="35">
        <f>'Preventative costs A'!D629-'Preventative costs B'!D629</f>
        <v>0</v>
      </c>
      <c r="E629" s="35">
        <f>'Preventative costs A'!E629-'Preventative costs B'!E629</f>
        <v>0</v>
      </c>
      <c r="F629" s="35">
        <f>'Preventative costs A'!F629-'Preventative costs B'!F629</f>
        <v>0</v>
      </c>
      <c r="G629" s="35">
        <f>'Preventative costs A'!G629-'Preventative costs B'!G629</f>
        <v>0</v>
      </c>
      <c r="H629" s="35">
        <f>'Preventative costs A'!H629-'Preventative costs B'!H629</f>
        <v>0</v>
      </c>
      <c r="I629" s="35">
        <f>'Preventative costs A'!I629-'Preventative costs B'!I629</f>
        <v>0</v>
      </c>
      <c r="J629" s="35">
        <f>'Preventative costs A'!J629-'Preventative costs B'!J629</f>
        <v>0</v>
      </c>
      <c r="K629" s="35">
        <f>'Preventative costs A'!K629-'Preventative costs B'!K629</f>
        <v>0</v>
      </c>
      <c r="M629" s="43" t="str">
        <f t="shared" si="46"/>
        <v>$million</v>
      </c>
    </row>
    <row r="630" spans="1:13" s="7" customFormat="1" ht="13" thickBot="1" x14ac:dyDescent="0.3">
      <c r="A630" s="4" t="str">
        <v>LA N2O</v>
      </c>
      <c r="B630" s="49">
        <f>'Preventative costs A'!B630-'Preventative costs B'!B630</f>
        <v>0</v>
      </c>
      <c r="C630" s="49">
        <f>'Preventative costs A'!C630-'Preventative costs B'!C630</f>
        <v>0</v>
      </c>
      <c r="D630" s="49">
        <f>'Preventative costs A'!D630-'Preventative costs B'!D630</f>
        <v>0</v>
      </c>
      <c r="E630" s="49">
        <f>'Preventative costs A'!E630-'Preventative costs B'!E630</f>
        <v>0</v>
      </c>
      <c r="F630" s="49">
        <f>'Preventative costs A'!F630-'Preventative costs B'!F630</f>
        <v>0</v>
      </c>
      <c r="G630" s="49">
        <f>'Preventative costs A'!G630-'Preventative costs B'!G630</f>
        <v>0</v>
      </c>
      <c r="H630" s="49">
        <f>'Preventative costs A'!H630-'Preventative costs B'!H630</f>
        <v>0</v>
      </c>
      <c r="I630" s="49">
        <f>'Preventative costs A'!I630-'Preventative costs B'!I630</f>
        <v>0</v>
      </c>
      <c r="J630" s="49">
        <f>'Preventative costs A'!J630-'Preventative costs B'!J630</f>
        <v>0</v>
      </c>
      <c r="K630" s="49">
        <f>'Preventative costs A'!K630-'Preventative costs B'!K630</f>
        <v>0</v>
      </c>
      <c r="M630" s="43" t="str">
        <f t="shared" si="46"/>
        <v>$million</v>
      </c>
    </row>
    <row r="631" spans="1:13" s="2" customFormat="1" ht="15.5" thickTop="1" x14ac:dyDescent="0.4">
      <c r="A631" s="2" t="s">
        <v>416</v>
      </c>
      <c r="B631" s="2" t="s">
        <v>420</v>
      </c>
    </row>
    <row r="632" spans="1:13" s="7" customFormat="1" x14ac:dyDescent="0.25">
      <c r="A632" s="4" t="str">
        <f t="array" ref="A632:A639">R_CODE&amp;" "&amp;GLIN_NAME</f>
        <v>EU Lin</v>
      </c>
      <c r="B632" s="39">
        <f>'Preventative costs A'!B632-'Preventative costs B'!B632</f>
        <v>0</v>
      </c>
      <c r="C632" s="39">
        <f>'Preventative costs A'!C632-'Preventative costs B'!C632</f>
        <v>0</v>
      </c>
      <c r="D632" s="39">
        <f>'Preventative costs A'!D632-'Preventative costs B'!D632</f>
        <v>0</v>
      </c>
      <c r="E632" s="39">
        <f>'Preventative costs A'!E632-'Preventative costs B'!E632</f>
        <v>0</v>
      </c>
      <c r="F632" s="39">
        <f>'Preventative costs A'!F632-'Preventative costs B'!F632</f>
        <v>0</v>
      </c>
      <c r="G632" s="39">
        <f>'Preventative costs A'!G632-'Preventative costs B'!G632</f>
        <v>0</v>
      </c>
      <c r="H632" s="39">
        <f>'Preventative costs A'!H632-'Preventative costs B'!H632</f>
        <v>0</v>
      </c>
      <c r="I632" s="39">
        <f>'Preventative costs A'!I632-'Preventative costs B'!I632</f>
        <v>0</v>
      </c>
      <c r="J632" s="39">
        <f>'Preventative costs A'!J632-'Preventative costs B'!J632</f>
        <v>0</v>
      </c>
      <c r="K632" s="39">
        <f>'Preventative costs A'!K632-'Preventative costs B'!K632</f>
        <v>0</v>
      </c>
      <c r="M632" s="43" t="str">
        <f t="shared" ref="M632:M639" si="47">CURRENCY_NAME</f>
        <v>$million</v>
      </c>
    </row>
    <row r="633" spans="1:13" s="7" customFormat="1" x14ac:dyDescent="0.25">
      <c r="A633" s="4" t="str">
        <v>US Lin</v>
      </c>
      <c r="B633" s="35">
        <f>'Preventative costs A'!B633-'Preventative costs B'!B633</f>
        <v>0</v>
      </c>
      <c r="C633" s="35">
        <f>'Preventative costs A'!C633-'Preventative costs B'!C633</f>
        <v>0</v>
      </c>
      <c r="D633" s="35">
        <f>'Preventative costs A'!D633-'Preventative costs B'!D633</f>
        <v>0</v>
      </c>
      <c r="E633" s="35">
        <f>'Preventative costs A'!E633-'Preventative costs B'!E633</f>
        <v>0</v>
      </c>
      <c r="F633" s="35">
        <f>'Preventative costs A'!F633-'Preventative costs B'!F633</f>
        <v>0</v>
      </c>
      <c r="G633" s="35">
        <f>'Preventative costs A'!G633-'Preventative costs B'!G633</f>
        <v>0</v>
      </c>
      <c r="H633" s="35">
        <f>'Preventative costs A'!H633-'Preventative costs B'!H633</f>
        <v>0</v>
      </c>
      <c r="I633" s="35">
        <f>'Preventative costs A'!I633-'Preventative costs B'!I633</f>
        <v>0</v>
      </c>
      <c r="J633" s="35">
        <f>'Preventative costs A'!J633-'Preventative costs B'!J633</f>
        <v>0</v>
      </c>
      <c r="K633" s="35">
        <f>'Preventative costs A'!K633-'Preventative costs B'!K633</f>
        <v>0</v>
      </c>
      <c r="M633" s="43" t="str">
        <f t="shared" si="47"/>
        <v>$million</v>
      </c>
    </row>
    <row r="634" spans="1:13" s="7" customFormat="1" x14ac:dyDescent="0.25">
      <c r="A634" s="4" t="str">
        <v>OT Lin</v>
      </c>
      <c r="B634" s="35">
        <f>'Preventative costs A'!B634-'Preventative costs B'!B634</f>
        <v>0</v>
      </c>
      <c r="C634" s="35">
        <f>'Preventative costs A'!C634-'Preventative costs B'!C634</f>
        <v>0</v>
      </c>
      <c r="D634" s="35">
        <f>'Preventative costs A'!D634-'Preventative costs B'!D634</f>
        <v>0</v>
      </c>
      <c r="E634" s="35">
        <f>'Preventative costs A'!E634-'Preventative costs B'!E634</f>
        <v>0</v>
      </c>
      <c r="F634" s="35">
        <f>'Preventative costs A'!F634-'Preventative costs B'!F634</f>
        <v>0</v>
      </c>
      <c r="G634" s="35">
        <f>'Preventative costs A'!G634-'Preventative costs B'!G634</f>
        <v>0</v>
      </c>
      <c r="H634" s="35">
        <f>'Preventative costs A'!H634-'Preventative costs B'!H634</f>
        <v>0</v>
      </c>
      <c r="I634" s="35">
        <f>'Preventative costs A'!I634-'Preventative costs B'!I634</f>
        <v>0</v>
      </c>
      <c r="J634" s="35">
        <f>'Preventative costs A'!J634-'Preventative costs B'!J634</f>
        <v>0</v>
      </c>
      <c r="K634" s="35">
        <f>'Preventative costs A'!K634-'Preventative costs B'!K634</f>
        <v>0</v>
      </c>
      <c r="M634" s="43" t="str">
        <f t="shared" si="47"/>
        <v>$million</v>
      </c>
    </row>
    <row r="635" spans="1:13" s="7" customFormat="1" x14ac:dyDescent="0.25">
      <c r="A635" s="4" t="str">
        <v>EE Lin</v>
      </c>
      <c r="B635" s="35">
        <f>'Preventative costs A'!B635-'Preventative costs B'!B635</f>
        <v>0</v>
      </c>
      <c r="C635" s="35">
        <f>'Preventative costs A'!C635-'Preventative costs B'!C635</f>
        <v>0</v>
      </c>
      <c r="D635" s="35">
        <f>'Preventative costs A'!D635-'Preventative costs B'!D635</f>
        <v>0</v>
      </c>
      <c r="E635" s="35">
        <f>'Preventative costs A'!E635-'Preventative costs B'!E635</f>
        <v>0</v>
      </c>
      <c r="F635" s="35">
        <f>'Preventative costs A'!F635-'Preventative costs B'!F635</f>
        <v>0</v>
      </c>
      <c r="G635" s="35">
        <f>'Preventative costs A'!G635-'Preventative costs B'!G635</f>
        <v>0</v>
      </c>
      <c r="H635" s="35">
        <f>'Preventative costs A'!H635-'Preventative costs B'!H635</f>
        <v>0</v>
      </c>
      <c r="I635" s="35">
        <f>'Preventative costs A'!I635-'Preventative costs B'!I635</f>
        <v>0</v>
      </c>
      <c r="J635" s="35">
        <f>'Preventative costs A'!J635-'Preventative costs B'!J635</f>
        <v>0</v>
      </c>
      <c r="K635" s="35">
        <f>'Preventative costs A'!K635-'Preventative costs B'!K635</f>
        <v>0</v>
      </c>
      <c r="M635" s="43" t="str">
        <f t="shared" si="47"/>
        <v>$million</v>
      </c>
    </row>
    <row r="636" spans="1:13" s="7" customFormat="1" x14ac:dyDescent="0.25">
      <c r="A636" s="4" t="str">
        <v>CA Lin</v>
      </c>
      <c r="B636" s="35">
        <f>'Preventative costs A'!B636-'Preventative costs B'!B636</f>
        <v>0</v>
      </c>
      <c r="C636" s="35">
        <f>'Preventative costs A'!C636-'Preventative costs B'!C636</f>
        <v>0</v>
      </c>
      <c r="D636" s="35">
        <f>'Preventative costs A'!D636-'Preventative costs B'!D636</f>
        <v>0</v>
      </c>
      <c r="E636" s="35">
        <f>'Preventative costs A'!E636-'Preventative costs B'!E636</f>
        <v>0</v>
      </c>
      <c r="F636" s="35">
        <f>'Preventative costs A'!F636-'Preventative costs B'!F636</f>
        <v>0</v>
      </c>
      <c r="G636" s="35">
        <f>'Preventative costs A'!G636-'Preventative costs B'!G636</f>
        <v>0</v>
      </c>
      <c r="H636" s="35">
        <f>'Preventative costs A'!H636-'Preventative costs B'!H636</f>
        <v>0</v>
      </c>
      <c r="I636" s="35">
        <f>'Preventative costs A'!I636-'Preventative costs B'!I636</f>
        <v>0</v>
      </c>
      <c r="J636" s="35">
        <f>'Preventative costs A'!J636-'Preventative costs B'!J636</f>
        <v>0</v>
      </c>
      <c r="K636" s="35">
        <f>'Preventative costs A'!K636-'Preventative costs B'!K636</f>
        <v>0</v>
      </c>
      <c r="M636" s="43" t="str">
        <f t="shared" si="47"/>
        <v>$million</v>
      </c>
    </row>
    <row r="637" spans="1:13" s="7" customFormat="1" x14ac:dyDescent="0.25">
      <c r="A637" s="4" t="str">
        <v>IA Lin</v>
      </c>
      <c r="B637" s="35">
        <f>'Preventative costs A'!B637-'Preventative costs B'!B637</f>
        <v>0</v>
      </c>
      <c r="C637" s="35">
        <f>'Preventative costs A'!C637-'Preventative costs B'!C637</f>
        <v>0</v>
      </c>
      <c r="D637" s="35">
        <f>'Preventative costs A'!D637-'Preventative costs B'!D637</f>
        <v>0</v>
      </c>
      <c r="E637" s="35">
        <f>'Preventative costs A'!E637-'Preventative costs B'!E637</f>
        <v>0</v>
      </c>
      <c r="F637" s="35">
        <f>'Preventative costs A'!F637-'Preventative costs B'!F637</f>
        <v>0</v>
      </c>
      <c r="G637" s="35">
        <f>'Preventative costs A'!G637-'Preventative costs B'!G637</f>
        <v>0</v>
      </c>
      <c r="H637" s="35">
        <f>'Preventative costs A'!H637-'Preventative costs B'!H637</f>
        <v>0</v>
      </c>
      <c r="I637" s="35">
        <f>'Preventative costs A'!I637-'Preventative costs B'!I637</f>
        <v>0</v>
      </c>
      <c r="J637" s="35">
        <f>'Preventative costs A'!J637-'Preventative costs B'!J637</f>
        <v>0</v>
      </c>
      <c r="K637" s="35">
        <f>'Preventative costs A'!K637-'Preventative costs B'!K637</f>
        <v>0</v>
      </c>
      <c r="M637" s="43" t="str">
        <f t="shared" si="47"/>
        <v>$million</v>
      </c>
    </row>
    <row r="638" spans="1:13" s="7" customFormat="1" x14ac:dyDescent="0.25">
      <c r="A638" s="4" t="str">
        <v>AF Lin</v>
      </c>
      <c r="B638" s="35">
        <f>'Preventative costs A'!B638-'Preventative costs B'!B638</f>
        <v>0</v>
      </c>
      <c r="C638" s="35">
        <f>'Preventative costs A'!C638-'Preventative costs B'!C638</f>
        <v>0</v>
      </c>
      <c r="D638" s="35">
        <f>'Preventative costs A'!D638-'Preventative costs B'!D638</f>
        <v>0</v>
      </c>
      <c r="E638" s="35">
        <f>'Preventative costs A'!E638-'Preventative costs B'!E638</f>
        <v>0</v>
      </c>
      <c r="F638" s="35">
        <f>'Preventative costs A'!F638-'Preventative costs B'!F638</f>
        <v>0</v>
      </c>
      <c r="G638" s="35">
        <f>'Preventative costs A'!G638-'Preventative costs B'!G638</f>
        <v>0</v>
      </c>
      <c r="H638" s="35">
        <f>'Preventative costs A'!H638-'Preventative costs B'!H638</f>
        <v>0</v>
      </c>
      <c r="I638" s="35">
        <f>'Preventative costs A'!I638-'Preventative costs B'!I638</f>
        <v>0</v>
      </c>
      <c r="J638" s="35">
        <f>'Preventative costs A'!J638-'Preventative costs B'!J638</f>
        <v>0</v>
      </c>
      <c r="K638" s="35">
        <f>'Preventative costs A'!K638-'Preventative costs B'!K638</f>
        <v>0</v>
      </c>
      <c r="M638" s="43" t="str">
        <f t="shared" si="47"/>
        <v>$million</v>
      </c>
    </row>
    <row r="639" spans="1:13" s="7" customFormat="1" ht="13" thickBot="1" x14ac:dyDescent="0.3">
      <c r="A639" s="4" t="str">
        <v>LA Lin</v>
      </c>
      <c r="B639" s="49">
        <f>'Preventative costs A'!B639-'Preventative costs B'!B639</f>
        <v>0</v>
      </c>
      <c r="C639" s="49">
        <f>'Preventative costs A'!C639-'Preventative costs B'!C639</f>
        <v>0</v>
      </c>
      <c r="D639" s="49">
        <f>'Preventative costs A'!D639-'Preventative costs B'!D639</f>
        <v>0</v>
      </c>
      <c r="E639" s="49">
        <f>'Preventative costs A'!E639-'Preventative costs B'!E639</f>
        <v>0</v>
      </c>
      <c r="F639" s="49">
        <f>'Preventative costs A'!F639-'Preventative costs B'!F639</f>
        <v>0</v>
      </c>
      <c r="G639" s="49">
        <f>'Preventative costs A'!G639-'Preventative costs B'!G639</f>
        <v>0</v>
      </c>
      <c r="H639" s="49">
        <f>'Preventative costs A'!H639-'Preventative costs B'!H639</f>
        <v>0</v>
      </c>
      <c r="I639" s="49">
        <f>'Preventative costs A'!I639-'Preventative costs B'!I639</f>
        <v>0</v>
      </c>
      <c r="J639" s="49">
        <f>'Preventative costs A'!J639-'Preventative costs B'!J639</f>
        <v>0</v>
      </c>
      <c r="K639" s="49">
        <f>'Preventative costs A'!K639-'Preventative costs B'!K639</f>
        <v>0</v>
      </c>
      <c r="M639" s="43" t="str">
        <f t="shared" si="47"/>
        <v>$million</v>
      </c>
    </row>
    <row r="640" spans="1:13" s="2" customFormat="1" ht="15.5" thickTop="1" x14ac:dyDescent="0.4">
      <c r="A640" s="2" t="s">
        <v>416</v>
      </c>
      <c r="B640" s="2" t="s">
        <v>456</v>
      </c>
    </row>
    <row r="641" spans="1:13" s="7" customFormat="1" x14ac:dyDescent="0.25">
      <c r="A641" s="4" t="str">
        <f t="array" ref="A641:A648">R_CODE</f>
        <v>EU</v>
      </c>
      <c r="B641" s="39">
        <f>'Preventative costs A'!B641-'Preventative costs B'!B641</f>
        <v>0</v>
      </c>
      <c r="C641" s="39">
        <f>'Preventative costs A'!C641-'Preventative costs B'!C641</f>
        <v>0</v>
      </c>
      <c r="D641" s="39">
        <f>'Preventative costs A'!D641-'Preventative costs B'!D641</f>
        <v>0</v>
      </c>
      <c r="E641" s="39">
        <f>'Preventative costs A'!E641-'Preventative costs B'!E641</f>
        <v>0</v>
      </c>
      <c r="F641" s="39">
        <f>'Preventative costs A'!F641-'Preventative costs B'!F641</f>
        <v>0</v>
      </c>
      <c r="G641" s="39">
        <f>'Preventative costs A'!G641-'Preventative costs B'!G641</f>
        <v>0</v>
      </c>
      <c r="H641" s="39">
        <f>'Preventative costs A'!H641-'Preventative costs B'!H641</f>
        <v>0</v>
      </c>
      <c r="I641" s="39">
        <f>'Preventative costs A'!I641-'Preventative costs B'!I641</f>
        <v>0</v>
      </c>
      <c r="J641" s="39">
        <f>'Preventative costs A'!J641-'Preventative costs B'!J641</f>
        <v>0</v>
      </c>
      <c r="K641" s="39">
        <f>'Preventative costs A'!K641-'Preventative costs B'!K641</f>
        <v>0</v>
      </c>
      <c r="M641" s="43" t="str">
        <f t="shared" ref="M641:M648" si="48">CURRENCY_NAME</f>
        <v>$million</v>
      </c>
    </row>
    <row r="642" spans="1:13" s="7" customFormat="1" x14ac:dyDescent="0.25">
      <c r="A642" s="4" t="str">
        <v>US</v>
      </c>
      <c r="B642" s="35">
        <f>'Preventative costs A'!B642-'Preventative costs B'!B642</f>
        <v>0</v>
      </c>
      <c r="C642" s="35">
        <f>'Preventative costs A'!C642-'Preventative costs B'!C642</f>
        <v>0</v>
      </c>
      <c r="D642" s="35">
        <f>'Preventative costs A'!D642-'Preventative costs B'!D642</f>
        <v>0</v>
      </c>
      <c r="E642" s="35">
        <f>'Preventative costs A'!E642-'Preventative costs B'!E642</f>
        <v>0</v>
      </c>
      <c r="F642" s="35">
        <f>'Preventative costs A'!F642-'Preventative costs B'!F642</f>
        <v>0</v>
      </c>
      <c r="G642" s="35">
        <f>'Preventative costs A'!G642-'Preventative costs B'!G642</f>
        <v>0</v>
      </c>
      <c r="H642" s="35">
        <f>'Preventative costs A'!H642-'Preventative costs B'!H642</f>
        <v>0</v>
      </c>
      <c r="I642" s="35">
        <f>'Preventative costs A'!I642-'Preventative costs B'!I642</f>
        <v>0</v>
      </c>
      <c r="J642" s="35">
        <f>'Preventative costs A'!J642-'Preventative costs B'!J642</f>
        <v>0</v>
      </c>
      <c r="K642" s="35">
        <f>'Preventative costs A'!K642-'Preventative costs B'!K642</f>
        <v>0</v>
      </c>
      <c r="M642" s="43" t="str">
        <f t="shared" si="48"/>
        <v>$million</v>
      </c>
    </row>
    <row r="643" spans="1:13" s="7" customFormat="1" x14ac:dyDescent="0.25">
      <c r="A643" s="4" t="str">
        <v>OT</v>
      </c>
      <c r="B643" s="35">
        <f>'Preventative costs A'!B643-'Preventative costs B'!B643</f>
        <v>0</v>
      </c>
      <c r="C643" s="35">
        <f>'Preventative costs A'!C643-'Preventative costs B'!C643</f>
        <v>0</v>
      </c>
      <c r="D643" s="35">
        <f>'Preventative costs A'!D643-'Preventative costs B'!D643</f>
        <v>0</v>
      </c>
      <c r="E643" s="35">
        <f>'Preventative costs A'!E643-'Preventative costs B'!E643</f>
        <v>0</v>
      </c>
      <c r="F643" s="35">
        <f>'Preventative costs A'!F643-'Preventative costs B'!F643</f>
        <v>0</v>
      </c>
      <c r="G643" s="35">
        <f>'Preventative costs A'!G643-'Preventative costs B'!G643</f>
        <v>0</v>
      </c>
      <c r="H643" s="35">
        <f>'Preventative costs A'!H643-'Preventative costs B'!H643</f>
        <v>0</v>
      </c>
      <c r="I643" s="35">
        <f>'Preventative costs A'!I643-'Preventative costs B'!I643</f>
        <v>0</v>
      </c>
      <c r="J643" s="35">
        <f>'Preventative costs A'!J643-'Preventative costs B'!J643</f>
        <v>0</v>
      </c>
      <c r="K643" s="35">
        <f>'Preventative costs A'!K643-'Preventative costs B'!K643</f>
        <v>0</v>
      </c>
      <c r="M643" s="43" t="str">
        <f t="shared" si="48"/>
        <v>$million</v>
      </c>
    </row>
    <row r="644" spans="1:13" s="7" customFormat="1" x14ac:dyDescent="0.25">
      <c r="A644" s="4" t="str">
        <v>EE</v>
      </c>
      <c r="B644" s="35">
        <f>'Preventative costs A'!B644-'Preventative costs B'!B644</f>
        <v>0</v>
      </c>
      <c r="C644" s="35">
        <f>'Preventative costs A'!C644-'Preventative costs B'!C644</f>
        <v>0</v>
      </c>
      <c r="D644" s="35">
        <f>'Preventative costs A'!D644-'Preventative costs B'!D644</f>
        <v>0</v>
      </c>
      <c r="E644" s="35">
        <f>'Preventative costs A'!E644-'Preventative costs B'!E644</f>
        <v>0</v>
      </c>
      <c r="F644" s="35">
        <f>'Preventative costs A'!F644-'Preventative costs B'!F644</f>
        <v>0</v>
      </c>
      <c r="G644" s="35">
        <f>'Preventative costs A'!G644-'Preventative costs B'!G644</f>
        <v>0</v>
      </c>
      <c r="H644" s="35">
        <f>'Preventative costs A'!H644-'Preventative costs B'!H644</f>
        <v>0</v>
      </c>
      <c r="I644" s="35">
        <f>'Preventative costs A'!I644-'Preventative costs B'!I644</f>
        <v>0</v>
      </c>
      <c r="J644" s="35">
        <f>'Preventative costs A'!J644-'Preventative costs B'!J644</f>
        <v>0</v>
      </c>
      <c r="K644" s="35">
        <f>'Preventative costs A'!K644-'Preventative costs B'!K644</f>
        <v>0</v>
      </c>
      <c r="M644" s="43" t="str">
        <f t="shared" si="48"/>
        <v>$million</v>
      </c>
    </row>
    <row r="645" spans="1:13" s="7" customFormat="1" x14ac:dyDescent="0.25">
      <c r="A645" s="4" t="str">
        <v>CA</v>
      </c>
      <c r="B645" s="35">
        <f>'Preventative costs A'!B645-'Preventative costs B'!B645</f>
        <v>0</v>
      </c>
      <c r="C645" s="35">
        <f>'Preventative costs A'!C645-'Preventative costs B'!C645</f>
        <v>0</v>
      </c>
      <c r="D645" s="35">
        <f>'Preventative costs A'!D645-'Preventative costs B'!D645</f>
        <v>0</v>
      </c>
      <c r="E645" s="35">
        <f>'Preventative costs A'!E645-'Preventative costs B'!E645</f>
        <v>0</v>
      </c>
      <c r="F645" s="35">
        <f>'Preventative costs A'!F645-'Preventative costs B'!F645</f>
        <v>0</v>
      </c>
      <c r="G645" s="35">
        <f>'Preventative costs A'!G645-'Preventative costs B'!G645</f>
        <v>0</v>
      </c>
      <c r="H645" s="35">
        <f>'Preventative costs A'!H645-'Preventative costs B'!H645</f>
        <v>0</v>
      </c>
      <c r="I645" s="35">
        <f>'Preventative costs A'!I645-'Preventative costs B'!I645</f>
        <v>0</v>
      </c>
      <c r="J645" s="35">
        <f>'Preventative costs A'!J645-'Preventative costs B'!J645</f>
        <v>0</v>
      </c>
      <c r="K645" s="35">
        <f>'Preventative costs A'!K645-'Preventative costs B'!K645</f>
        <v>0</v>
      </c>
      <c r="M645" s="43" t="str">
        <f t="shared" si="48"/>
        <v>$million</v>
      </c>
    </row>
    <row r="646" spans="1:13" s="7" customFormat="1" x14ac:dyDescent="0.25">
      <c r="A646" s="4" t="str">
        <v>IA</v>
      </c>
      <c r="B646" s="35">
        <f>'Preventative costs A'!B646-'Preventative costs B'!B646</f>
        <v>0</v>
      </c>
      <c r="C646" s="35">
        <f>'Preventative costs A'!C646-'Preventative costs B'!C646</f>
        <v>0</v>
      </c>
      <c r="D646" s="35">
        <f>'Preventative costs A'!D646-'Preventative costs B'!D646</f>
        <v>0</v>
      </c>
      <c r="E646" s="35">
        <f>'Preventative costs A'!E646-'Preventative costs B'!E646</f>
        <v>0</v>
      </c>
      <c r="F646" s="35">
        <f>'Preventative costs A'!F646-'Preventative costs B'!F646</f>
        <v>0</v>
      </c>
      <c r="G646" s="35">
        <f>'Preventative costs A'!G646-'Preventative costs B'!G646</f>
        <v>0</v>
      </c>
      <c r="H646" s="35">
        <f>'Preventative costs A'!H646-'Preventative costs B'!H646</f>
        <v>0</v>
      </c>
      <c r="I646" s="35">
        <f>'Preventative costs A'!I646-'Preventative costs B'!I646</f>
        <v>0</v>
      </c>
      <c r="J646" s="35">
        <f>'Preventative costs A'!J646-'Preventative costs B'!J646</f>
        <v>0</v>
      </c>
      <c r="K646" s="35">
        <f>'Preventative costs A'!K646-'Preventative costs B'!K646</f>
        <v>0</v>
      </c>
      <c r="M646" s="43" t="str">
        <f t="shared" si="48"/>
        <v>$million</v>
      </c>
    </row>
    <row r="647" spans="1:13" s="7" customFormat="1" x14ac:dyDescent="0.25">
      <c r="A647" s="4" t="str">
        <v>AF</v>
      </c>
      <c r="B647" s="35">
        <f>'Preventative costs A'!B647-'Preventative costs B'!B647</f>
        <v>0</v>
      </c>
      <c r="C647" s="35">
        <f>'Preventative costs A'!C647-'Preventative costs B'!C647</f>
        <v>0</v>
      </c>
      <c r="D647" s="35">
        <f>'Preventative costs A'!D647-'Preventative costs B'!D647</f>
        <v>0</v>
      </c>
      <c r="E647" s="35">
        <f>'Preventative costs A'!E647-'Preventative costs B'!E647</f>
        <v>0</v>
      </c>
      <c r="F647" s="35">
        <f>'Preventative costs A'!F647-'Preventative costs B'!F647</f>
        <v>0</v>
      </c>
      <c r="G647" s="35">
        <f>'Preventative costs A'!G647-'Preventative costs B'!G647</f>
        <v>0</v>
      </c>
      <c r="H647" s="35">
        <f>'Preventative costs A'!H647-'Preventative costs B'!H647</f>
        <v>0</v>
      </c>
      <c r="I647" s="35">
        <f>'Preventative costs A'!I647-'Preventative costs B'!I647</f>
        <v>0</v>
      </c>
      <c r="J647" s="35">
        <f>'Preventative costs A'!J647-'Preventative costs B'!J647</f>
        <v>0</v>
      </c>
      <c r="K647" s="35">
        <f>'Preventative costs A'!K647-'Preventative costs B'!K647</f>
        <v>0</v>
      </c>
      <c r="M647" s="43" t="str">
        <f t="shared" si="48"/>
        <v>$million</v>
      </c>
    </row>
    <row r="648" spans="1:13" s="7" customFormat="1" ht="13" thickBot="1" x14ac:dyDescent="0.3">
      <c r="A648" s="4" t="str">
        <v>LA</v>
      </c>
      <c r="B648" s="49">
        <f>'Preventative costs A'!B648-'Preventative costs B'!B648</f>
        <v>0</v>
      </c>
      <c r="C648" s="49">
        <f>'Preventative costs A'!C648-'Preventative costs B'!C648</f>
        <v>0</v>
      </c>
      <c r="D648" s="49">
        <f>'Preventative costs A'!D648-'Preventative costs B'!D648</f>
        <v>0</v>
      </c>
      <c r="E648" s="49">
        <f>'Preventative costs A'!E648-'Preventative costs B'!E648</f>
        <v>0</v>
      </c>
      <c r="F648" s="49">
        <f>'Preventative costs A'!F648-'Preventative costs B'!F648</f>
        <v>0</v>
      </c>
      <c r="G648" s="49">
        <f>'Preventative costs A'!G648-'Preventative costs B'!G648</f>
        <v>0</v>
      </c>
      <c r="H648" s="49">
        <f>'Preventative costs A'!H648-'Preventative costs B'!H648</f>
        <v>0</v>
      </c>
      <c r="I648" s="49">
        <f>'Preventative costs A'!I648-'Preventative costs B'!I648</f>
        <v>0</v>
      </c>
      <c r="J648" s="49">
        <f>'Preventative costs A'!J648-'Preventative costs B'!J648</f>
        <v>0</v>
      </c>
      <c r="K648" s="49">
        <f>'Preventative costs A'!K648-'Preventative costs B'!K648</f>
        <v>0</v>
      </c>
      <c r="M648" s="43" t="str">
        <f t="shared" si="48"/>
        <v>$million</v>
      </c>
    </row>
    <row r="649" spans="1:13" s="2" customFormat="1" ht="15.5" thickTop="1" x14ac:dyDescent="0.4">
      <c r="A649" s="2" t="s">
        <v>421</v>
      </c>
      <c r="B649" s="2" t="s">
        <v>460</v>
      </c>
    </row>
    <row r="650" spans="1:13" s="7" customFormat="1" x14ac:dyDescent="0.25">
      <c r="A650" s="4" t="str">
        <f t="array" ref="A650:A657">R_CODE</f>
        <v>EU</v>
      </c>
      <c r="B650" s="39">
        <f>'Preventative costs A'!B650-'Preventative costs B'!B650</f>
        <v>0</v>
      </c>
      <c r="C650" s="39">
        <f>'Preventative costs A'!C650-'Preventative costs B'!C650</f>
        <v>0</v>
      </c>
      <c r="D650" s="39">
        <f>'Preventative costs A'!D650-'Preventative costs B'!D650</f>
        <v>0</v>
      </c>
      <c r="E650" s="39">
        <f>'Preventative costs A'!E650-'Preventative costs B'!E650</f>
        <v>0</v>
      </c>
      <c r="F650" s="39">
        <f>'Preventative costs A'!F650-'Preventative costs B'!F650</f>
        <v>0</v>
      </c>
      <c r="G650" s="39">
        <f>'Preventative costs A'!G650-'Preventative costs B'!G650</f>
        <v>0</v>
      </c>
      <c r="H650" s="39">
        <f>'Preventative costs A'!H650-'Preventative costs B'!H650</f>
        <v>0</v>
      </c>
      <c r="I650" s="39">
        <f>'Preventative costs A'!I650-'Preventative costs B'!I650</f>
        <v>0</v>
      </c>
      <c r="J650" s="39">
        <f>'Preventative costs A'!J650-'Preventative costs B'!J650</f>
        <v>0</v>
      </c>
      <c r="K650" s="39">
        <f>'Preventative costs A'!K650-'Preventative costs B'!K650</f>
        <v>0</v>
      </c>
      <c r="M650" s="1" t="str">
        <f t="shared" ref="M650:M657" si="49">CURRENCY_NAME&amp;"/"&amp;POP_UNIT_NAME</f>
        <v>$million/million</v>
      </c>
    </row>
    <row r="651" spans="1:13" s="7" customFormat="1" x14ac:dyDescent="0.25">
      <c r="A651" s="4" t="str">
        <v>US</v>
      </c>
      <c r="B651" s="35">
        <f>'Preventative costs A'!B651-'Preventative costs B'!B651</f>
        <v>0</v>
      </c>
      <c r="C651" s="35">
        <f>'Preventative costs A'!C651-'Preventative costs B'!C651</f>
        <v>0</v>
      </c>
      <c r="D651" s="35">
        <f>'Preventative costs A'!D651-'Preventative costs B'!D651</f>
        <v>0</v>
      </c>
      <c r="E651" s="35">
        <f>'Preventative costs A'!E651-'Preventative costs B'!E651</f>
        <v>0</v>
      </c>
      <c r="F651" s="35">
        <f>'Preventative costs A'!F651-'Preventative costs B'!F651</f>
        <v>0</v>
      </c>
      <c r="G651" s="35">
        <f>'Preventative costs A'!G651-'Preventative costs B'!G651</f>
        <v>0</v>
      </c>
      <c r="H651" s="35">
        <f>'Preventative costs A'!H651-'Preventative costs B'!H651</f>
        <v>0</v>
      </c>
      <c r="I651" s="35">
        <f>'Preventative costs A'!I651-'Preventative costs B'!I651</f>
        <v>0</v>
      </c>
      <c r="J651" s="35">
        <f>'Preventative costs A'!J651-'Preventative costs B'!J651</f>
        <v>0</v>
      </c>
      <c r="K651" s="35">
        <f>'Preventative costs A'!K651-'Preventative costs B'!K651</f>
        <v>0</v>
      </c>
      <c r="M651" s="1" t="str">
        <f t="shared" si="49"/>
        <v>$million/million</v>
      </c>
    </row>
    <row r="652" spans="1:13" s="7" customFormat="1" x14ac:dyDescent="0.25">
      <c r="A652" s="4" t="str">
        <v>OT</v>
      </c>
      <c r="B652" s="35">
        <f>'Preventative costs A'!B652-'Preventative costs B'!B652</f>
        <v>0</v>
      </c>
      <c r="C652" s="35">
        <f>'Preventative costs A'!C652-'Preventative costs B'!C652</f>
        <v>0</v>
      </c>
      <c r="D652" s="35">
        <f>'Preventative costs A'!D652-'Preventative costs B'!D652</f>
        <v>0</v>
      </c>
      <c r="E652" s="35">
        <f>'Preventative costs A'!E652-'Preventative costs B'!E652</f>
        <v>0</v>
      </c>
      <c r="F652" s="35">
        <f>'Preventative costs A'!F652-'Preventative costs B'!F652</f>
        <v>0</v>
      </c>
      <c r="G652" s="35">
        <f>'Preventative costs A'!G652-'Preventative costs B'!G652</f>
        <v>0</v>
      </c>
      <c r="H652" s="35">
        <f>'Preventative costs A'!H652-'Preventative costs B'!H652</f>
        <v>0</v>
      </c>
      <c r="I652" s="35">
        <f>'Preventative costs A'!I652-'Preventative costs B'!I652</f>
        <v>0</v>
      </c>
      <c r="J652" s="35">
        <f>'Preventative costs A'!J652-'Preventative costs B'!J652</f>
        <v>0</v>
      </c>
      <c r="K652" s="35">
        <f>'Preventative costs A'!K652-'Preventative costs B'!K652</f>
        <v>0</v>
      </c>
      <c r="M652" s="1" t="str">
        <f t="shared" si="49"/>
        <v>$million/million</v>
      </c>
    </row>
    <row r="653" spans="1:13" s="7" customFormat="1" x14ac:dyDescent="0.25">
      <c r="A653" s="4" t="str">
        <v>EE</v>
      </c>
      <c r="B653" s="35">
        <f>'Preventative costs A'!B653-'Preventative costs B'!B653</f>
        <v>0</v>
      </c>
      <c r="C653" s="35">
        <f>'Preventative costs A'!C653-'Preventative costs B'!C653</f>
        <v>0</v>
      </c>
      <c r="D653" s="35">
        <f>'Preventative costs A'!D653-'Preventative costs B'!D653</f>
        <v>0</v>
      </c>
      <c r="E653" s="35">
        <f>'Preventative costs A'!E653-'Preventative costs B'!E653</f>
        <v>0</v>
      </c>
      <c r="F653" s="35">
        <f>'Preventative costs A'!F653-'Preventative costs B'!F653</f>
        <v>0</v>
      </c>
      <c r="G653" s="35">
        <f>'Preventative costs A'!G653-'Preventative costs B'!G653</f>
        <v>0</v>
      </c>
      <c r="H653" s="35">
        <f>'Preventative costs A'!H653-'Preventative costs B'!H653</f>
        <v>0</v>
      </c>
      <c r="I653" s="35">
        <f>'Preventative costs A'!I653-'Preventative costs B'!I653</f>
        <v>0</v>
      </c>
      <c r="J653" s="35">
        <f>'Preventative costs A'!J653-'Preventative costs B'!J653</f>
        <v>0</v>
      </c>
      <c r="K653" s="35">
        <f>'Preventative costs A'!K653-'Preventative costs B'!K653</f>
        <v>0</v>
      </c>
      <c r="M653" s="1" t="str">
        <f t="shared" si="49"/>
        <v>$million/million</v>
      </c>
    </row>
    <row r="654" spans="1:13" s="7" customFormat="1" x14ac:dyDescent="0.25">
      <c r="A654" s="4" t="str">
        <v>CA</v>
      </c>
      <c r="B654" s="35">
        <f>'Preventative costs A'!B654-'Preventative costs B'!B654</f>
        <v>0</v>
      </c>
      <c r="C654" s="35">
        <f>'Preventative costs A'!C654-'Preventative costs B'!C654</f>
        <v>0</v>
      </c>
      <c r="D654" s="35">
        <f>'Preventative costs A'!D654-'Preventative costs B'!D654</f>
        <v>0</v>
      </c>
      <c r="E654" s="35">
        <f>'Preventative costs A'!E654-'Preventative costs B'!E654</f>
        <v>0</v>
      </c>
      <c r="F654" s="35">
        <f>'Preventative costs A'!F654-'Preventative costs B'!F654</f>
        <v>0</v>
      </c>
      <c r="G654" s="35">
        <f>'Preventative costs A'!G654-'Preventative costs B'!G654</f>
        <v>0</v>
      </c>
      <c r="H654" s="35">
        <f>'Preventative costs A'!H654-'Preventative costs B'!H654</f>
        <v>0</v>
      </c>
      <c r="I654" s="35">
        <f>'Preventative costs A'!I654-'Preventative costs B'!I654</f>
        <v>0</v>
      </c>
      <c r="J654" s="35">
        <f>'Preventative costs A'!J654-'Preventative costs B'!J654</f>
        <v>0</v>
      </c>
      <c r="K654" s="35">
        <f>'Preventative costs A'!K654-'Preventative costs B'!K654</f>
        <v>0</v>
      </c>
      <c r="M654" s="1" t="str">
        <f t="shared" si="49"/>
        <v>$million/million</v>
      </c>
    </row>
    <row r="655" spans="1:13" s="7" customFormat="1" x14ac:dyDescent="0.25">
      <c r="A655" s="4" t="str">
        <v>IA</v>
      </c>
      <c r="B655" s="35">
        <f>'Preventative costs A'!B655-'Preventative costs B'!B655</f>
        <v>0</v>
      </c>
      <c r="C655" s="35">
        <f>'Preventative costs A'!C655-'Preventative costs B'!C655</f>
        <v>0</v>
      </c>
      <c r="D655" s="35">
        <f>'Preventative costs A'!D655-'Preventative costs B'!D655</f>
        <v>0</v>
      </c>
      <c r="E655" s="35">
        <f>'Preventative costs A'!E655-'Preventative costs B'!E655</f>
        <v>0</v>
      </c>
      <c r="F655" s="35">
        <f>'Preventative costs A'!F655-'Preventative costs B'!F655</f>
        <v>0</v>
      </c>
      <c r="G655" s="35">
        <f>'Preventative costs A'!G655-'Preventative costs B'!G655</f>
        <v>0</v>
      </c>
      <c r="H655" s="35">
        <f>'Preventative costs A'!H655-'Preventative costs B'!H655</f>
        <v>0</v>
      </c>
      <c r="I655" s="35">
        <f>'Preventative costs A'!I655-'Preventative costs B'!I655</f>
        <v>0</v>
      </c>
      <c r="J655" s="35">
        <f>'Preventative costs A'!J655-'Preventative costs B'!J655</f>
        <v>0</v>
      </c>
      <c r="K655" s="35">
        <f>'Preventative costs A'!K655-'Preventative costs B'!K655</f>
        <v>0</v>
      </c>
      <c r="M655" s="1" t="str">
        <f t="shared" si="49"/>
        <v>$million/million</v>
      </c>
    </row>
    <row r="656" spans="1:13" s="7" customFormat="1" x14ac:dyDescent="0.25">
      <c r="A656" s="4" t="str">
        <v>AF</v>
      </c>
      <c r="B656" s="35">
        <f>'Preventative costs A'!B656-'Preventative costs B'!B656</f>
        <v>0</v>
      </c>
      <c r="C656" s="35">
        <f>'Preventative costs A'!C656-'Preventative costs B'!C656</f>
        <v>0</v>
      </c>
      <c r="D656" s="35">
        <f>'Preventative costs A'!D656-'Preventative costs B'!D656</f>
        <v>0</v>
      </c>
      <c r="E656" s="35">
        <f>'Preventative costs A'!E656-'Preventative costs B'!E656</f>
        <v>0</v>
      </c>
      <c r="F656" s="35">
        <f>'Preventative costs A'!F656-'Preventative costs B'!F656</f>
        <v>0</v>
      </c>
      <c r="G656" s="35">
        <f>'Preventative costs A'!G656-'Preventative costs B'!G656</f>
        <v>0</v>
      </c>
      <c r="H656" s="35">
        <f>'Preventative costs A'!H656-'Preventative costs B'!H656</f>
        <v>0</v>
      </c>
      <c r="I656" s="35">
        <f>'Preventative costs A'!I656-'Preventative costs B'!I656</f>
        <v>0</v>
      </c>
      <c r="J656" s="35">
        <f>'Preventative costs A'!J656-'Preventative costs B'!J656</f>
        <v>0</v>
      </c>
      <c r="K656" s="35">
        <f>'Preventative costs A'!K656-'Preventative costs B'!K656</f>
        <v>0</v>
      </c>
      <c r="M656" s="1" t="str">
        <f t="shared" si="49"/>
        <v>$million/million</v>
      </c>
    </row>
    <row r="657" spans="1:13" s="7" customFormat="1" ht="13" thickBot="1" x14ac:dyDescent="0.3">
      <c r="A657" s="4" t="str">
        <v>LA</v>
      </c>
      <c r="B657" s="49">
        <f>'Preventative costs A'!B657-'Preventative costs B'!B657</f>
        <v>0</v>
      </c>
      <c r="C657" s="49">
        <f>'Preventative costs A'!C657-'Preventative costs B'!C657</f>
        <v>0</v>
      </c>
      <c r="D657" s="49">
        <f>'Preventative costs A'!D657-'Preventative costs B'!D657</f>
        <v>0</v>
      </c>
      <c r="E657" s="49">
        <f>'Preventative costs A'!E657-'Preventative costs B'!E657</f>
        <v>0</v>
      </c>
      <c r="F657" s="49">
        <f>'Preventative costs A'!F657-'Preventative costs B'!F657</f>
        <v>0</v>
      </c>
      <c r="G657" s="49">
        <f>'Preventative costs A'!G657-'Preventative costs B'!G657</f>
        <v>0</v>
      </c>
      <c r="H657" s="49">
        <f>'Preventative costs A'!H657-'Preventative costs B'!H657</f>
        <v>0</v>
      </c>
      <c r="I657" s="49">
        <f>'Preventative costs A'!I657-'Preventative costs B'!I657</f>
        <v>0</v>
      </c>
      <c r="J657" s="49">
        <f>'Preventative costs A'!J657-'Preventative costs B'!J657</f>
        <v>0</v>
      </c>
      <c r="K657" s="49">
        <f>'Preventative costs A'!K657-'Preventative costs B'!K657</f>
        <v>0</v>
      </c>
      <c r="M657" s="1" t="str">
        <f t="shared" si="49"/>
        <v>$million/million</v>
      </c>
    </row>
    <row r="658" spans="1:13" s="2" customFormat="1" ht="15.5" thickTop="1" x14ac:dyDescent="0.4">
      <c r="A658" s="2" t="s">
        <v>422</v>
      </c>
      <c r="B658" s="2" t="s">
        <v>461</v>
      </c>
    </row>
    <row r="659" spans="1:13" s="7" customFormat="1" x14ac:dyDescent="0.25">
      <c r="A659" s="4" t="str">
        <f t="array" ref="A659:A666">R_CODE</f>
        <v>EU</v>
      </c>
      <c r="B659" s="39">
        <f>'Preventative costs A'!B659-'Preventative costs B'!B659</f>
        <v>0</v>
      </c>
      <c r="C659" s="39">
        <f>'Preventative costs A'!C659-'Preventative costs B'!C659</f>
        <v>0</v>
      </c>
      <c r="D659" s="39">
        <f>'Preventative costs A'!D659-'Preventative costs B'!D659</f>
        <v>0</v>
      </c>
      <c r="E659" s="39">
        <f>'Preventative costs A'!E659-'Preventative costs B'!E659</f>
        <v>0</v>
      </c>
      <c r="F659" s="39">
        <f>'Preventative costs A'!F659-'Preventative costs B'!F659</f>
        <v>0</v>
      </c>
      <c r="G659" s="39">
        <f>'Preventative costs A'!G659-'Preventative costs B'!G659</f>
        <v>0</v>
      </c>
      <c r="H659" s="39">
        <f>'Preventative costs A'!H659-'Preventative costs B'!H659</f>
        <v>0</v>
      </c>
      <c r="I659" s="39">
        <f>'Preventative costs A'!I659-'Preventative costs B'!I659</f>
        <v>0</v>
      </c>
      <c r="J659" s="39">
        <f>'Preventative costs A'!J659-'Preventative costs B'!J659</f>
        <v>0</v>
      </c>
      <c r="K659" s="39">
        <f>'Preventative costs A'!K659-'Preventative costs B'!K659</f>
        <v>0</v>
      </c>
      <c r="M659" s="1" t="str">
        <f t="shared" ref="M659:M666" si="50">CURRENCY_NAME&amp;"/"&amp;POP_UNIT_NAME</f>
        <v>$million/million</v>
      </c>
    </row>
    <row r="660" spans="1:13" s="7" customFormat="1" x14ac:dyDescent="0.25">
      <c r="A660" s="4" t="str">
        <v>US</v>
      </c>
      <c r="B660" s="35">
        <f>'Preventative costs A'!B660-'Preventative costs B'!B660</f>
        <v>0</v>
      </c>
      <c r="C660" s="35">
        <f>'Preventative costs A'!C660-'Preventative costs B'!C660</f>
        <v>0</v>
      </c>
      <c r="D660" s="35">
        <f>'Preventative costs A'!D660-'Preventative costs B'!D660</f>
        <v>0</v>
      </c>
      <c r="E660" s="35">
        <f>'Preventative costs A'!E660-'Preventative costs B'!E660</f>
        <v>0</v>
      </c>
      <c r="F660" s="35">
        <f>'Preventative costs A'!F660-'Preventative costs B'!F660</f>
        <v>0</v>
      </c>
      <c r="G660" s="35">
        <f>'Preventative costs A'!G660-'Preventative costs B'!G660</f>
        <v>0</v>
      </c>
      <c r="H660" s="35">
        <f>'Preventative costs A'!H660-'Preventative costs B'!H660</f>
        <v>0</v>
      </c>
      <c r="I660" s="35">
        <f>'Preventative costs A'!I660-'Preventative costs B'!I660</f>
        <v>0</v>
      </c>
      <c r="J660" s="35">
        <f>'Preventative costs A'!J660-'Preventative costs B'!J660</f>
        <v>0</v>
      </c>
      <c r="K660" s="35">
        <f>'Preventative costs A'!K660-'Preventative costs B'!K660</f>
        <v>0</v>
      </c>
      <c r="M660" s="1" t="str">
        <f t="shared" si="50"/>
        <v>$million/million</v>
      </c>
    </row>
    <row r="661" spans="1:13" s="7" customFormat="1" x14ac:dyDescent="0.25">
      <c r="A661" s="4" t="str">
        <v>OT</v>
      </c>
      <c r="B661" s="35">
        <f>'Preventative costs A'!B661-'Preventative costs B'!B661</f>
        <v>0</v>
      </c>
      <c r="C661" s="35">
        <f>'Preventative costs A'!C661-'Preventative costs B'!C661</f>
        <v>0</v>
      </c>
      <c r="D661" s="35">
        <f>'Preventative costs A'!D661-'Preventative costs B'!D661</f>
        <v>0</v>
      </c>
      <c r="E661" s="35">
        <f>'Preventative costs A'!E661-'Preventative costs B'!E661</f>
        <v>0</v>
      </c>
      <c r="F661" s="35">
        <f>'Preventative costs A'!F661-'Preventative costs B'!F661</f>
        <v>0</v>
      </c>
      <c r="G661" s="35">
        <f>'Preventative costs A'!G661-'Preventative costs B'!G661</f>
        <v>0</v>
      </c>
      <c r="H661" s="35">
        <f>'Preventative costs A'!H661-'Preventative costs B'!H661</f>
        <v>0</v>
      </c>
      <c r="I661" s="35">
        <f>'Preventative costs A'!I661-'Preventative costs B'!I661</f>
        <v>0</v>
      </c>
      <c r="J661" s="35">
        <f>'Preventative costs A'!J661-'Preventative costs B'!J661</f>
        <v>0</v>
      </c>
      <c r="K661" s="35">
        <f>'Preventative costs A'!K661-'Preventative costs B'!K661</f>
        <v>0</v>
      </c>
      <c r="M661" s="1" t="str">
        <f t="shared" si="50"/>
        <v>$million/million</v>
      </c>
    </row>
    <row r="662" spans="1:13" s="7" customFormat="1" x14ac:dyDescent="0.25">
      <c r="A662" s="4" t="str">
        <v>EE</v>
      </c>
      <c r="B662" s="35">
        <f>'Preventative costs A'!B662-'Preventative costs B'!B662</f>
        <v>0</v>
      </c>
      <c r="C662" s="35">
        <f>'Preventative costs A'!C662-'Preventative costs B'!C662</f>
        <v>0</v>
      </c>
      <c r="D662" s="35">
        <f>'Preventative costs A'!D662-'Preventative costs B'!D662</f>
        <v>0</v>
      </c>
      <c r="E662" s="35">
        <f>'Preventative costs A'!E662-'Preventative costs B'!E662</f>
        <v>0</v>
      </c>
      <c r="F662" s="35">
        <f>'Preventative costs A'!F662-'Preventative costs B'!F662</f>
        <v>0</v>
      </c>
      <c r="G662" s="35">
        <f>'Preventative costs A'!G662-'Preventative costs B'!G662</f>
        <v>0</v>
      </c>
      <c r="H662" s="35">
        <f>'Preventative costs A'!H662-'Preventative costs B'!H662</f>
        <v>0</v>
      </c>
      <c r="I662" s="35">
        <f>'Preventative costs A'!I662-'Preventative costs B'!I662</f>
        <v>0</v>
      </c>
      <c r="J662" s="35">
        <f>'Preventative costs A'!J662-'Preventative costs B'!J662</f>
        <v>0</v>
      </c>
      <c r="K662" s="35">
        <f>'Preventative costs A'!K662-'Preventative costs B'!K662</f>
        <v>0</v>
      </c>
      <c r="M662" s="1" t="str">
        <f t="shared" si="50"/>
        <v>$million/million</v>
      </c>
    </row>
    <row r="663" spans="1:13" s="7" customFormat="1" x14ac:dyDescent="0.25">
      <c r="A663" s="4" t="str">
        <v>CA</v>
      </c>
      <c r="B663" s="35">
        <f>'Preventative costs A'!B663-'Preventative costs B'!B663</f>
        <v>0</v>
      </c>
      <c r="C663" s="35">
        <f>'Preventative costs A'!C663-'Preventative costs B'!C663</f>
        <v>0</v>
      </c>
      <c r="D663" s="35">
        <f>'Preventative costs A'!D663-'Preventative costs B'!D663</f>
        <v>0</v>
      </c>
      <c r="E663" s="35">
        <f>'Preventative costs A'!E663-'Preventative costs B'!E663</f>
        <v>0</v>
      </c>
      <c r="F663" s="35">
        <f>'Preventative costs A'!F663-'Preventative costs B'!F663</f>
        <v>0</v>
      </c>
      <c r="G663" s="35">
        <f>'Preventative costs A'!G663-'Preventative costs B'!G663</f>
        <v>0</v>
      </c>
      <c r="H663" s="35">
        <f>'Preventative costs A'!H663-'Preventative costs B'!H663</f>
        <v>0</v>
      </c>
      <c r="I663" s="35">
        <f>'Preventative costs A'!I663-'Preventative costs B'!I663</f>
        <v>0</v>
      </c>
      <c r="J663" s="35">
        <f>'Preventative costs A'!J663-'Preventative costs B'!J663</f>
        <v>0</v>
      </c>
      <c r="K663" s="35">
        <f>'Preventative costs A'!K663-'Preventative costs B'!K663</f>
        <v>0</v>
      </c>
      <c r="M663" s="1" t="str">
        <f t="shared" si="50"/>
        <v>$million/million</v>
      </c>
    </row>
    <row r="664" spans="1:13" s="7" customFormat="1" x14ac:dyDescent="0.25">
      <c r="A664" s="4" t="str">
        <v>IA</v>
      </c>
      <c r="B664" s="35">
        <f>'Preventative costs A'!B664-'Preventative costs B'!B664</f>
        <v>0</v>
      </c>
      <c r="C664" s="35">
        <f>'Preventative costs A'!C664-'Preventative costs B'!C664</f>
        <v>0</v>
      </c>
      <c r="D664" s="35">
        <f>'Preventative costs A'!D664-'Preventative costs B'!D664</f>
        <v>0</v>
      </c>
      <c r="E664" s="35">
        <f>'Preventative costs A'!E664-'Preventative costs B'!E664</f>
        <v>0</v>
      </c>
      <c r="F664" s="35">
        <f>'Preventative costs A'!F664-'Preventative costs B'!F664</f>
        <v>0</v>
      </c>
      <c r="G664" s="35">
        <f>'Preventative costs A'!G664-'Preventative costs B'!G664</f>
        <v>0</v>
      </c>
      <c r="H664" s="35">
        <f>'Preventative costs A'!H664-'Preventative costs B'!H664</f>
        <v>0</v>
      </c>
      <c r="I664" s="35">
        <f>'Preventative costs A'!I664-'Preventative costs B'!I664</f>
        <v>0</v>
      </c>
      <c r="J664" s="35">
        <f>'Preventative costs A'!J664-'Preventative costs B'!J664</f>
        <v>0</v>
      </c>
      <c r="K664" s="35">
        <f>'Preventative costs A'!K664-'Preventative costs B'!K664</f>
        <v>0</v>
      </c>
      <c r="M664" s="1" t="str">
        <f t="shared" si="50"/>
        <v>$million/million</v>
      </c>
    </row>
    <row r="665" spans="1:13" s="7" customFormat="1" x14ac:dyDescent="0.25">
      <c r="A665" s="4" t="str">
        <v>AF</v>
      </c>
      <c r="B665" s="35">
        <f>'Preventative costs A'!B665-'Preventative costs B'!B665</f>
        <v>0</v>
      </c>
      <c r="C665" s="35">
        <f>'Preventative costs A'!C665-'Preventative costs B'!C665</f>
        <v>0</v>
      </c>
      <c r="D665" s="35">
        <f>'Preventative costs A'!D665-'Preventative costs B'!D665</f>
        <v>0</v>
      </c>
      <c r="E665" s="35">
        <f>'Preventative costs A'!E665-'Preventative costs B'!E665</f>
        <v>0</v>
      </c>
      <c r="F665" s="35">
        <f>'Preventative costs A'!F665-'Preventative costs B'!F665</f>
        <v>0</v>
      </c>
      <c r="G665" s="35">
        <f>'Preventative costs A'!G665-'Preventative costs B'!G665</f>
        <v>0</v>
      </c>
      <c r="H665" s="35">
        <f>'Preventative costs A'!H665-'Preventative costs B'!H665</f>
        <v>0</v>
      </c>
      <c r="I665" s="35">
        <f>'Preventative costs A'!I665-'Preventative costs B'!I665</f>
        <v>0</v>
      </c>
      <c r="J665" s="35">
        <f>'Preventative costs A'!J665-'Preventative costs B'!J665</f>
        <v>0</v>
      </c>
      <c r="K665" s="35">
        <f>'Preventative costs A'!K665-'Preventative costs B'!K665</f>
        <v>0</v>
      </c>
      <c r="M665" s="1" t="str">
        <f t="shared" si="50"/>
        <v>$million/million</v>
      </c>
    </row>
    <row r="666" spans="1:13" s="7" customFormat="1" ht="13" thickBot="1" x14ac:dyDescent="0.3">
      <c r="A666" s="4" t="str">
        <v>LA</v>
      </c>
      <c r="B666" s="49">
        <f>'Preventative costs A'!B666-'Preventative costs B'!B666</f>
        <v>0</v>
      </c>
      <c r="C666" s="49">
        <f>'Preventative costs A'!C666-'Preventative costs B'!C666</f>
        <v>0</v>
      </c>
      <c r="D666" s="49">
        <f>'Preventative costs A'!D666-'Preventative costs B'!D666</f>
        <v>0</v>
      </c>
      <c r="E666" s="49">
        <f>'Preventative costs A'!E666-'Preventative costs B'!E666</f>
        <v>0</v>
      </c>
      <c r="F666" s="49">
        <f>'Preventative costs A'!F666-'Preventative costs B'!F666</f>
        <v>0</v>
      </c>
      <c r="G666" s="49">
        <f>'Preventative costs A'!G666-'Preventative costs B'!G666</f>
        <v>0</v>
      </c>
      <c r="H666" s="49">
        <f>'Preventative costs A'!H666-'Preventative costs B'!H666</f>
        <v>0</v>
      </c>
      <c r="I666" s="49">
        <f>'Preventative costs A'!I666-'Preventative costs B'!I666</f>
        <v>0</v>
      </c>
      <c r="J666" s="49">
        <f>'Preventative costs A'!J666-'Preventative costs B'!J666</f>
        <v>0</v>
      </c>
      <c r="K666" s="49">
        <f>'Preventative costs A'!K666-'Preventative costs B'!K666</f>
        <v>0</v>
      </c>
      <c r="M666" s="1" t="str">
        <f t="shared" si="50"/>
        <v>$million/million</v>
      </c>
    </row>
    <row r="667" spans="1:13" s="2" customFormat="1" ht="15.5" thickTop="1" x14ac:dyDescent="0.4">
      <c r="A667" s="2" t="s">
        <v>423</v>
      </c>
      <c r="B667" s="2" t="s">
        <v>462</v>
      </c>
    </row>
    <row r="668" spans="1:13" s="7" customFormat="1" x14ac:dyDescent="0.25">
      <c r="A668" s="4" t="str">
        <f t="array" ref="A668:A675">R_CODE</f>
        <v>EU</v>
      </c>
      <c r="B668" s="39">
        <f>'Preventative costs A'!B668-'Preventative costs B'!B668</f>
        <v>0</v>
      </c>
      <c r="C668" s="39">
        <f>'Preventative costs A'!C668-'Preventative costs B'!C668</f>
        <v>0</v>
      </c>
      <c r="D668" s="39">
        <f>'Preventative costs A'!D668-'Preventative costs B'!D668</f>
        <v>0</v>
      </c>
      <c r="E668" s="39">
        <f>'Preventative costs A'!E668-'Preventative costs B'!E668</f>
        <v>0</v>
      </c>
      <c r="F668" s="39">
        <f>'Preventative costs A'!F668-'Preventative costs B'!F668</f>
        <v>0</v>
      </c>
      <c r="G668" s="39">
        <f>'Preventative costs A'!G668-'Preventative costs B'!G668</f>
        <v>0</v>
      </c>
      <c r="H668" s="39">
        <f>'Preventative costs A'!H668-'Preventative costs B'!H668</f>
        <v>0</v>
      </c>
      <c r="I668" s="39">
        <f>'Preventative costs A'!I668-'Preventative costs B'!I668</f>
        <v>0</v>
      </c>
      <c r="J668" s="39">
        <f>'Preventative costs A'!J668-'Preventative costs B'!J668</f>
        <v>0</v>
      </c>
      <c r="K668" s="39">
        <f>'Preventative costs A'!K668-'Preventative costs B'!K668</f>
        <v>0</v>
      </c>
      <c r="M668" s="1" t="str">
        <f t="shared" ref="M668:M675" si="51">CURRENCY_NAME&amp;"/"&amp;POP_UNIT_NAME</f>
        <v>$million/million</v>
      </c>
    </row>
    <row r="669" spans="1:13" s="7" customFormat="1" x14ac:dyDescent="0.25">
      <c r="A669" s="4" t="str">
        <v>US</v>
      </c>
      <c r="B669" s="35">
        <f>'Preventative costs A'!B669-'Preventative costs B'!B669</f>
        <v>0</v>
      </c>
      <c r="C669" s="35">
        <f>'Preventative costs A'!C669-'Preventative costs B'!C669</f>
        <v>0</v>
      </c>
      <c r="D669" s="35">
        <f>'Preventative costs A'!D669-'Preventative costs B'!D669</f>
        <v>0</v>
      </c>
      <c r="E669" s="35">
        <f>'Preventative costs A'!E669-'Preventative costs B'!E669</f>
        <v>0</v>
      </c>
      <c r="F669" s="35">
        <f>'Preventative costs A'!F669-'Preventative costs B'!F669</f>
        <v>0</v>
      </c>
      <c r="G669" s="35">
        <f>'Preventative costs A'!G669-'Preventative costs B'!G669</f>
        <v>0</v>
      </c>
      <c r="H669" s="35">
        <f>'Preventative costs A'!H669-'Preventative costs B'!H669</f>
        <v>0</v>
      </c>
      <c r="I669" s="35">
        <f>'Preventative costs A'!I669-'Preventative costs B'!I669</f>
        <v>0</v>
      </c>
      <c r="J669" s="35">
        <f>'Preventative costs A'!J669-'Preventative costs B'!J669</f>
        <v>0</v>
      </c>
      <c r="K669" s="35">
        <f>'Preventative costs A'!K669-'Preventative costs B'!K669</f>
        <v>0</v>
      </c>
      <c r="M669" s="1" t="str">
        <f t="shared" si="51"/>
        <v>$million/million</v>
      </c>
    </row>
    <row r="670" spans="1:13" s="7" customFormat="1" x14ac:dyDescent="0.25">
      <c r="A670" s="4" t="str">
        <v>OT</v>
      </c>
      <c r="B670" s="35">
        <f>'Preventative costs A'!B670-'Preventative costs B'!B670</f>
        <v>0</v>
      </c>
      <c r="C670" s="35">
        <f>'Preventative costs A'!C670-'Preventative costs B'!C670</f>
        <v>0</v>
      </c>
      <c r="D670" s="35">
        <f>'Preventative costs A'!D670-'Preventative costs B'!D670</f>
        <v>0</v>
      </c>
      <c r="E670" s="35">
        <f>'Preventative costs A'!E670-'Preventative costs B'!E670</f>
        <v>0</v>
      </c>
      <c r="F670" s="35">
        <f>'Preventative costs A'!F670-'Preventative costs B'!F670</f>
        <v>0</v>
      </c>
      <c r="G670" s="35">
        <f>'Preventative costs A'!G670-'Preventative costs B'!G670</f>
        <v>0</v>
      </c>
      <c r="H670" s="35">
        <f>'Preventative costs A'!H670-'Preventative costs B'!H670</f>
        <v>0</v>
      </c>
      <c r="I670" s="35">
        <f>'Preventative costs A'!I670-'Preventative costs B'!I670</f>
        <v>0</v>
      </c>
      <c r="J670" s="35">
        <f>'Preventative costs A'!J670-'Preventative costs B'!J670</f>
        <v>0</v>
      </c>
      <c r="K670" s="35">
        <f>'Preventative costs A'!K670-'Preventative costs B'!K670</f>
        <v>0</v>
      </c>
      <c r="M670" s="1" t="str">
        <f t="shared" si="51"/>
        <v>$million/million</v>
      </c>
    </row>
    <row r="671" spans="1:13" s="7" customFormat="1" x14ac:dyDescent="0.25">
      <c r="A671" s="4" t="str">
        <v>EE</v>
      </c>
      <c r="B671" s="35">
        <f>'Preventative costs A'!B671-'Preventative costs B'!B671</f>
        <v>0</v>
      </c>
      <c r="C671" s="35">
        <f>'Preventative costs A'!C671-'Preventative costs B'!C671</f>
        <v>0</v>
      </c>
      <c r="D671" s="35">
        <f>'Preventative costs A'!D671-'Preventative costs B'!D671</f>
        <v>0</v>
      </c>
      <c r="E671" s="35">
        <f>'Preventative costs A'!E671-'Preventative costs B'!E671</f>
        <v>0</v>
      </c>
      <c r="F671" s="35">
        <f>'Preventative costs A'!F671-'Preventative costs B'!F671</f>
        <v>0</v>
      </c>
      <c r="G671" s="35">
        <f>'Preventative costs A'!G671-'Preventative costs B'!G671</f>
        <v>0</v>
      </c>
      <c r="H671" s="35">
        <f>'Preventative costs A'!H671-'Preventative costs B'!H671</f>
        <v>0</v>
      </c>
      <c r="I671" s="35">
        <f>'Preventative costs A'!I671-'Preventative costs B'!I671</f>
        <v>0</v>
      </c>
      <c r="J671" s="35">
        <f>'Preventative costs A'!J671-'Preventative costs B'!J671</f>
        <v>0</v>
      </c>
      <c r="K671" s="35">
        <f>'Preventative costs A'!K671-'Preventative costs B'!K671</f>
        <v>0</v>
      </c>
      <c r="M671" s="1" t="str">
        <f t="shared" si="51"/>
        <v>$million/million</v>
      </c>
    </row>
    <row r="672" spans="1:13" s="7" customFormat="1" x14ac:dyDescent="0.25">
      <c r="A672" s="4" t="str">
        <v>CA</v>
      </c>
      <c r="B672" s="35">
        <f>'Preventative costs A'!B672-'Preventative costs B'!B672</f>
        <v>0</v>
      </c>
      <c r="C672" s="35">
        <f>'Preventative costs A'!C672-'Preventative costs B'!C672</f>
        <v>0</v>
      </c>
      <c r="D672" s="35">
        <f>'Preventative costs A'!D672-'Preventative costs B'!D672</f>
        <v>0</v>
      </c>
      <c r="E672" s="35">
        <f>'Preventative costs A'!E672-'Preventative costs B'!E672</f>
        <v>0</v>
      </c>
      <c r="F672" s="35">
        <f>'Preventative costs A'!F672-'Preventative costs B'!F672</f>
        <v>0</v>
      </c>
      <c r="G672" s="35">
        <f>'Preventative costs A'!G672-'Preventative costs B'!G672</f>
        <v>0</v>
      </c>
      <c r="H672" s="35">
        <f>'Preventative costs A'!H672-'Preventative costs B'!H672</f>
        <v>0</v>
      </c>
      <c r="I672" s="35">
        <f>'Preventative costs A'!I672-'Preventative costs B'!I672</f>
        <v>0</v>
      </c>
      <c r="J672" s="35">
        <f>'Preventative costs A'!J672-'Preventative costs B'!J672</f>
        <v>0</v>
      </c>
      <c r="K672" s="35">
        <f>'Preventative costs A'!K672-'Preventative costs B'!K672</f>
        <v>0</v>
      </c>
      <c r="M672" s="1" t="str">
        <f t="shared" si="51"/>
        <v>$million/million</v>
      </c>
    </row>
    <row r="673" spans="1:13" s="7" customFormat="1" x14ac:dyDescent="0.25">
      <c r="A673" s="4" t="str">
        <v>IA</v>
      </c>
      <c r="B673" s="35">
        <f>'Preventative costs A'!B673-'Preventative costs B'!B673</f>
        <v>0</v>
      </c>
      <c r="C673" s="35">
        <f>'Preventative costs A'!C673-'Preventative costs B'!C673</f>
        <v>0</v>
      </c>
      <c r="D673" s="35">
        <f>'Preventative costs A'!D673-'Preventative costs B'!D673</f>
        <v>0</v>
      </c>
      <c r="E673" s="35">
        <f>'Preventative costs A'!E673-'Preventative costs B'!E673</f>
        <v>0</v>
      </c>
      <c r="F673" s="35">
        <f>'Preventative costs A'!F673-'Preventative costs B'!F673</f>
        <v>0</v>
      </c>
      <c r="G673" s="35">
        <f>'Preventative costs A'!G673-'Preventative costs B'!G673</f>
        <v>0</v>
      </c>
      <c r="H673" s="35">
        <f>'Preventative costs A'!H673-'Preventative costs B'!H673</f>
        <v>0</v>
      </c>
      <c r="I673" s="35">
        <f>'Preventative costs A'!I673-'Preventative costs B'!I673</f>
        <v>0</v>
      </c>
      <c r="J673" s="35">
        <f>'Preventative costs A'!J673-'Preventative costs B'!J673</f>
        <v>0</v>
      </c>
      <c r="K673" s="35">
        <f>'Preventative costs A'!K673-'Preventative costs B'!K673</f>
        <v>0</v>
      </c>
      <c r="M673" s="1" t="str">
        <f t="shared" si="51"/>
        <v>$million/million</v>
      </c>
    </row>
    <row r="674" spans="1:13" s="7" customFormat="1" x14ac:dyDescent="0.25">
      <c r="A674" s="4" t="str">
        <v>AF</v>
      </c>
      <c r="B674" s="35">
        <f>'Preventative costs A'!B674-'Preventative costs B'!B674</f>
        <v>0</v>
      </c>
      <c r="C674" s="35">
        <f>'Preventative costs A'!C674-'Preventative costs B'!C674</f>
        <v>0</v>
      </c>
      <c r="D674" s="35">
        <f>'Preventative costs A'!D674-'Preventative costs B'!D674</f>
        <v>0</v>
      </c>
      <c r="E674" s="35">
        <f>'Preventative costs A'!E674-'Preventative costs B'!E674</f>
        <v>0</v>
      </c>
      <c r="F674" s="35">
        <f>'Preventative costs A'!F674-'Preventative costs B'!F674</f>
        <v>0</v>
      </c>
      <c r="G674" s="35">
        <f>'Preventative costs A'!G674-'Preventative costs B'!G674</f>
        <v>0</v>
      </c>
      <c r="H674" s="35">
        <f>'Preventative costs A'!H674-'Preventative costs B'!H674</f>
        <v>0</v>
      </c>
      <c r="I674" s="35">
        <f>'Preventative costs A'!I674-'Preventative costs B'!I674</f>
        <v>0</v>
      </c>
      <c r="J674" s="35">
        <f>'Preventative costs A'!J674-'Preventative costs B'!J674</f>
        <v>0</v>
      </c>
      <c r="K674" s="35">
        <f>'Preventative costs A'!K674-'Preventative costs B'!K674</f>
        <v>0</v>
      </c>
      <c r="M674" s="1" t="str">
        <f t="shared" si="51"/>
        <v>$million/million</v>
      </c>
    </row>
    <row r="675" spans="1:13" s="7" customFormat="1" ht="13" thickBot="1" x14ac:dyDescent="0.3">
      <c r="A675" s="4" t="str">
        <v>LA</v>
      </c>
      <c r="B675" s="49">
        <f>'Preventative costs A'!B675-'Preventative costs B'!B675</f>
        <v>0</v>
      </c>
      <c r="C675" s="49">
        <f>'Preventative costs A'!C675-'Preventative costs B'!C675</f>
        <v>0</v>
      </c>
      <c r="D675" s="49">
        <f>'Preventative costs A'!D675-'Preventative costs B'!D675</f>
        <v>0</v>
      </c>
      <c r="E675" s="49">
        <f>'Preventative costs A'!E675-'Preventative costs B'!E675</f>
        <v>0</v>
      </c>
      <c r="F675" s="49">
        <f>'Preventative costs A'!F675-'Preventative costs B'!F675</f>
        <v>0</v>
      </c>
      <c r="G675" s="49">
        <f>'Preventative costs A'!G675-'Preventative costs B'!G675</f>
        <v>0</v>
      </c>
      <c r="H675" s="49">
        <f>'Preventative costs A'!H675-'Preventative costs B'!H675</f>
        <v>0</v>
      </c>
      <c r="I675" s="49">
        <f>'Preventative costs A'!I675-'Preventative costs B'!I675</f>
        <v>0</v>
      </c>
      <c r="J675" s="49">
        <f>'Preventative costs A'!J675-'Preventative costs B'!J675</f>
        <v>0</v>
      </c>
      <c r="K675" s="49">
        <f>'Preventative costs A'!K675-'Preventative costs B'!K675</f>
        <v>0</v>
      </c>
      <c r="M675" s="1" t="str">
        <f t="shared" si="51"/>
        <v>$million/million</v>
      </c>
    </row>
    <row r="676" spans="1:13" s="2" customFormat="1" ht="15.5" thickTop="1" x14ac:dyDescent="0.4">
      <c r="A676" s="2" t="s">
        <v>55</v>
      </c>
      <c r="B676" s="2" t="s">
        <v>426</v>
      </c>
    </row>
    <row r="677" spans="1:13" x14ac:dyDescent="0.25">
      <c r="A677" s="4" t="str">
        <f t="array" ref="A677:A684">R_CODE</f>
        <v>EU</v>
      </c>
      <c r="B677" s="39">
        <f>'Preventative costs A'!B677-'Preventative costs B'!B677</f>
        <v>0</v>
      </c>
      <c r="C677" s="39">
        <f>'Preventative costs A'!C677-'Preventative costs B'!C677</f>
        <v>0</v>
      </c>
      <c r="D677" s="39">
        <f>'Preventative costs A'!D677-'Preventative costs B'!D677</f>
        <v>0</v>
      </c>
      <c r="E677" s="39">
        <f>'Preventative costs A'!E677-'Preventative costs B'!E677</f>
        <v>0</v>
      </c>
      <c r="F677" s="39">
        <f>'Preventative costs A'!F677-'Preventative costs B'!F677</f>
        <v>0</v>
      </c>
      <c r="G677" s="39">
        <f>'Preventative costs A'!G677-'Preventative costs B'!G677</f>
        <v>0</v>
      </c>
      <c r="H677" s="39">
        <f>'Preventative costs A'!H677-'Preventative costs B'!H677</f>
        <v>0</v>
      </c>
      <c r="I677" s="39">
        <f>'Preventative costs A'!I677-'Preventative costs B'!I677</f>
        <v>0</v>
      </c>
      <c r="J677" s="39">
        <f>'Preventative costs A'!J677-'Preventative costs B'!J677</f>
        <v>0</v>
      </c>
      <c r="K677" s="39">
        <f>'Preventative costs A'!K677-'Preventative costs B'!K677</f>
        <v>0</v>
      </c>
      <c r="M677" s="43" t="str">
        <f t="shared" ref="M677:M685" si="52">CURRENCY_NAME</f>
        <v>$million</v>
      </c>
    </row>
    <row r="678" spans="1:13" x14ac:dyDescent="0.25">
      <c r="A678" s="4" t="str">
        <v>US</v>
      </c>
      <c r="B678" s="35">
        <f>'Preventative costs A'!B678-'Preventative costs B'!B678</f>
        <v>0</v>
      </c>
      <c r="C678" s="35">
        <f>'Preventative costs A'!C678-'Preventative costs B'!C678</f>
        <v>0</v>
      </c>
      <c r="D678" s="35">
        <f>'Preventative costs A'!D678-'Preventative costs B'!D678</f>
        <v>0</v>
      </c>
      <c r="E678" s="35">
        <f>'Preventative costs A'!E678-'Preventative costs B'!E678</f>
        <v>0</v>
      </c>
      <c r="F678" s="35">
        <f>'Preventative costs A'!F678-'Preventative costs B'!F678</f>
        <v>0</v>
      </c>
      <c r="G678" s="35">
        <f>'Preventative costs A'!G678-'Preventative costs B'!G678</f>
        <v>0</v>
      </c>
      <c r="H678" s="35">
        <f>'Preventative costs A'!H678-'Preventative costs B'!H678</f>
        <v>0</v>
      </c>
      <c r="I678" s="35">
        <f>'Preventative costs A'!I678-'Preventative costs B'!I678</f>
        <v>0</v>
      </c>
      <c r="J678" s="35">
        <f>'Preventative costs A'!J678-'Preventative costs B'!J678</f>
        <v>0</v>
      </c>
      <c r="K678" s="35">
        <f>'Preventative costs A'!K678-'Preventative costs B'!K678</f>
        <v>0</v>
      </c>
      <c r="M678" s="43" t="str">
        <f t="shared" si="52"/>
        <v>$million</v>
      </c>
    </row>
    <row r="679" spans="1:13" x14ac:dyDescent="0.25">
      <c r="A679" s="4" t="str">
        <v>OT</v>
      </c>
      <c r="B679" s="35">
        <f>'Preventative costs A'!B679-'Preventative costs B'!B679</f>
        <v>0</v>
      </c>
      <c r="C679" s="35">
        <f>'Preventative costs A'!C679-'Preventative costs B'!C679</f>
        <v>0</v>
      </c>
      <c r="D679" s="35">
        <f>'Preventative costs A'!D679-'Preventative costs B'!D679</f>
        <v>0</v>
      </c>
      <c r="E679" s="35">
        <f>'Preventative costs A'!E679-'Preventative costs B'!E679</f>
        <v>0</v>
      </c>
      <c r="F679" s="35">
        <f>'Preventative costs A'!F679-'Preventative costs B'!F679</f>
        <v>0</v>
      </c>
      <c r="G679" s="35">
        <f>'Preventative costs A'!G679-'Preventative costs B'!G679</f>
        <v>0</v>
      </c>
      <c r="H679" s="35">
        <f>'Preventative costs A'!H679-'Preventative costs B'!H679</f>
        <v>0</v>
      </c>
      <c r="I679" s="35">
        <f>'Preventative costs A'!I679-'Preventative costs B'!I679</f>
        <v>0</v>
      </c>
      <c r="J679" s="35">
        <f>'Preventative costs A'!J679-'Preventative costs B'!J679</f>
        <v>0</v>
      </c>
      <c r="K679" s="35">
        <f>'Preventative costs A'!K679-'Preventative costs B'!K679</f>
        <v>0</v>
      </c>
      <c r="M679" s="43" t="str">
        <f t="shared" si="52"/>
        <v>$million</v>
      </c>
    </row>
    <row r="680" spans="1:13" x14ac:dyDescent="0.25">
      <c r="A680" s="4" t="str">
        <v>EE</v>
      </c>
      <c r="B680" s="35">
        <f>'Preventative costs A'!B680-'Preventative costs B'!B680</f>
        <v>0</v>
      </c>
      <c r="C680" s="35">
        <f>'Preventative costs A'!C680-'Preventative costs B'!C680</f>
        <v>0</v>
      </c>
      <c r="D680" s="35">
        <f>'Preventative costs A'!D680-'Preventative costs B'!D680</f>
        <v>0</v>
      </c>
      <c r="E680" s="35">
        <f>'Preventative costs A'!E680-'Preventative costs B'!E680</f>
        <v>0</v>
      </c>
      <c r="F680" s="35">
        <f>'Preventative costs A'!F680-'Preventative costs B'!F680</f>
        <v>0</v>
      </c>
      <c r="G680" s="35">
        <f>'Preventative costs A'!G680-'Preventative costs B'!G680</f>
        <v>0</v>
      </c>
      <c r="H680" s="35">
        <f>'Preventative costs A'!H680-'Preventative costs B'!H680</f>
        <v>0</v>
      </c>
      <c r="I680" s="35">
        <f>'Preventative costs A'!I680-'Preventative costs B'!I680</f>
        <v>0</v>
      </c>
      <c r="J680" s="35">
        <f>'Preventative costs A'!J680-'Preventative costs B'!J680</f>
        <v>0</v>
      </c>
      <c r="K680" s="35">
        <f>'Preventative costs A'!K680-'Preventative costs B'!K680</f>
        <v>0</v>
      </c>
      <c r="M680" s="43" t="str">
        <f t="shared" si="52"/>
        <v>$million</v>
      </c>
    </row>
    <row r="681" spans="1:13" x14ac:dyDescent="0.25">
      <c r="A681" s="4" t="str">
        <v>CA</v>
      </c>
      <c r="B681" s="35">
        <f>'Preventative costs A'!B681-'Preventative costs B'!B681</f>
        <v>0</v>
      </c>
      <c r="C681" s="35">
        <f>'Preventative costs A'!C681-'Preventative costs B'!C681</f>
        <v>0</v>
      </c>
      <c r="D681" s="35">
        <f>'Preventative costs A'!D681-'Preventative costs B'!D681</f>
        <v>0</v>
      </c>
      <c r="E681" s="35">
        <f>'Preventative costs A'!E681-'Preventative costs B'!E681</f>
        <v>0</v>
      </c>
      <c r="F681" s="35">
        <f>'Preventative costs A'!F681-'Preventative costs B'!F681</f>
        <v>0</v>
      </c>
      <c r="G681" s="35">
        <f>'Preventative costs A'!G681-'Preventative costs B'!G681</f>
        <v>0</v>
      </c>
      <c r="H681" s="35">
        <f>'Preventative costs A'!H681-'Preventative costs B'!H681</f>
        <v>0</v>
      </c>
      <c r="I681" s="35">
        <f>'Preventative costs A'!I681-'Preventative costs B'!I681</f>
        <v>0</v>
      </c>
      <c r="J681" s="35">
        <f>'Preventative costs A'!J681-'Preventative costs B'!J681</f>
        <v>0</v>
      </c>
      <c r="K681" s="35">
        <f>'Preventative costs A'!K681-'Preventative costs B'!K681</f>
        <v>0</v>
      </c>
      <c r="M681" s="43" t="str">
        <f t="shared" si="52"/>
        <v>$million</v>
      </c>
    </row>
    <row r="682" spans="1:13" x14ac:dyDescent="0.25">
      <c r="A682" s="4" t="str">
        <v>IA</v>
      </c>
      <c r="B682" s="35">
        <f>'Preventative costs A'!B682-'Preventative costs B'!B682</f>
        <v>0</v>
      </c>
      <c r="C682" s="35">
        <f>'Preventative costs A'!C682-'Preventative costs B'!C682</f>
        <v>0</v>
      </c>
      <c r="D682" s="35">
        <f>'Preventative costs A'!D682-'Preventative costs B'!D682</f>
        <v>0</v>
      </c>
      <c r="E682" s="35">
        <f>'Preventative costs A'!E682-'Preventative costs B'!E682</f>
        <v>0</v>
      </c>
      <c r="F682" s="35">
        <f>'Preventative costs A'!F682-'Preventative costs B'!F682</f>
        <v>0</v>
      </c>
      <c r="G682" s="35">
        <f>'Preventative costs A'!G682-'Preventative costs B'!G682</f>
        <v>0</v>
      </c>
      <c r="H682" s="35">
        <f>'Preventative costs A'!H682-'Preventative costs B'!H682</f>
        <v>0</v>
      </c>
      <c r="I682" s="35">
        <f>'Preventative costs A'!I682-'Preventative costs B'!I682</f>
        <v>0</v>
      </c>
      <c r="J682" s="35">
        <f>'Preventative costs A'!J682-'Preventative costs B'!J682</f>
        <v>0</v>
      </c>
      <c r="K682" s="35">
        <f>'Preventative costs A'!K682-'Preventative costs B'!K682</f>
        <v>0</v>
      </c>
      <c r="M682" s="43" t="str">
        <f t="shared" si="52"/>
        <v>$million</v>
      </c>
    </row>
    <row r="683" spans="1:13" x14ac:dyDescent="0.25">
      <c r="A683" s="4" t="str">
        <v>AF</v>
      </c>
      <c r="B683" s="35">
        <f>'Preventative costs A'!B683-'Preventative costs B'!B683</f>
        <v>0</v>
      </c>
      <c r="C683" s="35">
        <f>'Preventative costs A'!C683-'Preventative costs B'!C683</f>
        <v>0</v>
      </c>
      <c r="D683" s="35">
        <f>'Preventative costs A'!D683-'Preventative costs B'!D683</f>
        <v>0</v>
      </c>
      <c r="E683" s="35">
        <f>'Preventative costs A'!E683-'Preventative costs B'!E683</f>
        <v>0</v>
      </c>
      <c r="F683" s="35">
        <f>'Preventative costs A'!F683-'Preventative costs B'!F683</f>
        <v>0</v>
      </c>
      <c r="G683" s="35">
        <f>'Preventative costs A'!G683-'Preventative costs B'!G683</f>
        <v>0</v>
      </c>
      <c r="H683" s="35">
        <f>'Preventative costs A'!H683-'Preventative costs B'!H683</f>
        <v>0</v>
      </c>
      <c r="I683" s="35">
        <f>'Preventative costs A'!I683-'Preventative costs B'!I683</f>
        <v>0</v>
      </c>
      <c r="J683" s="35">
        <f>'Preventative costs A'!J683-'Preventative costs B'!J683</f>
        <v>0</v>
      </c>
      <c r="K683" s="35">
        <f>'Preventative costs A'!K683-'Preventative costs B'!K683</f>
        <v>0</v>
      </c>
      <c r="M683" s="43" t="str">
        <f t="shared" si="52"/>
        <v>$million</v>
      </c>
    </row>
    <row r="684" spans="1:13" ht="13" thickBot="1" x14ac:dyDescent="0.3">
      <c r="A684" s="4" t="str">
        <v>LA</v>
      </c>
      <c r="B684" s="49">
        <f>'Preventative costs A'!B684-'Preventative costs B'!B684</f>
        <v>0</v>
      </c>
      <c r="C684" s="49">
        <f>'Preventative costs A'!C684-'Preventative costs B'!C684</f>
        <v>0</v>
      </c>
      <c r="D684" s="49">
        <f>'Preventative costs A'!D684-'Preventative costs B'!D684</f>
        <v>0</v>
      </c>
      <c r="E684" s="49">
        <f>'Preventative costs A'!E684-'Preventative costs B'!E684</f>
        <v>0</v>
      </c>
      <c r="F684" s="49">
        <f>'Preventative costs A'!F684-'Preventative costs B'!F684</f>
        <v>0</v>
      </c>
      <c r="G684" s="49">
        <f>'Preventative costs A'!G684-'Preventative costs B'!G684</f>
        <v>0</v>
      </c>
      <c r="H684" s="49">
        <f>'Preventative costs A'!H684-'Preventative costs B'!H684</f>
        <v>0</v>
      </c>
      <c r="I684" s="49">
        <f>'Preventative costs A'!I684-'Preventative costs B'!I684</f>
        <v>0</v>
      </c>
      <c r="J684" s="49">
        <f>'Preventative costs A'!J684-'Preventative costs B'!J684</f>
        <v>0</v>
      </c>
      <c r="K684" s="49">
        <f>'Preventative costs A'!K684-'Preventative costs B'!K684</f>
        <v>0</v>
      </c>
      <c r="M684" s="43" t="str">
        <f t="shared" si="52"/>
        <v>$million</v>
      </c>
    </row>
    <row r="685" spans="1:13" ht="14" thickTop="1" thickBot="1" x14ac:dyDescent="0.35">
      <c r="A685" s="2" t="s">
        <v>257</v>
      </c>
      <c r="B685" s="56">
        <f>'Preventative costs A'!B685-'Preventative costs B'!B685</f>
        <v>0</v>
      </c>
      <c r="C685" s="56">
        <f>'Preventative costs A'!C685-'Preventative costs B'!C685</f>
        <v>0</v>
      </c>
      <c r="D685" s="56">
        <f>'Preventative costs A'!D685-'Preventative costs B'!D685</f>
        <v>0</v>
      </c>
      <c r="E685" s="56">
        <f>'Preventative costs A'!E685-'Preventative costs B'!E685</f>
        <v>0</v>
      </c>
      <c r="F685" s="56">
        <f>'Preventative costs A'!F685-'Preventative costs B'!F685</f>
        <v>0</v>
      </c>
      <c r="G685" s="56">
        <f>'Preventative costs A'!G685-'Preventative costs B'!G685</f>
        <v>0</v>
      </c>
      <c r="H685" s="56">
        <f>'Preventative costs A'!H685-'Preventative costs B'!H685</f>
        <v>0</v>
      </c>
      <c r="I685" s="56">
        <f>'Preventative costs A'!I685-'Preventative costs B'!I685</f>
        <v>0</v>
      </c>
      <c r="J685" s="56">
        <f>'Preventative costs A'!J685-'Preventative costs B'!J685</f>
        <v>0</v>
      </c>
      <c r="K685" s="56">
        <f>'Preventative costs A'!K685-'Preventative costs B'!K685</f>
        <v>0</v>
      </c>
      <c r="L685" s="1"/>
      <c r="M685" s="43" t="str">
        <f t="shared" si="52"/>
        <v>$million</v>
      </c>
    </row>
    <row r="686" spans="1:13" ht="13.5" thickTop="1" x14ac:dyDescent="0.3">
      <c r="A686" s="2" t="s">
        <v>424</v>
      </c>
    </row>
    <row r="687" spans="1:13" s="7" customFormat="1" x14ac:dyDescent="0.25">
      <c r="A687" s="7" t="str">
        <f t="array" ref="A687:A694">R_CODE</f>
        <v>EU</v>
      </c>
      <c r="B687" s="51">
        <f>'Preventative costs A'!B687-'Preventative costs B'!B687</f>
        <v>0</v>
      </c>
      <c r="C687" s="51">
        <f>'Preventative costs A'!C687-'Preventative costs B'!C687</f>
        <v>0</v>
      </c>
      <c r="D687" s="51">
        <f>'Preventative costs A'!D687-'Preventative costs B'!D687</f>
        <v>0</v>
      </c>
      <c r="E687" s="51">
        <f>'Preventative costs A'!E687-'Preventative costs B'!E687</f>
        <v>0</v>
      </c>
      <c r="F687" s="51">
        <f>'Preventative costs A'!F687-'Preventative costs B'!F687</f>
        <v>0</v>
      </c>
      <c r="G687" s="51">
        <f>'Preventative costs A'!G687-'Preventative costs B'!G687</f>
        <v>0</v>
      </c>
      <c r="H687" s="51">
        <f>'Preventative costs A'!H687-'Preventative costs B'!H687</f>
        <v>0</v>
      </c>
      <c r="I687" s="51">
        <f>'Preventative costs A'!I687-'Preventative costs B'!I687</f>
        <v>0</v>
      </c>
      <c r="J687" s="51">
        <f>'Preventative costs A'!J687-'Preventative costs B'!J687</f>
        <v>0</v>
      </c>
      <c r="K687" s="51">
        <f>'Preventative costs A'!K687-'Preventative costs B'!K687</f>
        <v>0</v>
      </c>
    </row>
    <row r="688" spans="1:13" s="7" customFormat="1" x14ac:dyDescent="0.25">
      <c r="A688" s="7" t="str">
        <v>US</v>
      </c>
      <c r="B688" s="52">
        <f>'Preventative costs A'!B688-'Preventative costs B'!B688</f>
        <v>0</v>
      </c>
      <c r="C688" s="52">
        <f>'Preventative costs A'!C688-'Preventative costs B'!C688</f>
        <v>0</v>
      </c>
      <c r="D688" s="52">
        <f>'Preventative costs A'!D688-'Preventative costs B'!D688</f>
        <v>0</v>
      </c>
      <c r="E688" s="52">
        <f>'Preventative costs A'!E688-'Preventative costs B'!E688</f>
        <v>0</v>
      </c>
      <c r="F688" s="52">
        <f>'Preventative costs A'!F688-'Preventative costs B'!F688</f>
        <v>0</v>
      </c>
      <c r="G688" s="52">
        <f>'Preventative costs A'!G688-'Preventative costs B'!G688</f>
        <v>0</v>
      </c>
      <c r="H688" s="52">
        <f>'Preventative costs A'!H688-'Preventative costs B'!H688</f>
        <v>0</v>
      </c>
      <c r="I688" s="52">
        <f>'Preventative costs A'!I688-'Preventative costs B'!I688</f>
        <v>0</v>
      </c>
      <c r="J688" s="52">
        <f>'Preventative costs A'!J688-'Preventative costs B'!J688</f>
        <v>0</v>
      </c>
      <c r="K688" s="52">
        <f>'Preventative costs A'!K688-'Preventative costs B'!K688</f>
        <v>0</v>
      </c>
    </row>
    <row r="689" spans="1:13" s="7" customFormat="1" x14ac:dyDescent="0.25">
      <c r="A689" s="7" t="str">
        <v>OT</v>
      </c>
      <c r="B689" s="52">
        <f>'Preventative costs A'!B689-'Preventative costs B'!B689</f>
        <v>0</v>
      </c>
      <c r="C689" s="52">
        <f>'Preventative costs A'!C689-'Preventative costs B'!C689</f>
        <v>0</v>
      </c>
      <c r="D689" s="52">
        <f>'Preventative costs A'!D689-'Preventative costs B'!D689</f>
        <v>0</v>
      </c>
      <c r="E689" s="52">
        <f>'Preventative costs A'!E689-'Preventative costs B'!E689</f>
        <v>0</v>
      </c>
      <c r="F689" s="52">
        <f>'Preventative costs A'!F689-'Preventative costs B'!F689</f>
        <v>0</v>
      </c>
      <c r="G689" s="52">
        <f>'Preventative costs A'!G689-'Preventative costs B'!G689</f>
        <v>0</v>
      </c>
      <c r="H689" s="52">
        <f>'Preventative costs A'!H689-'Preventative costs B'!H689</f>
        <v>0</v>
      </c>
      <c r="I689" s="52">
        <f>'Preventative costs A'!I689-'Preventative costs B'!I689</f>
        <v>0</v>
      </c>
      <c r="J689" s="52">
        <f>'Preventative costs A'!J689-'Preventative costs B'!J689</f>
        <v>0</v>
      </c>
      <c r="K689" s="52">
        <f>'Preventative costs A'!K689-'Preventative costs B'!K689</f>
        <v>0</v>
      </c>
    </row>
    <row r="690" spans="1:13" s="7" customFormat="1" x14ac:dyDescent="0.25">
      <c r="A690" s="7" t="str">
        <v>EE</v>
      </c>
      <c r="B690" s="52">
        <f>'Preventative costs A'!B690-'Preventative costs B'!B690</f>
        <v>0</v>
      </c>
      <c r="C690" s="52">
        <f>'Preventative costs A'!C690-'Preventative costs B'!C690</f>
        <v>0</v>
      </c>
      <c r="D690" s="52">
        <f>'Preventative costs A'!D690-'Preventative costs B'!D690</f>
        <v>0</v>
      </c>
      <c r="E690" s="52">
        <f>'Preventative costs A'!E690-'Preventative costs B'!E690</f>
        <v>0</v>
      </c>
      <c r="F690" s="52">
        <f>'Preventative costs A'!F690-'Preventative costs B'!F690</f>
        <v>0</v>
      </c>
      <c r="G690" s="52">
        <f>'Preventative costs A'!G690-'Preventative costs B'!G690</f>
        <v>0</v>
      </c>
      <c r="H690" s="52">
        <f>'Preventative costs A'!H690-'Preventative costs B'!H690</f>
        <v>0</v>
      </c>
      <c r="I690" s="52">
        <f>'Preventative costs A'!I690-'Preventative costs B'!I690</f>
        <v>0</v>
      </c>
      <c r="J690" s="52">
        <f>'Preventative costs A'!J690-'Preventative costs B'!J690</f>
        <v>0</v>
      </c>
      <c r="K690" s="52">
        <f>'Preventative costs A'!K690-'Preventative costs B'!K690</f>
        <v>0</v>
      </c>
    </row>
    <row r="691" spans="1:13" s="7" customFormat="1" x14ac:dyDescent="0.25">
      <c r="A691" s="7" t="str">
        <v>CA</v>
      </c>
      <c r="B691" s="52">
        <f>'Preventative costs A'!B691-'Preventative costs B'!B691</f>
        <v>0</v>
      </c>
      <c r="C691" s="52">
        <f>'Preventative costs A'!C691-'Preventative costs B'!C691</f>
        <v>0</v>
      </c>
      <c r="D691" s="52">
        <f>'Preventative costs A'!D691-'Preventative costs B'!D691</f>
        <v>0</v>
      </c>
      <c r="E691" s="52">
        <f>'Preventative costs A'!E691-'Preventative costs B'!E691</f>
        <v>0</v>
      </c>
      <c r="F691" s="52">
        <f>'Preventative costs A'!F691-'Preventative costs B'!F691</f>
        <v>0</v>
      </c>
      <c r="G691" s="52">
        <f>'Preventative costs A'!G691-'Preventative costs B'!G691</f>
        <v>0</v>
      </c>
      <c r="H691" s="52">
        <f>'Preventative costs A'!H691-'Preventative costs B'!H691</f>
        <v>0</v>
      </c>
      <c r="I691" s="52">
        <f>'Preventative costs A'!I691-'Preventative costs B'!I691</f>
        <v>0</v>
      </c>
      <c r="J691" s="52">
        <f>'Preventative costs A'!J691-'Preventative costs B'!J691</f>
        <v>0</v>
      </c>
      <c r="K691" s="52">
        <f>'Preventative costs A'!K691-'Preventative costs B'!K691</f>
        <v>0</v>
      </c>
    </row>
    <row r="692" spans="1:13" s="7" customFormat="1" x14ac:dyDescent="0.25">
      <c r="A692" s="7" t="str">
        <v>IA</v>
      </c>
      <c r="B692" s="52">
        <f>'Preventative costs A'!B692-'Preventative costs B'!B692</f>
        <v>0</v>
      </c>
      <c r="C692" s="52">
        <f>'Preventative costs A'!C692-'Preventative costs B'!C692</f>
        <v>0</v>
      </c>
      <c r="D692" s="52">
        <f>'Preventative costs A'!D692-'Preventative costs B'!D692</f>
        <v>0</v>
      </c>
      <c r="E692" s="52">
        <f>'Preventative costs A'!E692-'Preventative costs B'!E692</f>
        <v>0</v>
      </c>
      <c r="F692" s="52">
        <f>'Preventative costs A'!F692-'Preventative costs B'!F692</f>
        <v>0</v>
      </c>
      <c r="G692" s="52">
        <f>'Preventative costs A'!G692-'Preventative costs B'!G692</f>
        <v>0</v>
      </c>
      <c r="H692" s="52">
        <f>'Preventative costs A'!H692-'Preventative costs B'!H692</f>
        <v>0</v>
      </c>
      <c r="I692" s="52">
        <f>'Preventative costs A'!I692-'Preventative costs B'!I692</f>
        <v>0</v>
      </c>
      <c r="J692" s="52">
        <f>'Preventative costs A'!J692-'Preventative costs B'!J692</f>
        <v>0</v>
      </c>
      <c r="K692" s="52">
        <f>'Preventative costs A'!K692-'Preventative costs B'!K692</f>
        <v>0</v>
      </c>
    </row>
    <row r="693" spans="1:13" s="7" customFormat="1" x14ac:dyDescent="0.25">
      <c r="A693" s="7" t="str">
        <v>AF</v>
      </c>
      <c r="B693" s="52">
        <f>'Preventative costs A'!B693-'Preventative costs B'!B693</f>
        <v>0</v>
      </c>
      <c r="C693" s="52">
        <f>'Preventative costs A'!C693-'Preventative costs B'!C693</f>
        <v>0</v>
      </c>
      <c r="D693" s="52">
        <f>'Preventative costs A'!D693-'Preventative costs B'!D693</f>
        <v>0</v>
      </c>
      <c r="E693" s="52">
        <f>'Preventative costs A'!E693-'Preventative costs B'!E693</f>
        <v>0</v>
      </c>
      <c r="F693" s="52">
        <f>'Preventative costs A'!F693-'Preventative costs B'!F693</f>
        <v>0</v>
      </c>
      <c r="G693" s="52">
        <f>'Preventative costs A'!G693-'Preventative costs B'!G693</f>
        <v>0</v>
      </c>
      <c r="H693" s="52">
        <f>'Preventative costs A'!H693-'Preventative costs B'!H693</f>
        <v>0</v>
      </c>
      <c r="I693" s="52">
        <f>'Preventative costs A'!I693-'Preventative costs B'!I693</f>
        <v>0</v>
      </c>
      <c r="J693" s="52">
        <f>'Preventative costs A'!J693-'Preventative costs B'!J693</f>
        <v>0</v>
      </c>
      <c r="K693" s="52">
        <f>'Preventative costs A'!K693-'Preventative costs B'!K693</f>
        <v>0</v>
      </c>
    </row>
    <row r="694" spans="1:13" s="7" customFormat="1" ht="13" thickBot="1" x14ac:dyDescent="0.3">
      <c r="A694" s="7" t="str">
        <v>LA</v>
      </c>
      <c r="B694" s="53">
        <f>'Preventative costs A'!B694-'Preventative costs B'!B694</f>
        <v>0</v>
      </c>
      <c r="C694" s="53">
        <f>'Preventative costs A'!C694-'Preventative costs B'!C694</f>
        <v>0</v>
      </c>
      <c r="D694" s="53">
        <f>'Preventative costs A'!D694-'Preventative costs B'!D694</f>
        <v>0</v>
      </c>
      <c r="E694" s="53">
        <f>'Preventative costs A'!E694-'Preventative costs B'!E694</f>
        <v>0</v>
      </c>
      <c r="F694" s="53">
        <f>'Preventative costs A'!F694-'Preventative costs B'!F694</f>
        <v>0</v>
      </c>
      <c r="G694" s="53">
        <f>'Preventative costs A'!G694-'Preventative costs B'!G694</f>
        <v>0</v>
      </c>
      <c r="H694" s="53">
        <f>'Preventative costs A'!H694-'Preventative costs B'!H694</f>
        <v>0</v>
      </c>
      <c r="I694" s="53">
        <f>'Preventative costs A'!I694-'Preventative costs B'!I694</f>
        <v>0</v>
      </c>
      <c r="J694" s="53">
        <f>'Preventative costs A'!J694-'Preventative costs B'!J694</f>
        <v>0</v>
      </c>
      <c r="K694" s="53">
        <f>'Preventative costs A'!K694-'Preventative costs B'!K694</f>
        <v>0</v>
      </c>
    </row>
    <row r="695" spans="1:13" ht="15.5" thickTop="1" x14ac:dyDescent="0.4">
      <c r="A695" s="2" t="s">
        <v>147</v>
      </c>
      <c r="B695" s="73" t="s">
        <v>425</v>
      </c>
      <c r="C695" s="58"/>
      <c r="D695" s="58"/>
      <c r="E695" s="58"/>
      <c r="F695" s="58"/>
      <c r="G695" s="58"/>
      <c r="H695" s="58"/>
      <c r="I695" s="58"/>
      <c r="J695" s="58"/>
      <c r="K695" s="58"/>
      <c r="L695" s="1"/>
      <c r="M695" s="1"/>
    </row>
    <row r="696" spans="1:13" x14ac:dyDescent="0.25">
      <c r="A696" s="1" t="str">
        <f t="array" ref="A696:A703">R_CODE&amp;" total"</f>
        <v>EU total</v>
      </c>
      <c r="B696" s="37">
        <f>'Preventative costs A'!B696-'Preventative costs B'!B696</f>
        <v>0</v>
      </c>
      <c r="C696" s="37">
        <f>'Preventative costs A'!C696-'Preventative costs B'!C696</f>
        <v>0</v>
      </c>
      <c r="D696" s="37">
        <f>'Preventative costs A'!D696-'Preventative costs B'!D696</f>
        <v>0</v>
      </c>
      <c r="E696" s="37">
        <f>'Preventative costs A'!E696-'Preventative costs B'!E696</f>
        <v>0</v>
      </c>
      <c r="F696" s="37">
        <f>'Preventative costs A'!F696-'Preventative costs B'!F696</f>
        <v>0</v>
      </c>
      <c r="G696" s="37">
        <f>'Preventative costs A'!G696-'Preventative costs B'!G696</f>
        <v>0</v>
      </c>
      <c r="H696" s="37">
        <f>'Preventative costs A'!H696-'Preventative costs B'!H696</f>
        <v>0</v>
      </c>
      <c r="I696" s="37">
        <f>'Preventative costs A'!I696-'Preventative costs B'!I696</f>
        <v>0</v>
      </c>
      <c r="J696" s="37">
        <f>'Preventative costs A'!J696-'Preventative costs B'!J696</f>
        <v>0</v>
      </c>
      <c r="K696" s="37">
        <f>'Preventative costs A'!K696-'Preventative costs B'!K696</f>
        <v>0</v>
      </c>
      <c r="L696" s="1"/>
      <c r="M696" s="43" t="str">
        <f t="shared" ref="M696:M704" si="53">CURRENCY_NAME</f>
        <v>$million</v>
      </c>
    </row>
    <row r="697" spans="1:13" x14ac:dyDescent="0.25">
      <c r="A697" s="1" t="str">
        <v>US total</v>
      </c>
      <c r="B697" s="38">
        <f>'Preventative costs A'!B697-'Preventative costs B'!B697</f>
        <v>0</v>
      </c>
      <c r="C697" s="38">
        <f>'Preventative costs A'!C697-'Preventative costs B'!C697</f>
        <v>0</v>
      </c>
      <c r="D697" s="38">
        <f>'Preventative costs A'!D697-'Preventative costs B'!D697</f>
        <v>0</v>
      </c>
      <c r="E697" s="38">
        <f>'Preventative costs A'!E697-'Preventative costs B'!E697</f>
        <v>0</v>
      </c>
      <c r="F697" s="38">
        <f>'Preventative costs A'!F697-'Preventative costs B'!F697</f>
        <v>0</v>
      </c>
      <c r="G697" s="38">
        <f>'Preventative costs A'!G697-'Preventative costs B'!G697</f>
        <v>0</v>
      </c>
      <c r="H697" s="38">
        <f>'Preventative costs A'!H697-'Preventative costs B'!H697</f>
        <v>0</v>
      </c>
      <c r="I697" s="38">
        <f>'Preventative costs A'!I697-'Preventative costs B'!I697</f>
        <v>0</v>
      </c>
      <c r="J697" s="38">
        <f>'Preventative costs A'!J697-'Preventative costs B'!J697</f>
        <v>0</v>
      </c>
      <c r="K697" s="38">
        <f>'Preventative costs A'!K697-'Preventative costs B'!K697</f>
        <v>0</v>
      </c>
      <c r="L697" s="1"/>
      <c r="M697" s="43" t="str">
        <f t="shared" si="53"/>
        <v>$million</v>
      </c>
    </row>
    <row r="698" spans="1:13" x14ac:dyDescent="0.25">
      <c r="A698" s="1" t="str">
        <v>OT total</v>
      </c>
      <c r="B698" s="38">
        <f>'Preventative costs A'!B698-'Preventative costs B'!B698</f>
        <v>0</v>
      </c>
      <c r="C698" s="38">
        <f>'Preventative costs A'!C698-'Preventative costs B'!C698</f>
        <v>0</v>
      </c>
      <c r="D698" s="38">
        <f>'Preventative costs A'!D698-'Preventative costs B'!D698</f>
        <v>0</v>
      </c>
      <c r="E698" s="38">
        <f>'Preventative costs A'!E698-'Preventative costs B'!E698</f>
        <v>0</v>
      </c>
      <c r="F698" s="38">
        <f>'Preventative costs A'!F698-'Preventative costs B'!F698</f>
        <v>0</v>
      </c>
      <c r="G698" s="38">
        <f>'Preventative costs A'!G698-'Preventative costs B'!G698</f>
        <v>0</v>
      </c>
      <c r="H698" s="38">
        <f>'Preventative costs A'!H698-'Preventative costs B'!H698</f>
        <v>0</v>
      </c>
      <c r="I698" s="38">
        <f>'Preventative costs A'!I698-'Preventative costs B'!I698</f>
        <v>0</v>
      </c>
      <c r="J698" s="38">
        <f>'Preventative costs A'!J698-'Preventative costs B'!J698</f>
        <v>0</v>
      </c>
      <c r="K698" s="38">
        <f>'Preventative costs A'!K698-'Preventative costs B'!K698</f>
        <v>0</v>
      </c>
      <c r="L698" s="1"/>
      <c r="M698" s="43" t="str">
        <f t="shared" si="53"/>
        <v>$million</v>
      </c>
    </row>
    <row r="699" spans="1:13" x14ac:dyDescent="0.25">
      <c r="A699" s="1" t="str">
        <v>EE total</v>
      </c>
      <c r="B699" s="38">
        <f>'Preventative costs A'!B699-'Preventative costs B'!B699</f>
        <v>0</v>
      </c>
      <c r="C699" s="38">
        <f>'Preventative costs A'!C699-'Preventative costs B'!C699</f>
        <v>0</v>
      </c>
      <c r="D699" s="38">
        <f>'Preventative costs A'!D699-'Preventative costs B'!D699</f>
        <v>0</v>
      </c>
      <c r="E699" s="38">
        <f>'Preventative costs A'!E699-'Preventative costs B'!E699</f>
        <v>0</v>
      </c>
      <c r="F699" s="38">
        <f>'Preventative costs A'!F699-'Preventative costs B'!F699</f>
        <v>0</v>
      </c>
      <c r="G699" s="38">
        <f>'Preventative costs A'!G699-'Preventative costs B'!G699</f>
        <v>0</v>
      </c>
      <c r="H699" s="38">
        <f>'Preventative costs A'!H699-'Preventative costs B'!H699</f>
        <v>0</v>
      </c>
      <c r="I699" s="38">
        <f>'Preventative costs A'!I699-'Preventative costs B'!I699</f>
        <v>0</v>
      </c>
      <c r="J699" s="38">
        <f>'Preventative costs A'!J699-'Preventative costs B'!J699</f>
        <v>0</v>
      </c>
      <c r="K699" s="38">
        <f>'Preventative costs A'!K699-'Preventative costs B'!K699</f>
        <v>0</v>
      </c>
      <c r="L699" s="1"/>
      <c r="M699" s="43" t="str">
        <f t="shared" si="53"/>
        <v>$million</v>
      </c>
    </row>
    <row r="700" spans="1:13" x14ac:dyDescent="0.25">
      <c r="A700" s="1" t="str">
        <v>CA total</v>
      </c>
      <c r="B700" s="38">
        <f>'Preventative costs A'!B700-'Preventative costs B'!B700</f>
        <v>0</v>
      </c>
      <c r="C700" s="38">
        <f>'Preventative costs A'!C700-'Preventative costs B'!C700</f>
        <v>0</v>
      </c>
      <c r="D700" s="38">
        <f>'Preventative costs A'!D700-'Preventative costs B'!D700</f>
        <v>0</v>
      </c>
      <c r="E700" s="38">
        <f>'Preventative costs A'!E700-'Preventative costs B'!E700</f>
        <v>0</v>
      </c>
      <c r="F700" s="38">
        <f>'Preventative costs A'!F700-'Preventative costs B'!F700</f>
        <v>0</v>
      </c>
      <c r="G700" s="38">
        <f>'Preventative costs A'!G700-'Preventative costs B'!G700</f>
        <v>0</v>
      </c>
      <c r="H700" s="38">
        <f>'Preventative costs A'!H700-'Preventative costs B'!H700</f>
        <v>0</v>
      </c>
      <c r="I700" s="38">
        <f>'Preventative costs A'!I700-'Preventative costs B'!I700</f>
        <v>0</v>
      </c>
      <c r="J700" s="38">
        <f>'Preventative costs A'!J700-'Preventative costs B'!J700</f>
        <v>0</v>
      </c>
      <c r="K700" s="38">
        <f>'Preventative costs A'!K700-'Preventative costs B'!K700</f>
        <v>0</v>
      </c>
      <c r="L700" s="1"/>
      <c r="M700" s="43" t="str">
        <f t="shared" si="53"/>
        <v>$million</v>
      </c>
    </row>
    <row r="701" spans="1:13" x14ac:dyDescent="0.25">
      <c r="A701" s="1" t="str">
        <v>IA total</v>
      </c>
      <c r="B701" s="38">
        <f>'Preventative costs A'!B701-'Preventative costs B'!B701</f>
        <v>0</v>
      </c>
      <c r="C701" s="38">
        <f>'Preventative costs A'!C701-'Preventative costs B'!C701</f>
        <v>0</v>
      </c>
      <c r="D701" s="38">
        <f>'Preventative costs A'!D701-'Preventative costs B'!D701</f>
        <v>0</v>
      </c>
      <c r="E701" s="38">
        <f>'Preventative costs A'!E701-'Preventative costs B'!E701</f>
        <v>0</v>
      </c>
      <c r="F701" s="38">
        <f>'Preventative costs A'!F701-'Preventative costs B'!F701</f>
        <v>0</v>
      </c>
      <c r="G701" s="38">
        <f>'Preventative costs A'!G701-'Preventative costs B'!G701</f>
        <v>0</v>
      </c>
      <c r="H701" s="38">
        <f>'Preventative costs A'!H701-'Preventative costs B'!H701</f>
        <v>0</v>
      </c>
      <c r="I701" s="38">
        <f>'Preventative costs A'!I701-'Preventative costs B'!I701</f>
        <v>0</v>
      </c>
      <c r="J701" s="38">
        <f>'Preventative costs A'!J701-'Preventative costs B'!J701</f>
        <v>0</v>
      </c>
      <c r="K701" s="38">
        <f>'Preventative costs A'!K701-'Preventative costs B'!K701</f>
        <v>0</v>
      </c>
      <c r="L701" s="1"/>
      <c r="M701" s="43" t="str">
        <f t="shared" si="53"/>
        <v>$million</v>
      </c>
    </row>
    <row r="702" spans="1:13" x14ac:dyDescent="0.25">
      <c r="A702" s="1" t="str">
        <v>AF total</v>
      </c>
      <c r="B702" s="38">
        <f>'Preventative costs A'!B702-'Preventative costs B'!B702</f>
        <v>0</v>
      </c>
      <c r="C702" s="38">
        <f>'Preventative costs A'!C702-'Preventative costs B'!C702</f>
        <v>0</v>
      </c>
      <c r="D702" s="38">
        <f>'Preventative costs A'!D702-'Preventative costs B'!D702</f>
        <v>0</v>
      </c>
      <c r="E702" s="38">
        <f>'Preventative costs A'!E702-'Preventative costs B'!E702</f>
        <v>0</v>
      </c>
      <c r="F702" s="38">
        <f>'Preventative costs A'!F702-'Preventative costs B'!F702</f>
        <v>0</v>
      </c>
      <c r="G702" s="38">
        <f>'Preventative costs A'!G702-'Preventative costs B'!G702</f>
        <v>0</v>
      </c>
      <c r="H702" s="38">
        <f>'Preventative costs A'!H702-'Preventative costs B'!H702</f>
        <v>0</v>
      </c>
      <c r="I702" s="38">
        <f>'Preventative costs A'!I702-'Preventative costs B'!I702</f>
        <v>0</v>
      </c>
      <c r="J702" s="38">
        <f>'Preventative costs A'!J702-'Preventative costs B'!J702</f>
        <v>0</v>
      </c>
      <c r="K702" s="38">
        <f>'Preventative costs A'!K702-'Preventative costs B'!K702</f>
        <v>0</v>
      </c>
      <c r="L702" s="1"/>
      <c r="M702" s="43" t="str">
        <f t="shared" si="53"/>
        <v>$million</v>
      </c>
    </row>
    <row r="703" spans="1:13" x14ac:dyDescent="0.25">
      <c r="A703" s="1" t="str">
        <v>LA total</v>
      </c>
      <c r="B703" s="38">
        <f>'Preventative costs A'!B703-'Preventative costs B'!B703</f>
        <v>0</v>
      </c>
      <c r="C703" s="38">
        <f>'Preventative costs A'!C703-'Preventative costs B'!C703</f>
        <v>0</v>
      </c>
      <c r="D703" s="38">
        <f>'Preventative costs A'!D703-'Preventative costs B'!D703</f>
        <v>0</v>
      </c>
      <c r="E703" s="38">
        <f>'Preventative costs A'!E703-'Preventative costs B'!E703</f>
        <v>0</v>
      </c>
      <c r="F703" s="38">
        <f>'Preventative costs A'!F703-'Preventative costs B'!F703</f>
        <v>0</v>
      </c>
      <c r="G703" s="38">
        <f>'Preventative costs A'!G703-'Preventative costs B'!G703</f>
        <v>0</v>
      </c>
      <c r="H703" s="38">
        <f>'Preventative costs A'!H703-'Preventative costs B'!H703</f>
        <v>0</v>
      </c>
      <c r="I703" s="38">
        <f>'Preventative costs A'!I703-'Preventative costs B'!I703</f>
        <v>0</v>
      </c>
      <c r="J703" s="38">
        <f>'Preventative costs A'!J703-'Preventative costs B'!J703</f>
        <v>0</v>
      </c>
      <c r="K703" s="38">
        <f>'Preventative costs A'!K703-'Preventative costs B'!K703</f>
        <v>0</v>
      </c>
      <c r="L703" s="1"/>
      <c r="M703" s="43" t="str">
        <f t="shared" si="53"/>
        <v>$million</v>
      </c>
    </row>
    <row r="704" spans="1:13" ht="13" x14ac:dyDescent="0.3">
      <c r="A704" s="2" t="s">
        <v>313</v>
      </c>
      <c r="B704" s="54">
        <f>'Preventative costs A'!B704-'Preventative costs B'!B704</f>
        <v>0</v>
      </c>
      <c r="C704" s="54">
        <f>'Preventative costs A'!C704-'Preventative costs B'!C704</f>
        <v>0</v>
      </c>
      <c r="D704" s="54">
        <f>'Preventative costs A'!D704-'Preventative costs B'!D704</f>
        <v>0</v>
      </c>
      <c r="E704" s="54">
        <f>'Preventative costs A'!E704-'Preventative costs B'!E704</f>
        <v>0</v>
      </c>
      <c r="F704" s="54">
        <f>'Preventative costs A'!F704-'Preventative costs B'!F704</f>
        <v>0</v>
      </c>
      <c r="G704" s="54">
        <f>'Preventative costs A'!G704-'Preventative costs B'!G704</f>
        <v>0</v>
      </c>
      <c r="H704" s="54">
        <f>'Preventative costs A'!H704-'Preventative costs B'!H704</f>
        <v>0</v>
      </c>
      <c r="I704" s="54">
        <f>'Preventative costs A'!I704-'Preventative costs B'!I704</f>
        <v>0</v>
      </c>
      <c r="J704" s="54">
        <f>'Preventative costs A'!J704-'Preventative costs B'!J704</f>
        <v>0</v>
      </c>
      <c r="K704" s="54">
        <f>'Preventative costs A'!K704-'Preventative costs B'!K704</f>
        <v>0</v>
      </c>
      <c r="L704" s="1"/>
      <c r="M704" s="43" t="str">
        <f t="shared" si="53"/>
        <v>$million</v>
      </c>
    </row>
    <row r="705" spans="1:13" s="2" customFormat="1" ht="15" x14ac:dyDescent="0.4">
      <c r="A705" s="2" t="s">
        <v>146</v>
      </c>
      <c r="B705" s="2" t="s">
        <v>427</v>
      </c>
      <c r="L705" s="2" t="s">
        <v>118</v>
      </c>
    </row>
    <row r="706" spans="1:13" x14ac:dyDescent="0.25">
      <c r="A706" s="1" t="str">
        <f t="array" ref="A706:A713">R_CODE&amp;" total"</f>
        <v>EU total</v>
      </c>
      <c r="B706" s="37">
        <f>'Preventative costs A'!B706-'Preventative costs B'!B706</f>
        <v>0</v>
      </c>
      <c r="C706" s="37">
        <f>'Preventative costs A'!C706-'Preventative costs B'!C706</f>
        <v>0</v>
      </c>
      <c r="D706" s="37">
        <f>'Preventative costs A'!D706-'Preventative costs B'!D706</f>
        <v>0</v>
      </c>
      <c r="E706" s="37">
        <f>'Preventative costs A'!E706-'Preventative costs B'!E706</f>
        <v>0</v>
      </c>
      <c r="F706" s="37">
        <f>'Preventative costs A'!F706-'Preventative costs B'!F706</f>
        <v>0</v>
      </c>
      <c r="G706" s="37">
        <f>'Preventative costs A'!G706-'Preventative costs B'!G706</f>
        <v>0</v>
      </c>
      <c r="H706" s="37">
        <f>'Preventative costs A'!H706-'Preventative costs B'!H706</f>
        <v>0</v>
      </c>
      <c r="I706" s="37">
        <f>'Preventative costs A'!I706-'Preventative costs B'!I706</f>
        <v>0</v>
      </c>
      <c r="J706" s="37">
        <f>'Preventative costs A'!J706-'Preventative costs B'!J706</f>
        <v>0</v>
      </c>
      <c r="K706" s="37">
        <f>'Preventative costs A'!K706-'Preventative costs B'!K706</f>
        <v>0</v>
      </c>
      <c r="L706" s="54">
        <f>'Preventative costs A'!L706-'Preventative costs B'!L706</f>
        <v>0</v>
      </c>
      <c r="M706" s="43" t="str">
        <f t="shared" ref="M706:M715" si="54">CURRENCY_NAME</f>
        <v>$million</v>
      </c>
    </row>
    <row r="707" spans="1:13" x14ac:dyDescent="0.25">
      <c r="A707" s="1" t="str">
        <v>US total</v>
      </c>
      <c r="B707" s="38">
        <f>'Preventative costs A'!B707-'Preventative costs B'!B707</f>
        <v>0</v>
      </c>
      <c r="C707" s="38">
        <f>'Preventative costs A'!C707-'Preventative costs B'!C707</f>
        <v>0</v>
      </c>
      <c r="D707" s="38">
        <f>'Preventative costs A'!D707-'Preventative costs B'!D707</f>
        <v>0</v>
      </c>
      <c r="E707" s="38">
        <f>'Preventative costs A'!E707-'Preventative costs B'!E707</f>
        <v>0</v>
      </c>
      <c r="F707" s="38">
        <f>'Preventative costs A'!F707-'Preventative costs B'!F707</f>
        <v>0</v>
      </c>
      <c r="G707" s="38">
        <f>'Preventative costs A'!G707-'Preventative costs B'!G707</f>
        <v>0</v>
      </c>
      <c r="H707" s="38">
        <f>'Preventative costs A'!H707-'Preventative costs B'!H707</f>
        <v>0</v>
      </c>
      <c r="I707" s="38">
        <f>'Preventative costs A'!I707-'Preventative costs B'!I707</f>
        <v>0</v>
      </c>
      <c r="J707" s="38">
        <f>'Preventative costs A'!J707-'Preventative costs B'!J707</f>
        <v>0</v>
      </c>
      <c r="K707" s="38">
        <f>'Preventative costs A'!K707-'Preventative costs B'!K707</f>
        <v>0</v>
      </c>
      <c r="L707" s="54">
        <f>'Preventative costs A'!L707-'Preventative costs B'!L707</f>
        <v>0</v>
      </c>
      <c r="M707" s="43" t="str">
        <f t="shared" si="54"/>
        <v>$million</v>
      </c>
    </row>
    <row r="708" spans="1:13" x14ac:dyDescent="0.25">
      <c r="A708" s="1" t="str">
        <v>OT total</v>
      </c>
      <c r="B708" s="38">
        <f>'Preventative costs A'!B708-'Preventative costs B'!B708</f>
        <v>0</v>
      </c>
      <c r="C708" s="38">
        <f>'Preventative costs A'!C708-'Preventative costs B'!C708</f>
        <v>0</v>
      </c>
      <c r="D708" s="38">
        <f>'Preventative costs A'!D708-'Preventative costs B'!D708</f>
        <v>0</v>
      </c>
      <c r="E708" s="38">
        <f>'Preventative costs A'!E708-'Preventative costs B'!E708</f>
        <v>0</v>
      </c>
      <c r="F708" s="38">
        <f>'Preventative costs A'!F708-'Preventative costs B'!F708</f>
        <v>0</v>
      </c>
      <c r="G708" s="38">
        <f>'Preventative costs A'!G708-'Preventative costs B'!G708</f>
        <v>0</v>
      </c>
      <c r="H708" s="38">
        <f>'Preventative costs A'!H708-'Preventative costs B'!H708</f>
        <v>0</v>
      </c>
      <c r="I708" s="38">
        <f>'Preventative costs A'!I708-'Preventative costs B'!I708</f>
        <v>0</v>
      </c>
      <c r="J708" s="38">
        <f>'Preventative costs A'!J708-'Preventative costs B'!J708</f>
        <v>0</v>
      </c>
      <c r="K708" s="38">
        <f>'Preventative costs A'!K708-'Preventative costs B'!K708</f>
        <v>0</v>
      </c>
      <c r="L708" s="54">
        <f>'Preventative costs A'!L708-'Preventative costs B'!L708</f>
        <v>0</v>
      </c>
      <c r="M708" s="43" t="str">
        <f t="shared" si="54"/>
        <v>$million</v>
      </c>
    </row>
    <row r="709" spans="1:13" x14ac:dyDescent="0.25">
      <c r="A709" s="1" t="str">
        <v>EE total</v>
      </c>
      <c r="B709" s="38">
        <f>'Preventative costs A'!B709-'Preventative costs B'!B709</f>
        <v>0</v>
      </c>
      <c r="C709" s="38">
        <f>'Preventative costs A'!C709-'Preventative costs B'!C709</f>
        <v>0</v>
      </c>
      <c r="D709" s="38">
        <f>'Preventative costs A'!D709-'Preventative costs B'!D709</f>
        <v>0</v>
      </c>
      <c r="E709" s="38">
        <f>'Preventative costs A'!E709-'Preventative costs B'!E709</f>
        <v>0</v>
      </c>
      <c r="F709" s="38">
        <f>'Preventative costs A'!F709-'Preventative costs B'!F709</f>
        <v>0</v>
      </c>
      <c r="G709" s="38">
        <f>'Preventative costs A'!G709-'Preventative costs B'!G709</f>
        <v>0</v>
      </c>
      <c r="H709" s="38">
        <f>'Preventative costs A'!H709-'Preventative costs B'!H709</f>
        <v>0</v>
      </c>
      <c r="I709" s="38">
        <f>'Preventative costs A'!I709-'Preventative costs B'!I709</f>
        <v>0</v>
      </c>
      <c r="J709" s="38">
        <f>'Preventative costs A'!J709-'Preventative costs B'!J709</f>
        <v>0</v>
      </c>
      <c r="K709" s="38">
        <f>'Preventative costs A'!K709-'Preventative costs B'!K709</f>
        <v>0</v>
      </c>
      <c r="L709" s="54">
        <f>'Preventative costs A'!L709-'Preventative costs B'!L709</f>
        <v>0</v>
      </c>
      <c r="M709" s="43" t="str">
        <f t="shared" si="54"/>
        <v>$million</v>
      </c>
    </row>
    <row r="710" spans="1:13" x14ac:dyDescent="0.25">
      <c r="A710" s="1" t="str">
        <v>CA total</v>
      </c>
      <c r="B710" s="38">
        <f>'Preventative costs A'!B710-'Preventative costs B'!B710</f>
        <v>0</v>
      </c>
      <c r="C710" s="38">
        <f>'Preventative costs A'!C710-'Preventative costs B'!C710</f>
        <v>0</v>
      </c>
      <c r="D710" s="38">
        <f>'Preventative costs A'!D710-'Preventative costs B'!D710</f>
        <v>0</v>
      </c>
      <c r="E710" s="38">
        <f>'Preventative costs A'!E710-'Preventative costs B'!E710</f>
        <v>0</v>
      </c>
      <c r="F710" s="38">
        <f>'Preventative costs A'!F710-'Preventative costs B'!F710</f>
        <v>0</v>
      </c>
      <c r="G710" s="38">
        <f>'Preventative costs A'!G710-'Preventative costs B'!G710</f>
        <v>0</v>
      </c>
      <c r="H710" s="38">
        <f>'Preventative costs A'!H710-'Preventative costs B'!H710</f>
        <v>0</v>
      </c>
      <c r="I710" s="38">
        <f>'Preventative costs A'!I710-'Preventative costs B'!I710</f>
        <v>0</v>
      </c>
      <c r="J710" s="38">
        <f>'Preventative costs A'!J710-'Preventative costs B'!J710</f>
        <v>0</v>
      </c>
      <c r="K710" s="38">
        <f>'Preventative costs A'!K710-'Preventative costs B'!K710</f>
        <v>0</v>
      </c>
      <c r="L710" s="54">
        <f>'Preventative costs A'!L710-'Preventative costs B'!L710</f>
        <v>0</v>
      </c>
      <c r="M710" s="43" t="str">
        <f t="shared" si="54"/>
        <v>$million</v>
      </c>
    </row>
    <row r="711" spans="1:13" x14ac:dyDescent="0.25">
      <c r="A711" s="1" t="str">
        <v>IA total</v>
      </c>
      <c r="B711" s="38">
        <f>'Preventative costs A'!B711-'Preventative costs B'!B711</f>
        <v>0</v>
      </c>
      <c r="C711" s="38">
        <f>'Preventative costs A'!C711-'Preventative costs B'!C711</f>
        <v>0</v>
      </c>
      <c r="D711" s="38">
        <f>'Preventative costs A'!D711-'Preventative costs B'!D711</f>
        <v>0</v>
      </c>
      <c r="E711" s="38">
        <f>'Preventative costs A'!E711-'Preventative costs B'!E711</f>
        <v>0</v>
      </c>
      <c r="F711" s="38">
        <f>'Preventative costs A'!F711-'Preventative costs B'!F711</f>
        <v>0</v>
      </c>
      <c r="G711" s="38">
        <f>'Preventative costs A'!G711-'Preventative costs B'!G711</f>
        <v>0</v>
      </c>
      <c r="H711" s="38">
        <f>'Preventative costs A'!H711-'Preventative costs B'!H711</f>
        <v>0</v>
      </c>
      <c r="I711" s="38">
        <f>'Preventative costs A'!I711-'Preventative costs B'!I711</f>
        <v>0</v>
      </c>
      <c r="J711" s="38">
        <f>'Preventative costs A'!J711-'Preventative costs B'!J711</f>
        <v>0</v>
      </c>
      <c r="K711" s="38">
        <f>'Preventative costs A'!K711-'Preventative costs B'!K711</f>
        <v>0</v>
      </c>
      <c r="L711" s="54">
        <f>'Preventative costs A'!L711-'Preventative costs B'!L711</f>
        <v>0</v>
      </c>
      <c r="M711" s="43" t="str">
        <f t="shared" si="54"/>
        <v>$million</v>
      </c>
    </row>
    <row r="712" spans="1:13" x14ac:dyDescent="0.25">
      <c r="A712" s="1" t="str">
        <v>AF total</v>
      </c>
      <c r="B712" s="38">
        <f>'Preventative costs A'!B712-'Preventative costs B'!B712</f>
        <v>0</v>
      </c>
      <c r="C712" s="38">
        <f>'Preventative costs A'!C712-'Preventative costs B'!C712</f>
        <v>0</v>
      </c>
      <c r="D712" s="38">
        <f>'Preventative costs A'!D712-'Preventative costs B'!D712</f>
        <v>0</v>
      </c>
      <c r="E712" s="38">
        <f>'Preventative costs A'!E712-'Preventative costs B'!E712</f>
        <v>0</v>
      </c>
      <c r="F712" s="38">
        <f>'Preventative costs A'!F712-'Preventative costs B'!F712</f>
        <v>0</v>
      </c>
      <c r="G712" s="38">
        <f>'Preventative costs A'!G712-'Preventative costs B'!G712</f>
        <v>0</v>
      </c>
      <c r="H712" s="38">
        <f>'Preventative costs A'!H712-'Preventative costs B'!H712</f>
        <v>0</v>
      </c>
      <c r="I712" s="38">
        <f>'Preventative costs A'!I712-'Preventative costs B'!I712</f>
        <v>0</v>
      </c>
      <c r="J712" s="38">
        <f>'Preventative costs A'!J712-'Preventative costs B'!J712</f>
        <v>0</v>
      </c>
      <c r="K712" s="38">
        <f>'Preventative costs A'!K712-'Preventative costs B'!K712</f>
        <v>0</v>
      </c>
      <c r="L712" s="54">
        <f>'Preventative costs A'!L712-'Preventative costs B'!L712</f>
        <v>0</v>
      </c>
      <c r="M712" s="43" t="str">
        <f t="shared" si="54"/>
        <v>$million</v>
      </c>
    </row>
    <row r="713" spans="1:13" x14ac:dyDescent="0.25">
      <c r="A713" s="1" t="str">
        <v>LA total</v>
      </c>
      <c r="B713" s="38">
        <f>'Preventative costs A'!B713-'Preventative costs B'!B713</f>
        <v>0</v>
      </c>
      <c r="C713" s="38">
        <f>'Preventative costs A'!C713-'Preventative costs B'!C713</f>
        <v>0</v>
      </c>
      <c r="D713" s="38">
        <f>'Preventative costs A'!D713-'Preventative costs B'!D713</f>
        <v>0</v>
      </c>
      <c r="E713" s="38">
        <f>'Preventative costs A'!E713-'Preventative costs B'!E713</f>
        <v>0</v>
      </c>
      <c r="F713" s="38">
        <f>'Preventative costs A'!F713-'Preventative costs B'!F713</f>
        <v>0</v>
      </c>
      <c r="G713" s="38">
        <f>'Preventative costs A'!G713-'Preventative costs B'!G713</f>
        <v>0</v>
      </c>
      <c r="H713" s="38">
        <f>'Preventative costs A'!H713-'Preventative costs B'!H713</f>
        <v>0</v>
      </c>
      <c r="I713" s="38">
        <f>'Preventative costs A'!I713-'Preventative costs B'!I713</f>
        <v>0</v>
      </c>
      <c r="J713" s="38">
        <f>'Preventative costs A'!J713-'Preventative costs B'!J713</f>
        <v>0</v>
      </c>
      <c r="K713" s="38">
        <f>'Preventative costs A'!K713-'Preventative costs B'!K713</f>
        <v>0</v>
      </c>
      <c r="L713" s="54">
        <f>'Preventative costs A'!L713-'Preventative costs B'!L713</f>
        <v>0</v>
      </c>
      <c r="M713" s="43" t="str">
        <f t="shared" si="54"/>
        <v>$million</v>
      </c>
    </row>
    <row r="714" spans="1:13" ht="13" x14ac:dyDescent="0.3">
      <c r="A714" s="2" t="s">
        <v>313</v>
      </c>
      <c r="B714" s="54">
        <f>'Preventative costs A'!B714-'Preventative costs B'!B714</f>
        <v>0</v>
      </c>
      <c r="C714" s="54">
        <f>'Preventative costs A'!C714-'Preventative costs B'!C714</f>
        <v>0</v>
      </c>
      <c r="D714" s="54">
        <f>'Preventative costs A'!D714-'Preventative costs B'!D714</f>
        <v>0</v>
      </c>
      <c r="E714" s="54">
        <f>'Preventative costs A'!E714-'Preventative costs B'!E714</f>
        <v>0</v>
      </c>
      <c r="F714" s="54">
        <f>'Preventative costs A'!F714-'Preventative costs B'!F714</f>
        <v>0</v>
      </c>
      <c r="G714" s="54">
        <f>'Preventative costs A'!G714-'Preventative costs B'!G714</f>
        <v>0</v>
      </c>
      <c r="H714" s="54">
        <f>'Preventative costs A'!H714-'Preventative costs B'!H714</f>
        <v>0</v>
      </c>
      <c r="I714" s="54">
        <f>'Preventative costs A'!I714-'Preventative costs B'!I714</f>
        <v>0</v>
      </c>
      <c r="J714" s="54">
        <f>'Preventative costs A'!J714-'Preventative costs B'!J714</f>
        <v>0</v>
      </c>
      <c r="K714" s="54">
        <f>'Preventative costs A'!K714-'Preventative costs B'!K714</f>
        <v>0</v>
      </c>
      <c r="L714" s="54">
        <f>'Preventative costs A'!L714-'Preventative costs B'!L714</f>
        <v>0</v>
      </c>
      <c r="M714" s="43" t="str">
        <f t="shared" si="54"/>
        <v>$million</v>
      </c>
    </row>
    <row r="715" spans="1:13" ht="13.5" thickBot="1" x14ac:dyDescent="0.35">
      <c r="A715" s="2" t="s">
        <v>428</v>
      </c>
      <c r="L715" s="56">
        <f>'Preventative costs A'!L715-'Preventative costs B'!L715</f>
        <v>0</v>
      </c>
      <c r="M715" s="43" t="str">
        <f t="shared" si="54"/>
        <v>$million</v>
      </c>
    </row>
    <row r="716" spans="1:13" ht="13" thickTop="1" x14ac:dyDescent="0.25"/>
  </sheetData>
  <pageMargins left="0.75" right="0.75" top="1" bottom="1" header="0.5" footer="0.5"/>
  <pageSetup paperSize="9" orientation="portrait" horizontalDpi="4294967293"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80"/>
  <sheetViews>
    <sheetView workbookViewId="0"/>
  </sheetViews>
  <sheetFormatPr defaultRowHeight="12.5" x14ac:dyDescent="0.25"/>
  <cols>
    <col min="1" max="1" width="25.54296875" bestFit="1" customWidth="1"/>
    <col min="2" max="2" width="9.453125" bestFit="1" customWidth="1"/>
    <col min="3" max="4" width="9.26953125" bestFit="1" customWidth="1"/>
    <col min="5" max="5" width="9.453125" bestFit="1" customWidth="1"/>
    <col min="6" max="13" width="9" bestFit="1" customWidth="1"/>
  </cols>
  <sheetData>
    <row r="1" spans="1:13" ht="13" x14ac:dyDescent="0.3">
      <c r="A1" s="2" t="str">
        <f>MODEL_NAME</f>
        <v>PAGE09</v>
      </c>
      <c r="B1" t="s">
        <v>44</v>
      </c>
      <c r="C1" s="71">
        <f>VERSION</f>
        <v>1.7</v>
      </c>
    </row>
    <row r="2" spans="1:13" ht="13" x14ac:dyDescent="0.3">
      <c r="A2" s="2" t="s">
        <v>120</v>
      </c>
      <c r="B2" s="3" t="s">
        <v>430</v>
      </c>
      <c r="C2" s="3" t="s">
        <v>430</v>
      </c>
      <c r="D2" s="3" t="str">
        <f>I_1_NAME</f>
        <v>Economic</v>
      </c>
      <c r="E2" s="3" t="str">
        <f>I_1_NAME</f>
        <v>Economic</v>
      </c>
      <c r="F2" s="3" t="str">
        <f>I_2_NAME</f>
        <v>Non-econ</v>
      </c>
      <c r="G2" s="3" t="str">
        <f>I_2_NAME</f>
        <v>Non-econ</v>
      </c>
    </row>
    <row r="3" spans="1:13" x14ac:dyDescent="0.25">
      <c r="B3" s="3" t="s">
        <v>58</v>
      </c>
      <c r="C3" s="3" t="s">
        <v>431</v>
      </c>
      <c r="D3" s="3" t="s">
        <v>58</v>
      </c>
      <c r="E3" s="3" t="s">
        <v>431</v>
      </c>
      <c r="F3" s="3" t="s">
        <v>58</v>
      </c>
      <c r="G3" s="3" t="s">
        <v>431</v>
      </c>
    </row>
    <row r="4" spans="1:13" ht="15.5" x14ac:dyDescent="0.4">
      <c r="B4" s="3" t="s">
        <v>432</v>
      </c>
      <c r="C4" s="3" t="s">
        <v>433</v>
      </c>
      <c r="D4" s="3" t="s">
        <v>121</v>
      </c>
      <c r="E4" s="3" t="s">
        <v>122</v>
      </c>
      <c r="F4" s="3" t="s">
        <v>123</v>
      </c>
      <c r="G4" s="3" t="s">
        <v>124</v>
      </c>
    </row>
    <row r="5" spans="1:13" x14ac:dyDescent="0.25">
      <c r="A5" t="str">
        <f t="array" ref="A5:A12">R_CODE</f>
        <v>EU</v>
      </c>
      <c r="B5" s="19">
        <f>CP_S_1</f>
        <v>2.3333333330000001E-2</v>
      </c>
      <c r="C5" s="19">
        <f>CI_S_1</f>
        <v>1.166666667E-3</v>
      </c>
      <c r="D5" s="19">
        <f>CP_1_1</f>
        <v>1.1666666670000001E-2</v>
      </c>
      <c r="E5" s="19">
        <f>CI_1_1</f>
        <v>4.0000000000000001E-3</v>
      </c>
      <c r="F5" s="19">
        <f>CP_2_1</f>
        <v>2.3333333330000001E-2</v>
      </c>
      <c r="G5" s="19">
        <f>CI_2_1</f>
        <v>5.6666666670000003E-3</v>
      </c>
    </row>
    <row r="6" spans="1:13" x14ac:dyDescent="0.25">
      <c r="A6" t="str">
        <v>US</v>
      </c>
      <c r="B6" s="21">
        <f t="array" ref="B6:B12">CP_S_1*CF</f>
        <v>1.8666666664000003E-2</v>
      </c>
      <c r="C6" s="21">
        <f t="array" ref="C6:C12">CI_S_1*CF</f>
        <v>9.333333336E-4</v>
      </c>
      <c r="D6" s="21">
        <f t="array" ref="D6:D12">CP_1_1*CF</f>
        <v>9.3333333360000013E-3</v>
      </c>
      <c r="E6" s="21">
        <f t="array" ref="E6:E12">CI_1_1*CF</f>
        <v>3.2000000000000002E-3</v>
      </c>
      <c r="F6" s="21">
        <f t="array" ref="F6:F12">CP_2_1*CF</f>
        <v>1.8666666664000003E-2</v>
      </c>
      <c r="G6" s="21">
        <f t="array" ref="G6:G12">CI_2_1*CF</f>
        <v>4.5333333336000006E-3</v>
      </c>
    </row>
    <row r="7" spans="1:13" x14ac:dyDescent="0.25">
      <c r="A7" t="str">
        <v>OT</v>
      </c>
      <c r="B7" s="21">
        <v>1.8666666664000003E-2</v>
      </c>
      <c r="C7" s="21">
        <v>9.333333336E-4</v>
      </c>
      <c r="D7" s="21">
        <v>9.3333333360000013E-3</v>
      </c>
      <c r="E7" s="21">
        <v>3.2000000000000002E-3</v>
      </c>
      <c r="F7" s="21">
        <v>1.8666666664000003E-2</v>
      </c>
      <c r="G7" s="21">
        <v>4.5333333336000006E-3</v>
      </c>
    </row>
    <row r="8" spans="1:13" x14ac:dyDescent="0.25">
      <c r="A8" t="str">
        <v>EE</v>
      </c>
      <c r="B8" s="21">
        <v>9.3333333320000014E-3</v>
      </c>
      <c r="C8" s="21">
        <v>4.666666668E-4</v>
      </c>
      <c r="D8" s="21">
        <v>4.6666666680000007E-3</v>
      </c>
      <c r="E8" s="21">
        <v>1.6000000000000001E-3</v>
      </c>
      <c r="F8" s="21">
        <v>9.3333333320000014E-3</v>
      </c>
      <c r="G8" s="21">
        <v>2.2666666668000003E-3</v>
      </c>
    </row>
    <row r="9" spans="1:13" x14ac:dyDescent="0.25">
      <c r="A9" t="str">
        <v>CA</v>
      </c>
      <c r="B9" s="21">
        <v>1.8666666664000003E-2</v>
      </c>
      <c r="C9" s="21">
        <v>9.333333336E-4</v>
      </c>
      <c r="D9" s="21">
        <v>9.3333333360000013E-3</v>
      </c>
      <c r="E9" s="21">
        <v>3.2000000000000002E-3</v>
      </c>
      <c r="F9" s="21">
        <v>1.8666666664000003E-2</v>
      </c>
      <c r="G9" s="21">
        <v>4.5333333336000006E-3</v>
      </c>
    </row>
    <row r="10" spans="1:13" x14ac:dyDescent="0.25">
      <c r="A10" t="str">
        <v>IA</v>
      </c>
      <c r="B10" s="21">
        <v>1.8666666664000003E-2</v>
      </c>
      <c r="C10" s="21">
        <v>9.333333336E-4</v>
      </c>
      <c r="D10" s="21">
        <v>9.3333333360000013E-3</v>
      </c>
      <c r="E10" s="21">
        <v>3.2000000000000002E-3</v>
      </c>
      <c r="F10" s="21">
        <v>1.8666666664000003E-2</v>
      </c>
      <c r="G10" s="21">
        <v>4.5333333336000006E-3</v>
      </c>
    </row>
    <row r="11" spans="1:13" x14ac:dyDescent="0.25">
      <c r="A11" t="str">
        <v>AF</v>
      </c>
      <c r="B11" s="21">
        <v>1.3999999997999999E-2</v>
      </c>
      <c r="C11" s="21">
        <v>7.0000000019999995E-4</v>
      </c>
      <c r="D11" s="21">
        <v>7.0000000020000001E-3</v>
      </c>
      <c r="E11" s="21">
        <v>2.3999999999999998E-3</v>
      </c>
      <c r="F11" s="21">
        <v>1.3999999997999999E-2</v>
      </c>
      <c r="G11" s="21">
        <v>3.4000000002E-3</v>
      </c>
    </row>
    <row r="12" spans="1:13" ht="13" thickBot="1" x14ac:dyDescent="0.3">
      <c r="A12" t="str">
        <v>LA</v>
      </c>
      <c r="B12" s="23">
        <v>1.3999999997999999E-2</v>
      </c>
      <c r="C12" s="23">
        <v>7.0000000019999995E-4</v>
      </c>
      <c r="D12" s="23">
        <v>7.0000000020000001E-3</v>
      </c>
      <c r="E12" s="23">
        <v>2.3999999999999998E-3</v>
      </c>
      <c r="F12" s="23">
        <v>1.3999999997999999E-2</v>
      </c>
      <c r="G12" s="23">
        <v>3.4000000002E-3</v>
      </c>
    </row>
    <row r="13" spans="1:13" ht="13" thickTop="1" x14ac:dyDescent="0.25">
      <c r="B13" t="str">
        <f>'Library data'!$G$54</f>
        <v>%GDP per metre</v>
      </c>
      <c r="C13" t="str">
        <f>'Library data'!$G$55</f>
        <v>%GDP per %reduction per metre</v>
      </c>
      <c r="D13" t="str">
        <f>'Library data'!$G$56</f>
        <v>%GDP per degC</v>
      </c>
      <c r="E13" t="str">
        <f>'Library data'!$G$57</f>
        <v>%GDP per %reduction per degC</v>
      </c>
      <c r="F13" t="str">
        <f>'Library data'!$G$58</f>
        <v>%GDP per degC</v>
      </c>
      <c r="G13" t="str">
        <f>'Library data'!$G$59</f>
        <v>%GDP per %reduction per degC</v>
      </c>
    </row>
    <row r="15" spans="1:13" x14ac:dyDescent="0.25">
      <c r="B15">
        <f t="array" ref="B15:K15">Y</f>
        <v>2010</v>
      </c>
      <c r="C15">
        <v>2020</v>
      </c>
      <c r="D15">
        <v>2030</v>
      </c>
      <c r="E15">
        <v>2040</v>
      </c>
      <c r="F15">
        <v>2050</v>
      </c>
      <c r="G15">
        <v>2060</v>
      </c>
      <c r="H15">
        <v>2080</v>
      </c>
      <c r="I15">
        <v>2100</v>
      </c>
      <c r="J15">
        <v>2200</v>
      </c>
      <c r="K15">
        <v>2300</v>
      </c>
    </row>
    <row r="16" spans="1:13" s="4" customFormat="1" x14ac:dyDescent="0.25">
      <c r="A16" s="4" t="s">
        <v>71</v>
      </c>
      <c r="B16" s="20">
        <f t="array" ref="B16:K16">YP</f>
        <v>10</v>
      </c>
      <c r="C16" s="20">
        <v>10</v>
      </c>
      <c r="D16" s="20">
        <v>10</v>
      </c>
      <c r="E16" s="20">
        <v>10</v>
      </c>
      <c r="F16" s="20">
        <v>10</v>
      </c>
      <c r="G16" s="20">
        <v>10</v>
      </c>
      <c r="H16" s="20">
        <v>20</v>
      </c>
      <c r="I16" s="20">
        <v>20</v>
      </c>
      <c r="J16" s="20">
        <v>100</v>
      </c>
      <c r="K16" s="20">
        <v>100</v>
      </c>
      <c r="M16" s="4" t="s">
        <v>47</v>
      </c>
    </row>
    <row r="17" spans="1:13" s="4" customFormat="1" x14ac:dyDescent="0.25">
      <c r="A17" s="4" t="s">
        <v>113</v>
      </c>
      <c r="B17" s="22">
        <f t="array" ref="B17:K17">Y_HI</f>
        <v>2015</v>
      </c>
      <c r="C17" s="22">
        <v>2025</v>
      </c>
      <c r="D17" s="22">
        <v>2035</v>
      </c>
      <c r="E17" s="22">
        <v>2045</v>
      </c>
      <c r="F17" s="22">
        <v>2055</v>
      </c>
      <c r="G17" s="22">
        <v>2070</v>
      </c>
      <c r="H17" s="22">
        <v>2090</v>
      </c>
      <c r="I17" s="22">
        <v>2150</v>
      </c>
      <c r="J17" s="22">
        <v>2250</v>
      </c>
      <c r="K17" s="22">
        <v>2300</v>
      </c>
    </row>
    <row r="18" spans="1:13" s="4" customFormat="1" x14ac:dyDescent="0.25">
      <c r="A18" s="4" t="s">
        <v>114</v>
      </c>
      <c r="B18" s="22">
        <f t="array" ref="B18:K18">Y_LO</f>
        <v>2000</v>
      </c>
      <c r="C18" s="22">
        <v>2015</v>
      </c>
      <c r="D18" s="22">
        <v>2025</v>
      </c>
      <c r="E18" s="22">
        <v>2035</v>
      </c>
      <c r="F18" s="22">
        <v>2045</v>
      </c>
      <c r="G18" s="22">
        <v>2055</v>
      </c>
      <c r="H18" s="22">
        <v>2070</v>
      </c>
      <c r="I18" s="22">
        <v>2090</v>
      </c>
      <c r="J18" s="22">
        <v>2150</v>
      </c>
      <c r="K18" s="22">
        <v>2250</v>
      </c>
    </row>
    <row r="19" spans="1:13" s="4" customFormat="1" ht="13" thickBot="1" x14ac:dyDescent="0.3">
      <c r="A19" s="4" t="s">
        <v>112</v>
      </c>
      <c r="B19" s="24">
        <f t="array" ref="B19:K19">YAGG</f>
        <v>15</v>
      </c>
      <c r="C19" s="24">
        <v>10</v>
      </c>
      <c r="D19" s="24">
        <v>10</v>
      </c>
      <c r="E19" s="24">
        <v>10</v>
      </c>
      <c r="F19" s="24">
        <v>10</v>
      </c>
      <c r="G19" s="24">
        <v>15</v>
      </c>
      <c r="H19" s="24">
        <v>20</v>
      </c>
      <c r="I19" s="24">
        <v>60</v>
      </c>
      <c r="J19" s="24">
        <v>100</v>
      </c>
      <c r="K19" s="24">
        <v>50</v>
      </c>
      <c r="M19" s="4" t="s">
        <v>47</v>
      </c>
    </row>
    <row r="20" spans="1:13" ht="13" thickTop="1" x14ac:dyDescent="0.25"/>
    <row r="21" spans="1:13" s="2" customFormat="1" ht="15" x14ac:dyDescent="0.4">
      <c r="A21" s="2" t="s">
        <v>434</v>
      </c>
      <c r="B21" s="2" t="s">
        <v>435</v>
      </c>
    </row>
    <row r="22" spans="1:13" s="4" customFormat="1" x14ac:dyDescent="0.25">
      <c r="A22" t="str">
        <f t="array" ref="A22:A29">R_CODE&amp;" sea level"</f>
        <v>EU sea level</v>
      </c>
      <c r="B22" s="37">
        <f t="array" ref="B22:K29">atl_s*CP_S*GDP/100*AUTOFAC</f>
        <v>343.30665188590541</v>
      </c>
      <c r="C22" s="37">
        <v>813.41683300964257</v>
      </c>
      <c r="D22" s="37">
        <v>938.15669148696099</v>
      </c>
      <c r="E22" s="37">
        <v>1044.852034823419</v>
      </c>
      <c r="F22" s="37">
        <v>1141.2989960182272</v>
      </c>
      <c r="G22" s="37">
        <v>1237.8330245421887</v>
      </c>
      <c r="H22" s="37">
        <v>1451.4406918929201</v>
      </c>
      <c r="I22" s="37">
        <v>1725.7258137857089</v>
      </c>
      <c r="J22" s="37">
        <v>4465.3803458503507</v>
      </c>
      <c r="K22" s="37">
        <v>5472.3923606568151</v>
      </c>
      <c r="M22" s="4" t="str">
        <f t="shared" ref="M22:M30" si="0">CURRENCY_NAME</f>
        <v>$million</v>
      </c>
    </row>
    <row r="23" spans="1:13" s="4" customFormat="1" x14ac:dyDescent="0.25">
      <c r="A23" t="str">
        <v>US sea level</v>
      </c>
      <c r="B23" s="38">
        <v>283.23195867066062</v>
      </c>
      <c r="C23" s="38">
        <v>685.7242602652401</v>
      </c>
      <c r="D23" s="38">
        <v>804.9991342620383</v>
      </c>
      <c r="E23" s="38">
        <v>934.9079209506524</v>
      </c>
      <c r="F23" s="38">
        <v>1067.1777160218428</v>
      </c>
      <c r="G23" s="38">
        <v>1203.2971826540811</v>
      </c>
      <c r="H23" s="38">
        <v>1519.6231108856584</v>
      </c>
      <c r="I23" s="38">
        <v>1893.3216781033591</v>
      </c>
      <c r="J23" s="38">
        <v>4899.0409381596974</v>
      </c>
      <c r="K23" s="38">
        <v>6003.8500929588208</v>
      </c>
      <c r="M23" s="4" t="str">
        <f t="shared" si="0"/>
        <v>$million</v>
      </c>
    </row>
    <row r="24" spans="1:13" s="4" customFormat="1" x14ac:dyDescent="0.25">
      <c r="A24" t="str">
        <v>OT sea level</v>
      </c>
      <c r="B24" s="38">
        <v>112.27737703297846</v>
      </c>
      <c r="C24" s="38">
        <v>320.37400470915946</v>
      </c>
      <c r="D24" s="38">
        <v>449.03380772685625</v>
      </c>
      <c r="E24" s="38">
        <v>613.19950468706645</v>
      </c>
      <c r="F24" s="38">
        <v>806.99671222333029</v>
      </c>
      <c r="G24" s="38">
        <v>1034.8132016248649</v>
      </c>
      <c r="H24" s="38">
        <v>1551.3341877588637</v>
      </c>
      <c r="I24" s="38">
        <v>2137.8675024442673</v>
      </c>
      <c r="J24" s="38">
        <v>5531.8124415749326</v>
      </c>
      <c r="K24" s="38">
        <v>6779.3213122355392</v>
      </c>
      <c r="M24" s="4" t="str">
        <f t="shared" si="0"/>
        <v>$million</v>
      </c>
    </row>
    <row r="25" spans="1:13" s="4" customFormat="1" x14ac:dyDescent="0.25">
      <c r="A25" t="str">
        <v>EE sea level</v>
      </c>
      <c r="B25" s="38">
        <v>22.455475406595689</v>
      </c>
      <c r="C25" s="38">
        <v>64.074800941831867</v>
      </c>
      <c r="D25" s="38">
        <v>89.806761545371231</v>
      </c>
      <c r="E25" s="38">
        <v>122.63990093741324</v>
      </c>
      <c r="F25" s="38">
        <v>161.39934244466599</v>
      </c>
      <c r="G25" s="38">
        <v>206.96264032497288</v>
      </c>
      <c r="H25" s="38">
        <v>310.2668375517726</v>
      </c>
      <c r="I25" s="38">
        <v>427.57350048885331</v>
      </c>
      <c r="J25" s="38">
        <v>1106.3624883149862</v>
      </c>
      <c r="K25" s="38">
        <v>1355.8642624471074</v>
      </c>
      <c r="M25" s="4" t="str">
        <f t="shared" si="0"/>
        <v>$million</v>
      </c>
    </row>
    <row r="26" spans="1:13" s="4" customFormat="1" x14ac:dyDescent="0.25">
      <c r="A26" t="str">
        <v>CA sea level</v>
      </c>
      <c r="B26" s="38">
        <v>47.905014200737476</v>
      </c>
      <c r="C26" s="38">
        <v>136.692908675908</v>
      </c>
      <c r="D26" s="38">
        <v>287.38163694518795</v>
      </c>
      <c r="E26" s="38">
        <v>392.44768299972247</v>
      </c>
      <c r="F26" s="38">
        <v>516.47789582293126</v>
      </c>
      <c r="G26" s="38">
        <v>662.28044903991338</v>
      </c>
      <c r="H26" s="38">
        <v>992.85388016567254</v>
      </c>
      <c r="I26" s="38">
        <v>1368.2352015643307</v>
      </c>
      <c r="J26" s="38">
        <v>3540.3599626079558</v>
      </c>
      <c r="K26" s="38">
        <v>4338.7656398307436</v>
      </c>
      <c r="M26" s="4" t="str">
        <f t="shared" si="0"/>
        <v>$million</v>
      </c>
    </row>
    <row r="27" spans="1:13" s="4" customFormat="1" x14ac:dyDescent="0.25">
      <c r="A27" t="str">
        <v>IA sea level</v>
      </c>
      <c r="B27" s="38">
        <v>39.920845167281229</v>
      </c>
      <c r="C27" s="38">
        <v>113.91075722992332</v>
      </c>
      <c r="D27" s="38">
        <v>239.48469745432331</v>
      </c>
      <c r="E27" s="38">
        <v>327.03973583310199</v>
      </c>
      <c r="F27" s="38">
        <v>430.39824651910936</v>
      </c>
      <c r="G27" s="38">
        <v>551.9003741999278</v>
      </c>
      <c r="H27" s="38">
        <v>827.37823347139374</v>
      </c>
      <c r="I27" s="38">
        <v>1140.1960013036089</v>
      </c>
      <c r="J27" s="38">
        <v>2950.2999688399627</v>
      </c>
      <c r="K27" s="38">
        <v>3615.6380331922851</v>
      </c>
      <c r="M27" s="4" t="str">
        <f t="shared" si="0"/>
        <v>$million</v>
      </c>
    </row>
    <row r="28" spans="1:13" s="4" customFormat="1" x14ac:dyDescent="0.25">
      <c r="A28" t="str">
        <v>AF sea level</v>
      </c>
      <c r="B28" s="38">
        <v>20.958443712822639</v>
      </c>
      <c r="C28" s="38">
        <v>59.803147545709741</v>
      </c>
      <c r="D28" s="38">
        <v>125.72946616351973</v>
      </c>
      <c r="E28" s="38">
        <v>171.69586131237853</v>
      </c>
      <c r="F28" s="38">
        <v>225.95907942253234</v>
      </c>
      <c r="G28" s="38">
        <v>289.74769645496201</v>
      </c>
      <c r="H28" s="38">
        <v>434.37357257248158</v>
      </c>
      <c r="I28" s="38">
        <v>598.60290068439463</v>
      </c>
      <c r="J28" s="38">
        <v>1548.9074836409802</v>
      </c>
      <c r="K28" s="38">
        <v>1898.2099674259493</v>
      </c>
      <c r="M28" s="4" t="str">
        <f t="shared" si="0"/>
        <v>$million</v>
      </c>
    </row>
    <row r="29" spans="1:13" s="4" customFormat="1" x14ac:dyDescent="0.25">
      <c r="A29" t="str">
        <v>LA sea level</v>
      </c>
      <c r="B29" s="38">
        <v>23.952507100368734</v>
      </c>
      <c r="C29" s="38">
        <v>68.346454337953986</v>
      </c>
      <c r="D29" s="38">
        <v>143.69081847259395</v>
      </c>
      <c r="E29" s="38">
        <v>196.22384149986115</v>
      </c>
      <c r="F29" s="38">
        <v>258.23894791146552</v>
      </c>
      <c r="G29" s="38">
        <v>331.14022451995663</v>
      </c>
      <c r="H29" s="38">
        <v>496.42694008283615</v>
      </c>
      <c r="I29" s="38">
        <v>684.11760078216525</v>
      </c>
      <c r="J29" s="38">
        <v>1770.1799813039777</v>
      </c>
      <c r="K29" s="38">
        <v>2169.3828199153713</v>
      </c>
      <c r="M29" s="4" t="str">
        <f t="shared" si="0"/>
        <v>$million</v>
      </c>
    </row>
    <row r="30" spans="1:13" ht="13.5" thickBot="1" x14ac:dyDescent="0.35">
      <c r="A30" s="2" t="s">
        <v>438</v>
      </c>
      <c r="B30" s="56">
        <f>SUM(B22:B29)</f>
        <v>894.00827317735025</v>
      </c>
      <c r="C30" s="56">
        <f t="shared" ref="C30:K30" si="1">SUM(C22:C29)</f>
        <v>2262.3431667153691</v>
      </c>
      <c r="D30" s="56">
        <f t="shared" si="1"/>
        <v>3078.2830140568512</v>
      </c>
      <c r="E30" s="56">
        <f t="shared" si="1"/>
        <v>3803.0064830436149</v>
      </c>
      <c r="F30" s="56">
        <f t="shared" si="1"/>
        <v>4607.9469363841054</v>
      </c>
      <c r="G30" s="56">
        <f t="shared" si="1"/>
        <v>5517.9747933608678</v>
      </c>
      <c r="H30" s="56">
        <f t="shared" si="1"/>
        <v>7583.6974543815977</v>
      </c>
      <c r="I30" s="56">
        <f t="shared" si="1"/>
        <v>9975.6401991566872</v>
      </c>
      <c r="J30" s="56">
        <f t="shared" si="1"/>
        <v>25812.343610292843</v>
      </c>
      <c r="K30" s="56">
        <f t="shared" si="1"/>
        <v>31633.424488662633</v>
      </c>
      <c r="L30" s="1"/>
      <c r="M30" s="4" t="str">
        <f t="shared" si="0"/>
        <v>$million</v>
      </c>
    </row>
    <row r="31" spans="1:13" s="2" customFormat="1" ht="15.5" thickTop="1" x14ac:dyDescent="0.4">
      <c r="A31" s="2" t="s">
        <v>436</v>
      </c>
      <c r="B31" s="2" t="s">
        <v>437</v>
      </c>
    </row>
    <row r="32" spans="1:13" x14ac:dyDescent="0.25">
      <c r="A32" t="str">
        <f t="array" ref="A32:A39">R_CODE&amp;" sea level"</f>
        <v>EU sea level</v>
      </c>
      <c r="B32" s="37">
        <f t="array" ref="B32:K39">imp_s*CI_S*GDP/100*impmax_s_a*AUTOFAC</f>
        <v>0</v>
      </c>
      <c r="C32" s="37">
        <v>0</v>
      </c>
      <c r="D32" s="37">
        <v>2345.3917297225703</v>
      </c>
      <c r="E32" s="37">
        <v>5224.2601763560624</v>
      </c>
      <c r="F32" s="37">
        <v>8559.742473805165</v>
      </c>
      <c r="G32" s="37">
        <v>12378.330250726882</v>
      </c>
      <c r="H32" s="37">
        <v>14514.40692514966</v>
      </c>
      <c r="I32" s="37">
        <v>17257.258145253054</v>
      </c>
      <c r="J32" s="37">
        <v>44653.803477640853</v>
      </c>
      <c r="K32" s="37">
        <v>54723.923630021251</v>
      </c>
      <c r="M32" s="4" t="str">
        <f t="shared" ref="M32:M40" si="2">CURRENCY_NAME</f>
        <v>$million</v>
      </c>
    </row>
    <row r="33" spans="1:13" x14ac:dyDescent="0.25">
      <c r="A33" t="str">
        <v>US sea level</v>
      </c>
      <c r="B33" s="38">
        <v>0</v>
      </c>
      <c r="C33" s="38">
        <v>0</v>
      </c>
      <c r="D33" s="38">
        <v>2012.4978365175948</v>
      </c>
      <c r="E33" s="38">
        <v>4674.5396067566362</v>
      </c>
      <c r="F33" s="38">
        <v>8003.8328735940349</v>
      </c>
      <c r="G33" s="38">
        <v>12032.971831697798</v>
      </c>
      <c r="H33" s="38">
        <v>15196.231115369255</v>
      </c>
      <c r="I33" s="38">
        <v>18933.216789147828</v>
      </c>
      <c r="J33" s="38">
        <v>48990.409402592864</v>
      </c>
      <c r="K33" s="38">
        <v>60038.500955318988</v>
      </c>
      <c r="M33" s="4" t="str">
        <f t="shared" si="2"/>
        <v>$million</v>
      </c>
    </row>
    <row r="34" spans="1:13" x14ac:dyDescent="0.25">
      <c r="A34" t="str">
        <v>OT sea level</v>
      </c>
      <c r="B34" s="38">
        <v>0</v>
      </c>
      <c r="C34" s="38">
        <v>0</v>
      </c>
      <c r="D34" s="38">
        <v>1122.5845197982485</v>
      </c>
      <c r="E34" s="38">
        <v>3065.9975247493308</v>
      </c>
      <c r="F34" s="38">
        <v>6052.4753442688925</v>
      </c>
      <c r="G34" s="38">
        <v>10348.132020683561</v>
      </c>
      <c r="H34" s="38">
        <v>15513.34188423721</v>
      </c>
      <c r="I34" s="38">
        <v>21378.675033604959</v>
      </c>
      <c r="J34" s="38">
        <v>55318.124439457089</v>
      </c>
      <c r="K34" s="38">
        <v>67793.213151409625</v>
      </c>
      <c r="M34" s="4" t="str">
        <f t="shared" si="2"/>
        <v>$million</v>
      </c>
    </row>
    <row r="35" spans="1:13" x14ac:dyDescent="0.25">
      <c r="A35" t="str">
        <v>EE sea level</v>
      </c>
      <c r="B35" s="38">
        <v>0</v>
      </c>
      <c r="C35" s="38">
        <v>0</v>
      </c>
      <c r="D35" s="38">
        <v>224.51690395964962</v>
      </c>
      <c r="E35" s="38">
        <v>613.19950494986597</v>
      </c>
      <c r="F35" s="38">
        <v>1210.4950688537783</v>
      </c>
      <c r="G35" s="38">
        <v>2069.6264041367112</v>
      </c>
      <c r="H35" s="38">
        <v>3102.6683768474413</v>
      </c>
      <c r="I35" s="38">
        <v>4275.7350067209909</v>
      </c>
      <c r="J35" s="38">
        <v>11063.624887891416</v>
      </c>
      <c r="K35" s="38">
        <v>13558.642630281918</v>
      </c>
      <c r="M35" s="4" t="str">
        <f t="shared" si="2"/>
        <v>$million</v>
      </c>
    </row>
    <row r="36" spans="1:13" x14ac:dyDescent="0.25">
      <c r="A36" t="str">
        <v>CA sea level</v>
      </c>
      <c r="B36" s="38">
        <v>0</v>
      </c>
      <c r="C36" s="38">
        <v>0</v>
      </c>
      <c r="D36" s="38">
        <v>449.03380791929925</v>
      </c>
      <c r="E36" s="38">
        <v>1226.3990098997319</v>
      </c>
      <c r="F36" s="38">
        <v>2420.9901377075566</v>
      </c>
      <c r="G36" s="38">
        <v>4139.2528082734225</v>
      </c>
      <c r="H36" s="38">
        <v>6205.3367536948826</v>
      </c>
      <c r="I36" s="38">
        <v>8551.4700134419818</v>
      </c>
      <c r="J36" s="38">
        <v>22127.249775782831</v>
      </c>
      <c r="K36" s="38">
        <v>27117.285260563836</v>
      </c>
      <c r="M36" s="4" t="str">
        <f t="shared" si="2"/>
        <v>$million</v>
      </c>
    </row>
    <row r="37" spans="1:13" x14ac:dyDescent="0.25">
      <c r="A37" t="str">
        <v>IA sea level</v>
      </c>
      <c r="B37" s="38">
        <v>0</v>
      </c>
      <c r="C37" s="38">
        <v>0</v>
      </c>
      <c r="D37" s="38">
        <v>374.19483993274935</v>
      </c>
      <c r="E37" s="38">
        <v>1021.9991749164432</v>
      </c>
      <c r="F37" s="38">
        <v>2017.4917814229639</v>
      </c>
      <c r="G37" s="38">
        <v>3449.3773402278525</v>
      </c>
      <c r="H37" s="38">
        <v>5171.1139614124013</v>
      </c>
      <c r="I37" s="38">
        <v>7126.2250112016509</v>
      </c>
      <c r="J37" s="38">
        <v>18439.374813152357</v>
      </c>
      <c r="K37" s="38">
        <v>22597.737717136526</v>
      </c>
      <c r="M37" s="4" t="str">
        <f t="shared" si="2"/>
        <v>$million</v>
      </c>
    </row>
    <row r="38" spans="1:13" x14ac:dyDescent="0.25">
      <c r="A38" t="str">
        <v>AF sea level</v>
      </c>
      <c r="B38" s="38">
        <v>0</v>
      </c>
      <c r="C38" s="38">
        <v>0</v>
      </c>
      <c r="D38" s="38">
        <v>196.45229096469336</v>
      </c>
      <c r="E38" s="38">
        <v>536.54956683113278</v>
      </c>
      <c r="F38" s="38">
        <v>1059.1831852470559</v>
      </c>
      <c r="G38" s="38">
        <v>1810.9231036196225</v>
      </c>
      <c r="H38" s="38">
        <v>2714.83482974151</v>
      </c>
      <c r="I38" s="38">
        <v>3741.268130880866</v>
      </c>
      <c r="J38" s="38">
        <v>9680.6717769049847</v>
      </c>
      <c r="K38" s="38">
        <v>11863.812301496673</v>
      </c>
      <c r="M38" s="4" t="str">
        <f t="shared" si="2"/>
        <v>$million</v>
      </c>
    </row>
    <row r="39" spans="1:13" x14ac:dyDescent="0.25">
      <c r="A39" t="str">
        <v>LA sea level</v>
      </c>
      <c r="B39" s="38">
        <v>0</v>
      </c>
      <c r="C39" s="38">
        <v>0</v>
      </c>
      <c r="D39" s="38">
        <v>224.51690395964957</v>
      </c>
      <c r="E39" s="38">
        <v>613.19950494986585</v>
      </c>
      <c r="F39" s="38">
        <v>1210.4950688537783</v>
      </c>
      <c r="G39" s="38">
        <v>2069.6264041367112</v>
      </c>
      <c r="H39" s="38">
        <v>3102.6683768474404</v>
      </c>
      <c r="I39" s="38">
        <v>4275.73500672099</v>
      </c>
      <c r="J39" s="38">
        <v>11063.624887891412</v>
      </c>
      <c r="K39" s="38">
        <v>13558.642630281916</v>
      </c>
      <c r="M39" s="4" t="str">
        <f t="shared" si="2"/>
        <v>$million</v>
      </c>
    </row>
    <row r="40" spans="1:13" ht="13.5" thickBot="1" x14ac:dyDescent="0.35">
      <c r="A40" s="2" t="s">
        <v>438</v>
      </c>
      <c r="B40" s="56">
        <f t="shared" ref="B40:K40" si="3">SUM(B32:B39)</f>
        <v>0</v>
      </c>
      <c r="C40" s="56">
        <f t="shared" si="3"/>
        <v>0</v>
      </c>
      <c r="D40" s="56">
        <f t="shared" si="3"/>
        <v>6949.1888327744537</v>
      </c>
      <c r="E40" s="56">
        <f t="shared" si="3"/>
        <v>16976.144069409071</v>
      </c>
      <c r="F40" s="56">
        <f t="shared" si="3"/>
        <v>30534.705933753226</v>
      </c>
      <c r="G40" s="56">
        <f t="shared" si="3"/>
        <v>48298.240163502553</v>
      </c>
      <c r="H40" s="56">
        <f t="shared" si="3"/>
        <v>65520.602223299793</v>
      </c>
      <c r="I40" s="56">
        <f t="shared" si="3"/>
        <v>85539.583136972316</v>
      </c>
      <c r="J40" s="56">
        <f t="shared" si="3"/>
        <v>221336.88346131379</v>
      </c>
      <c r="K40" s="56">
        <f t="shared" si="3"/>
        <v>271251.75827651075</v>
      </c>
      <c r="L40" s="1"/>
      <c r="M40" s="4" t="str">
        <f t="shared" si="2"/>
        <v>$million</v>
      </c>
    </row>
    <row r="41" spans="1:13" ht="15.5" thickTop="1" x14ac:dyDescent="0.4">
      <c r="A41" s="65" t="s">
        <v>145</v>
      </c>
      <c r="B41" s="2" t="s">
        <v>443</v>
      </c>
      <c r="C41" s="58"/>
      <c r="D41" s="58"/>
      <c r="E41" s="58"/>
      <c r="F41" s="58"/>
      <c r="G41" s="58"/>
      <c r="H41" s="58"/>
      <c r="I41" s="58"/>
      <c r="J41" s="58"/>
      <c r="K41" s="58"/>
      <c r="L41" s="1"/>
      <c r="M41" s="1"/>
    </row>
    <row r="42" spans="1:13" x14ac:dyDescent="0.25">
      <c r="A42" t="str">
        <f t="array" ref="A42:A49">R_CODE&amp;" sea level"</f>
        <v>EU sea level</v>
      </c>
      <c r="B42" s="38">
        <f t="array" ref="B42:K49">acp_s+aci_s</f>
        <v>343.30665188590541</v>
      </c>
      <c r="C42" s="38">
        <v>813.41683300964257</v>
      </c>
      <c r="D42" s="38">
        <v>3283.5484212095312</v>
      </c>
      <c r="E42" s="38">
        <v>6269.1122111794812</v>
      </c>
      <c r="F42" s="38">
        <v>9701.0414698233926</v>
      </c>
      <c r="G42" s="38">
        <v>13616.163275269071</v>
      </c>
      <c r="H42" s="38">
        <v>15965.84761704258</v>
      </c>
      <c r="I42" s="38">
        <v>18982.983959038764</v>
      </c>
      <c r="J42" s="38">
        <v>49119.183823491207</v>
      </c>
      <c r="K42" s="38">
        <v>60196.315990678064</v>
      </c>
      <c r="L42" s="1"/>
      <c r="M42" s="4" t="str">
        <f t="shared" ref="M42:M50" si="4">CURRENCY_NAME</f>
        <v>$million</v>
      </c>
    </row>
    <row r="43" spans="1:13" x14ac:dyDescent="0.25">
      <c r="A43" t="str">
        <v>US sea level</v>
      </c>
      <c r="B43" s="38">
        <v>283.23195867066062</v>
      </c>
      <c r="C43" s="38">
        <v>685.7242602652401</v>
      </c>
      <c r="D43" s="38">
        <v>2817.4969707796331</v>
      </c>
      <c r="E43" s="38">
        <v>5609.4475277072888</v>
      </c>
      <c r="F43" s="38">
        <v>9071.0105896158784</v>
      </c>
      <c r="G43" s="38">
        <v>13236.269014351879</v>
      </c>
      <c r="H43" s="38">
        <v>16715.854226254913</v>
      </c>
      <c r="I43" s="38">
        <v>20826.538467251186</v>
      </c>
      <c r="J43" s="38">
        <v>53889.450340752563</v>
      </c>
      <c r="K43" s="38">
        <v>66042.351048277807</v>
      </c>
      <c r="L43" s="1"/>
      <c r="M43" s="4" t="str">
        <f t="shared" si="4"/>
        <v>$million</v>
      </c>
    </row>
    <row r="44" spans="1:13" x14ac:dyDescent="0.25">
      <c r="A44" t="str">
        <v>OT sea level</v>
      </c>
      <c r="B44" s="38">
        <v>112.27737703297846</v>
      </c>
      <c r="C44" s="38">
        <v>320.37400470915946</v>
      </c>
      <c r="D44" s="38">
        <v>1571.6183275251046</v>
      </c>
      <c r="E44" s="38">
        <v>3679.1970294363973</v>
      </c>
      <c r="F44" s="38">
        <v>6859.4720564922227</v>
      </c>
      <c r="G44" s="38">
        <v>11382.945222308426</v>
      </c>
      <c r="H44" s="38">
        <v>17064.676071996073</v>
      </c>
      <c r="I44" s="38">
        <v>23516.542536049226</v>
      </c>
      <c r="J44" s="38">
        <v>60849.936881032023</v>
      </c>
      <c r="K44" s="38">
        <v>74572.534463645163</v>
      </c>
      <c r="L44" s="1"/>
      <c r="M44" s="4" t="str">
        <f t="shared" si="4"/>
        <v>$million</v>
      </c>
    </row>
    <row r="45" spans="1:13" x14ac:dyDescent="0.25">
      <c r="A45" t="str">
        <v>EE sea level</v>
      </c>
      <c r="B45" s="38">
        <v>22.455475406595689</v>
      </c>
      <c r="C45" s="38">
        <v>64.074800941831867</v>
      </c>
      <c r="D45" s="38">
        <v>314.32366550502087</v>
      </c>
      <c r="E45" s="38">
        <v>735.83940588727921</v>
      </c>
      <c r="F45" s="38">
        <v>1371.8944112984443</v>
      </c>
      <c r="G45" s="38">
        <v>2276.5890444616844</v>
      </c>
      <c r="H45" s="38">
        <v>3412.9352143992137</v>
      </c>
      <c r="I45" s="38">
        <v>4703.3085072098438</v>
      </c>
      <c r="J45" s="38">
        <v>12169.987376206402</v>
      </c>
      <c r="K45" s="38">
        <v>14914.506892729025</v>
      </c>
      <c r="L45" s="1"/>
      <c r="M45" s="4" t="str">
        <f t="shared" si="4"/>
        <v>$million</v>
      </c>
    </row>
    <row r="46" spans="1:13" x14ac:dyDescent="0.25">
      <c r="A46" t="str">
        <v>CA sea level</v>
      </c>
      <c r="B46" s="38">
        <v>47.905014200737476</v>
      </c>
      <c r="C46" s="38">
        <v>136.692908675908</v>
      </c>
      <c r="D46" s="38">
        <v>736.4154448644872</v>
      </c>
      <c r="E46" s="38">
        <v>1618.8466928994544</v>
      </c>
      <c r="F46" s="38">
        <v>2937.4680335304879</v>
      </c>
      <c r="G46" s="38">
        <v>4801.5332573133355</v>
      </c>
      <c r="H46" s="38">
        <v>7198.190633860555</v>
      </c>
      <c r="I46" s="38">
        <v>9919.7052150063118</v>
      </c>
      <c r="J46" s="38">
        <v>25667.609738390787</v>
      </c>
      <c r="K46" s="38">
        <v>31456.050900394581</v>
      </c>
      <c r="L46" s="1"/>
      <c r="M46" s="4" t="str">
        <f t="shared" si="4"/>
        <v>$million</v>
      </c>
    </row>
    <row r="47" spans="1:13" x14ac:dyDescent="0.25">
      <c r="A47" t="str">
        <v>IA sea level</v>
      </c>
      <c r="B47" s="38">
        <v>39.920845167281229</v>
      </c>
      <c r="C47" s="38">
        <v>113.91075722992332</v>
      </c>
      <c r="D47" s="38">
        <v>613.67953738707263</v>
      </c>
      <c r="E47" s="38">
        <v>1349.0389107495453</v>
      </c>
      <c r="F47" s="38">
        <v>2447.8900279420732</v>
      </c>
      <c r="G47" s="38">
        <v>4001.2777144277802</v>
      </c>
      <c r="H47" s="38">
        <v>5998.4921948837946</v>
      </c>
      <c r="I47" s="38">
        <v>8266.4210125052596</v>
      </c>
      <c r="J47" s="38">
        <v>21389.674781992318</v>
      </c>
      <c r="K47" s="38">
        <v>26213.375750328811</v>
      </c>
      <c r="L47" s="1"/>
      <c r="M47" s="4" t="str">
        <f t="shared" si="4"/>
        <v>$million</v>
      </c>
    </row>
    <row r="48" spans="1:13" x14ac:dyDescent="0.25">
      <c r="A48" t="str">
        <v>AF sea level</v>
      </c>
      <c r="B48" s="38">
        <v>20.958443712822639</v>
      </c>
      <c r="C48" s="38">
        <v>59.803147545709741</v>
      </c>
      <c r="D48" s="38">
        <v>322.18175712821312</v>
      </c>
      <c r="E48" s="38">
        <v>708.24542814351128</v>
      </c>
      <c r="F48" s="38">
        <v>1285.1422646695883</v>
      </c>
      <c r="G48" s="38">
        <v>2100.6708000745843</v>
      </c>
      <c r="H48" s="38">
        <v>3149.2084023139914</v>
      </c>
      <c r="I48" s="38">
        <v>4339.8710315652606</v>
      </c>
      <c r="J48" s="38">
        <v>11229.579260545965</v>
      </c>
      <c r="K48" s="38">
        <v>13762.022268922623</v>
      </c>
      <c r="L48" s="1"/>
      <c r="M48" s="4" t="str">
        <f t="shared" si="4"/>
        <v>$million</v>
      </c>
    </row>
    <row r="49" spans="1:13" x14ac:dyDescent="0.25">
      <c r="A49" t="str">
        <v>LA sea level</v>
      </c>
      <c r="B49" s="38">
        <v>23.952507100368734</v>
      </c>
      <c r="C49" s="38">
        <v>68.346454337953986</v>
      </c>
      <c r="D49" s="38">
        <v>368.20772243224349</v>
      </c>
      <c r="E49" s="38">
        <v>809.42334644972698</v>
      </c>
      <c r="F49" s="38">
        <v>1468.7340167652437</v>
      </c>
      <c r="G49" s="38">
        <v>2400.7666286566678</v>
      </c>
      <c r="H49" s="38">
        <v>3599.0953169302766</v>
      </c>
      <c r="I49" s="38">
        <v>4959.852607503155</v>
      </c>
      <c r="J49" s="38">
        <v>12833.80486919539</v>
      </c>
      <c r="K49" s="38">
        <v>15728.025450197289</v>
      </c>
      <c r="L49" s="1"/>
      <c r="M49" s="4" t="str">
        <f t="shared" si="4"/>
        <v>$million</v>
      </c>
    </row>
    <row r="50" spans="1:13" ht="13.5" thickBot="1" x14ac:dyDescent="0.35">
      <c r="A50" s="2" t="s">
        <v>438</v>
      </c>
      <c r="B50" s="56">
        <f t="shared" ref="B50:K50" si="5">SUM(B42:B49)</f>
        <v>894.00827317735025</v>
      </c>
      <c r="C50" s="56">
        <f t="shared" si="5"/>
        <v>2262.3431667153691</v>
      </c>
      <c r="D50" s="56">
        <f t="shared" si="5"/>
        <v>10027.471846831306</v>
      </c>
      <c r="E50" s="56">
        <f t="shared" si="5"/>
        <v>20779.150552452687</v>
      </c>
      <c r="F50" s="56">
        <f t="shared" si="5"/>
        <v>35142.652870137332</v>
      </c>
      <c r="G50" s="56">
        <f t="shared" si="5"/>
        <v>53816.21495686342</v>
      </c>
      <c r="H50" s="56">
        <f t="shared" si="5"/>
        <v>73104.299677681396</v>
      </c>
      <c r="I50" s="56">
        <f t="shared" si="5"/>
        <v>95515.223336129013</v>
      </c>
      <c r="J50" s="56">
        <f t="shared" si="5"/>
        <v>247149.22707160661</v>
      </c>
      <c r="K50" s="56">
        <f t="shared" si="5"/>
        <v>302885.18276517338</v>
      </c>
      <c r="L50" s="1"/>
      <c r="M50" s="4" t="str">
        <f t="shared" si="4"/>
        <v>$million</v>
      </c>
    </row>
    <row r="51" spans="1:13" s="2" customFormat="1" ht="15.5" thickTop="1" x14ac:dyDescent="0.4">
      <c r="A51" s="2" t="s">
        <v>434</v>
      </c>
      <c r="B51" s="2" t="s">
        <v>439</v>
      </c>
    </row>
    <row r="52" spans="1:13" s="4" customFormat="1" x14ac:dyDescent="0.25">
      <c r="A52" t="str">
        <f t="array" ref="A52:A59">R_CODE&amp;" "&amp;I_1_NAME</f>
        <v>EU Economic</v>
      </c>
      <c r="B52" s="37">
        <f t="array" ref="B52:K59">atl_1*CP_1*GDP/100*AUTOFAC</f>
        <v>686.61330406607351</v>
      </c>
      <c r="C52" s="37">
        <v>1626.8336667164997</v>
      </c>
      <c r="D52" s="37">
        <v>1876.3133837780563</v>
      </c>
      <c r="E52" s="37">
        <v>2089.7040705424256</v>
      </c>
      <c r="F52" s="37">
        <v>2282.5979930147105</v>
      </c>
      <c r="G52" s="37">
        <v>2475.6660501453771</v>
      </c>
      <c r="H52" s="37">
        <v>2902.881385029933</v>
      </c>
      <c r="I52" s="37">
        <v>3451.4516290506112</v>
      </c>
      <c r="J52" s="37">
        <v>8930.7606955281717</v>
      </c>
      <c r="K52" s="37">
        <v>10944.784726004253</v>
      </c>
      <c r="M52" s="4" t="str">
        <f t="shared" ref="M52:M60" si="6">CURRENCY_NAME</f>
        <v>$million</v>
      </c>
    </row>
    <row r="53" spans="1:13" s="4" customFormat="1" x14ac:dyDescent="0.25">
      <c r="A53" t="str">
        <v>US Economic</v>
      </c>
      <c r="B53" s="38">
        <v>566.46391758409152</v>
      </c>
      <c r="C53" s="38">
        <v>1371.4485211182437</v>
      </c>
      <c r="D53" s="38">
        <v>1609.9982692140759</v>
      </c>
      <c r="E53" s="38">
        <v>1869.8158427026547</v>
      </c>
      <c r="F53" s="38">
        <v>2134.3554329584094</v>
      </c>
      <c r="G53" s="38">
        <v>2406.5943663395597</v>
      </c>
      <c r="H53" s="38">
        <v>3039.2462230738515</v>
      </c>
      <c r="I53" s="38">
        <v>3786.6433578295655</v>
      </c>
      <c r="J53" s="38">
        <v>9798.0818805185736</v>
      </c>
      <c r="K53" s="38">
        <v>12007.700191063803</v>
      </c>
      <c r="M53" s="4" t="str">
        <f t="shared" si="6"/>
        <v>$million</v>
      </c>
    </row>
    <row r="54" spans="1:13" s="4" customFormat="1" x14ac:dyDescent="0.25">
      <c r="A54" t="str">
        <v>OT Economic</v>
      </c>
      <c r="B54" s="38">
        <v>224.55475416219468</v>
      </c>
      <c r="C54" s="38">
        <v>640.74800969292517</v>
      </c>
      <c r="D54" s="38">
        <v>898.06761583859873</v>
      </c>
      <c r="E54" s="38">
        <v>1226.3990098997324</v>
      </c>
      <c r="F54" s="38">
        <v>1613.993425138372</v>
      </c>
      <c r="G54" s="38">
        <v>2069.6264041367122</v>
      </c>
      <c r="H54" s="38">
        <v>3102.6683768474418</v>
      </c>
      <c r="I54" s="38">
        <v>4275.7350067209927</v>
      </c>
      <c r="J54" s="38">
        <v>11063.624887891421</v>
      </c>
      <c r="K54" s="38">
        <v>13558.642630281925</v>
      </c>
      <c r="M54" s="4" t="str">
        <f t="shared" si="6"/>
        <v>$million</v>
      </c>
    </row>
    <row r="55" spans="1:13" s="4" customFormat="1" x14ac:dyDescent="0.25">
      <c r="A55" t="str">
        <v>EE Economic</v>
      </c>
      <c r="B55" s="38">
        <v>44.910950832438935</v>
      </c>
      <c r="C55" s="38">
        <v>128.14960193858499</v>
      </c>
      <c r="D55" s="38">
        <v>179.61352316771971</v>
      </c>
      <c r="E55" s="38">
        <v>245.27980197994646</v>
      </c>
      <c r="F55" s="38">
        <v>322.79868502767431</v>
      </c>
      <c r="G55" s="38">
        <v>413.92528082734242</v>
      </c>
      <c r="H55" s="38">
        <v>620.53367536948826</v>
      </c>
      <c r="I55" s="38">
        <v>855.1470013441982</v>
      </c>
      <c r="J55" s="38">
        <v>2212.724977578283</v>
      </c>
      <c r="K55" s="38">
        <v>2711.7285260563835</v>
      </c>
      <c r="M55" s="4" t="str">
        <f t="shared" si="6"/>
        <v>$million</v>
      </c>
    </row>
    <row r="56" spans="1:13" s="4" customFormat="1" x14ac:dyDescent="0.25">
      <c r="A56" t="str">
        <v>CA Economic</v>
      </c>
      <c r="B56" s="38">
        <v>0</v>
      </c>
      <c r="C56" s="38">
        <v>170.86613591811334</v>
      </c>
      <c r="D56" s="38">
        <v>478.96939511391918</v>
      </c>
      <c r="E56" s="38">
        <v>981.11920791978582</v>
      </c>
      <c r="F56" s="38">
        <v>1291.1947401106972</v>
      </c>
      <c r="G56" s="38">
        <v>1655.7011233093697</v>
      </c>
      <c r="H56" s="38">
        <v>2482.1347014779531</v>
      </c>
      <c r="I56" s="38">
        <v>3420.5880053767928</v>
      </c>
      <c r="J56" s="38">
        <v>8850.8999103131318</v>
      </c>
      <c r="K56" s="38">
        <v>10846.914104225534</v>
      </c>
      <c r="M56" s="4" t="str">
        <f t="shared" si="6"/>
        <v>$million</v>
      </c>
    </row>
    <row r="57" spans="1:13" s="4" customFormat="1" x14ac:dyDescent="0.25">
      <c r="A57" t="str">
        <v>IA Economic</v>
      </c>
      <c r="B57" s="38">
        <v>0</v>
      </c>
      <c r="C57" s="38">
        <v>142.38844659842778</v>
      </c>
      <c r="D57" s="38">
        <v>399.14116259493261</v>
      </c>
      <c r="E57" s="38">
        <v>817.59933993315462</v>
      </c>
      <c r="F57" s="38">
        <v>1075.9956167589141</v>
      </c>
      <c r="G57" s="38">
        <v>1379.7509360911413</v>
      </c>
      <c r="H57" s="38">
        <v>2068.4455845649609</v>
      </c>
      <c r="I57" s="38">
        <v>2850.4900044806604</v>
      </c>
      <c r="J57" s="38">
        <v>7375.7499252609423</v>
      </c>
      <c r="K57" s="38">
        <v>9039.0950868546115</v>
      </c>
      <c r="M57" s="4" t="str">
        <f t="shared" si="6"/>
        <v>$million</v>
      </c>
    </row>
    <row r="58" spans="1:13" s="4" customFormat="1" x14ac:dyDescent="0.25">
      <c r="A58" t="str">
        <v>AF Economic</v>
      </c>
      <c r="B58" s="38">
        <v>0</v>
      </c>
      <c r="C58" s="38">
        <v>74.753934464174577</v>
      </c>
      <c r="D58" s="38">
        <v>209.5491103623396</v>
      </c>
      <c r="E58" s="38">
        <v>429.23965346490616</v>
      </c>
      <c r="F58" s="38">
        <v>564.89769879842993</v>
      </c>
      <c r="G58" s="38">
        <v>724.36924144784905</v>
      </c>
      <c r="H58" s="38">
        <v>1085.9339318966042</v>
      </c>
      <c r="I58" s="38">
        <v>1496.5072523523465</v>
      </c>
      <c r="J58" s="38">
        <v>3872.2687107619936</v>
      </c>
      <c r="K58" s="38">
        <v>4745.5249205986702</v>
      </c>
      <c r="M58" s="4" t="str">
        <f t="shared" si="6"/>
        <v>$million</v>
      </c>
    </row>
    <row r="59" spans="1:13" s="4" customFormat="1" x14ac:dyDescent="0.25">
      <c r="A59" t="str">
        <v>LA Economic</v>
      </c>
      <c r="B59" s="38">
        <v>0</v>
      </c>
      <c r="C59" s="38">
        <v>85.433067959056658</v>
      </c>
      <c r="D59" s="38">
        <v>239.48469755695953</v>
      </c>
      <c r="E59" s="38">
        <v>490.55960395989268</v>
      </c>
      <c r="F59" s="38">
        <v>645.59737005534839</v>
      </c>
      <c r="G59" s="38">
        <v>827.85056165468472</v>
      </c>
      <c r="H59" s="38">
        <v>1241.0673507389763</v>
      </c>
      <c r="I59" s="38">
        <v>1710.2940026883964</v>
      </c>
      <c r="J59" s="38">
        <v>4425.4499551565659</v>
      </c>
      <c r="K59" s="38">
        <v>5423.4570521127671</v>
      </c>
      <c r="M59" s="4" t="str">
        <f t="shared" si="6"/>
        <v>$million</v>
      </c>
    </row>
    <row r="60" spans="1:13" ht="13.5" thickBot="1" x14ac:dyDescent="0.35">
      <c r="A60" s="2" t="str">
        <f>"Global "&amp;I_1_NAME</f>
        <v>Global Economic</v>
      </c>
      <c r="B60" s="56">
        <f>SUM(B52:B59)</f>
        <v>1522.5429266447986</v>
      </c>
      <c r="C60" s="56">
        <f t="shared" ref="C60:K60" si="7">SUM(C52:C59)</f>
        <v>4240.6213844060258</v>
      </c>
      <c r="D60" s="56">
        <f t="shared" si="7"/>
        <v>5891.1371576266019</v>
      </c>
      <c r="E60" s="56">
        <f t="shared" si="7"/>
        <v>8149.7165304024984</v>
      </c>
      <c r="F60" s="56">
        <f t="shared" si="7"/>
        <v>9931.4309618625539</v>
      </c>
      <c r="G60" s="56">
        <f t="shared" si="7"/>
        <v>11953.483963952034</v>
      </c>
      <c r="H60" s="56">
        <f t="shared" si="7"/>
        <v>16542.911228999208</v>
      </c>
      <c r="I60" s="56">
        <f t="shared" si="7"/>
        <v>21846.85625984356</v>
      </c>
      <c r="J60" s="56">
        <f t="shared" si="7"/>
        <v>56529.560943009077</v>
      </c>
      <c r="K60" s="56">
        <f t="shared" si="7"/>
        <v>69277.847237197944</v>
      </c>
      <c r="L60" s="1"/>
      <c r="M60" s="4" t="str">
        <f t="shared" si="6"/>
        <v>$million</v>
      </c>
    </row>
    <row r="61" spans="1:13" s="2" customFormat="1" ht="15.5" thickTop="1" x14ac:dyDescent="0.4">
      <c r="A61" s="2" t="s">
        <v>436</v>
      </c>
      <c r="B61" s="2" t="s">
        <v>440</v>
      </c>
    </row>
    <row r="62" spans="1:13" x14ac:dyDescent="0.25">
      <c r="A62" t="str">
        <f t="array" ref="A62:A69">R_CODE&amp;" "&amp;I_1_NAME</f>
        <v>EU Economic</v>
      </c>
      <c r="B62" s="37">
        <f t="array" ref="B62:K69">imp_1*CI_1*GDP/100*impmax_1_a*AUTOFAC</f>
        <v>0</v>
      </c>
      <c r="C62" s="37">
        <v>16733.146281445956</v>
      </c>
      <c r="D62" s="37">
        <v>38598.446740977597</v>
      </c>
      <c r="E62" s="37">
        <v>42988.198010304695</v>
      </c>
      <c r="F62" s="37">
        <v>46956.301557172243</v>
      </c>
      <c r="G62" s="37">
        <v>50927.987302725465</v>
      </c>
      <c r="H62" s="37">
        <v>59716.417046411058</v>
      </c>
      <c r="I62" s="37">
        <v>71001.290634469347</v>
      </c>
      <c r="J62" s="37">
        <v>183718.50568408851</v>
      </c>
      <c r="K62" s="37">
        <v>225149.85715633034</v>
      </c>
      <c r="M62" s="4" t="str">
        <f t="shared" ref="M62:M70" si="8">CURRENCY_NAME</f>
        <v>$million</v>
      </c>
    </row>
    <row r="63" spans="1:13" x14ac:dyDescent="0.25">
      <c r="A63" t="str">
        <v>US Economic</v>
      </c>
      <c r="B63" s="38">
        <v>0</v>
      </c>
      <c r="C63" s="38">
        <v>14106.327641757269</v>
      </c>
      <c r="D63" s="38">
        <v>33119.964385798135</v>
      </c>
      <c r="E63" s="38">
        <v>38464.783038893234</v>
      </c>
      <c r="F63" s="38">
        <v>43906.740322599631</v>
      </c>
      <c r="G63" s="38">
        <v>49507.08409341178</v>
      </c>
      <c r="H63" s="38">
        <v>62521.636571084469</v>
      </c>
      <c r="I63" s="38">
        <v>77896.663338809158</v>
      </c>
      <c r="J63" s="38">
        <v>201560.54148450762</v>
      </c>
      <c r="K63" s="38">
        <v>247015.54671702225</v>
      </c>
      <c r="M63" s="4" t="str">
        <f t="shared" si="8"/>
        <v>$million</v>
      </c>
    </row>
    <row r="64" spans="1:13" x14ac:dyDescent="0.25">
      <c r="A64" t="str">
        <v>OT Economic</v>
      </c>
      <c r="B64" s="38">
        <v>0</v>
      </c>
      <c r="C64" s="38">
        <v>6590.5509549585013</v>
      </c>
      <c r="D64" s="38">
        <v>18474.533806258445</v>
      </c>
      <c r="E64" s="38">
        <v>25228.779625014842</v>
      </c>
      <c r="F64" s="38">
        <v>33202.150450503032</v>
      </c>
      <c r="G64" s="38">
        <v>42575.17173007661</v>
      </c>
      <c r="H64" s="38">
        <v>63826.32087691129</v>
      </c>
      <c r="I64" s="38">
        <v>87957.977255986698</v>
      </c>
      <c r="J64" s="38">
        <v>227594.56905731076</v>
      </c>
      <c r="K64" s="38">
        <v>278920.64831467939</v>
      </c>
      <c r="M64" s="4" t="str">
        <f t="shared" si="8"/>
        <v>$million</v>
      </c>
    </row>
    <row r="65" spans="1:13" x14ac:dyDescent="0.25">
      <c r="A65" t="str">
        <v>EE Economic</v>
      </c>
      <c r="B65" s="38">
        <v>0</v>
      </c>
      <c r="C65" s="38">
        <v>1318.1101909916997</v>
      </c>
      <c r="D65" s="38">
        <v>3694.9067612516887</v>
      </c>
      <c r="E65" s="38">
        <v>5045.7559250029663</v>
      </c>
      <c r="F65" s="38">
        <v>6640.4300901006054</v>
      </c>
      <c r="G65" s="38">
        <v>8515.0343460153181</v>
      </c>
      <c r="H65" s="38">
        <v>12765.264175382255</v>
      </c>
      <c r="I65" s="38">
        <v>17591.595451197332</v>
      </c>
      <c r="J65" s="38">
        <v>45518.913811462124</v>
      </c>
      <c r="K65" s="38">
        <v>55784.129662935855</v>
      </c>
      <c r="M65" s="4" t="str">
        <f t="shared" si="8"/>
        <v>$million</v>
      </c>
    </row>
    <row r="66" spans="1:13" x14ac:dyDescent="0.25">
      <c r="A66" t="str">
        <v>CA Economic</v>
      </c>
      <c r="B66" s="38">
        <v>0</v>
      </c>
      <c r="C66" s="38">
        <v>1757.4802546556</v>
      </c>
      <c r="D66" s="38">
        <v>4926.5423483355853</v>
      </c>
      <c r="E66" s="38">
        <v>10091.511850005933</v>
      </c>
      <c r="F66" s="38">
        <v>13280.860180201211</v>
      </c>
      <c r="G66" s="38">
        <v>17030.068692030636</v>
      </c>
      <c r="H66" s="38">
        <v>25530.528350764511</v>
      </c>
      <c r="I66" s="38">
        <v>35183.190902394665</v>
      </c>
      <c r="J66" s="38">
        <v>91037.827622924247</v>
      </c>
      <c r="K66" s="38">
        <v>111568.25932587171</v>
      </c>
      <c r="M66" s="4" t="str">
        <f t="shared" si="8"/>
        <v>$million</v>
      </c>
    </row>
    <row r="67" spans="1:13" x14ac:dyDescent="0.25">
      <c r="A67" t="str">
        <v>IA Economic</v>
      </c>
      <c r="B67" s="38">
        <v>0</v>
      </c>
      <c r="C67" s="38">
        <v>1464.5668788796665</v>
      </c>
      <c r="D67" s="38">
        <v>4105.4519569463209</v>
      </c>
      <c r="E67" s="38">
        <v>8409.5932083382777</v>
      </c>
      <c r="F67" s="38">
        <v>11067.383483501008</v>
      </c>
      <c r="G67" s="38">
        <v>14191.72391002553</v>
      </c>
      <c r="H67" s="38">
        <v>21275.440292303756</v>
      </c>
      <c r="I67" s="38">
        <v>29319.325751995559</v>
      </c>
      <c r="J67" s="38">
        <v>75864.85635243688</v>
      </c>
      <c r="K67" s="38">
        <v>92973.549438226386</v>
      </c>
      <c r="M67" s="4" t="str">
        <f t="shared" si="8"/>
        <v>$million</v>
      </c>
    </row>
    <row r="68" spans="1:13" x14ac:dyDescent="0.25">
      <c r="A68" t="str">
        <v>AF Economic</v>
      </c>
      <c r="B68" s="38">
        <v>0</v>
      </c>
      <c r="C68" s="38">
        <v>768.89761141182487</v>
      </c>
      <c r="D68" s="38">
        <v>2155.3622773968182</v>
      </c>
      <c r="E68" s="38">
        <v>4415.0364343775955</v>
      </c>
      <c r="F68" s="38">
        <v>5810.3763288380287</v>
      </c>
      <c r="G68" s="38">
        <v>7450.6550527634026</v>
      </c>
      <c r="H68" s="38">
        <v>11169.60615345947</v>
      </c>
      <c r="I68" s="38">
        <v>15392.646019797663</v>
      </c>
      <c r="J68" s="38">
        <v>39829.049585029352</v>
      </c>
      <c r="K68" s="38">
        <v>48811.113455068851</v>
      </c>
      <c r="M68" s="4" t="str">
        <f t="shared" si="8"/>
        <v>$million</v>
      </c>
    </row>
    <row r="69" spans="1:13" x14ac:dyDescent="0.25">
      <c r="A69" t="str">
        <v>LA Economic</v>
      </c>
      <c r="B69" s="38">
        <v>0</v>
      </c>
      <c r="C69" s="38">
        <v>878.74012732779977</v>
      </c>
      <c r="D69" s="38">
        <v>2463.2711741677917</v>
      </c>
      <c r="E69" s="38">
        <v>5045.7559250029663</v>
      </c>
      <c r="F69" s="38">
        <v>6640.4300901006036</v>
      </c>
      <c r="G69" s="38">
        <v>8515.0343460153163</v>
      </c>
      <c r="H69" s="38">
        <v>12765.264175382252</v>
      </c>
      <c r="I69" s="38">
        <v>17591.595451197329</v>
      </c>
      <c r="J69" s="38">
        <v>45518.913811462124</v>
      </c>
      <c r="K69" s="38">
        <v>55784.129662935855</v>
      </c>
      <c r="M69" s="4" t="str">
        <f t="shared" si="8"/>
        <v>$million</v>
      </c>
    </row>
    <row r="70" spans="1:13" ht="13.5" thickBot="1" x14ac:dyDescent="0.35">
      <c r="A70" s="2" t="str">
        <f>"Global "&amp;I_1_NAME</f>
        <v>Global Economic</v>
      </c>
      <c r="B70" s="56">
        <f t="shared" ref="B70:K70" si="9">SUM(B62:B69)</f>
        <v>0</v>
      </c>
      <c r="C70" s="56">
        <f t="shared" si="9"/>
        <v>43617.819941428323</v>
      </c>
      <c r="D70" s="56">
        <f t="shared" si="9"/>
        <v>107538.47945113239</v>
      </c>
      <c r="E70" s="56">
        <f t="shared" si="9"/>
        <v>139689.41401694051</v>
      </c>
      <c r="F70" s="56">
        <f t="shared" si="9"/>
        <v>167504.67250301634</v>
      </c>
      <c r="G70" s="56">
        <f t="shared" si="9"/>
        <v>198712.75947306404</v>
      </c>
      <c r="H70" s="56">
        <f t="shared" si="9"/>
        <v>269570.47764169908</v>
      </c>
      <c r="I70" s="56">
        <f t="shared" si="9"/>
        <v>351934.2848058478</v>
      </c>
      <c r="J70" s="56">
        <f t="shared" si="9"/>
        <v>910643.17740922165</v>
      </c>
      <c r="K70" s="56">
        <f t="shared" si="9"/>
        <v>1116007.2337330705</v>
      </c>
      <c r="L70" s="1"/>
      <c r="M70" s="4" t="str">
        <f t="shared" si="8"/>
        <v>$million</v>
      </c>
    </row>
    <row r="71" spans="1:13" ht="15.5" thickTop="1" x14ac:dyDescent="0.4">
      <c r="A71" s="65" t="s">
        <v>145</v>
      </c>
      <c r="B71" s="2" t="s">
        <v>125</v>
      </c>
      <c r="C71" s="58"/>
      <c r="D71" s="58"/>
      <c r="E71" s="58"/>
      <c r="F71" s="58"/>
      <c r="G71" s="58"/>
      <c r="H71" s="58"/>
      <c r="I71" s="58"/>
      <c r="J71" s="58"/>
      <c r="K71" s="58"/>
      <c r="L71" s="1"/>
      <c r="M71" s="1"/>
    </row>
    <row r="72" spans="1:13" x14ac:dyDescent="0.25">
      <c r="A72" t="str">
        <f t="array" ref="A72:A79">R_CODE&amp;" "&amp;I_1_NAME</f>
        <v>EU Economic</v>
      </c>
      <c r="B72" s="38">
        <f t="array" ref="B72:K79">acp_1+aci_1</f>
        <v>686.61330406607351</v>
      </c>
      <c r="C72" s="38">
        <v>18359.979948162454</v>
      </c>
      <c r="D72" s="38">
        <v>40474.760124755652</v>
      </c>
      <c r="E72" s="38">
        <v>45077.902080847118</v>
      </c>
      <c r="F72" s="38">
        <v>49238.89955018695</v>
      </c>
      <c r="G72" s="38">
        <v>53403.653352870839</v>
      </c>
      <c r="H72" s="38">
        <v>62619.298431440991</v>
      </c>
      <c r="I72" s="38">
        <v>74452.742263519962</v>
      </c>
      <c r="J72" s="38">
        <v>192649.26637961669</v>
      </c>
      <c r="K72" s="38">
        <v>236094.6418823346</v>
      </c>
      <c r="L72" s="1"/>
      <c r="M72" s="4" t="str">
        <f t="shared" ref="M72:M80" si="10">CURRENCY_NAME</f>
        <v>$million</v>
      </c>
    </row>
    <row r="73" spans="1:13" x14ac:dyDescent="0.25">
      <c r="A73" t="str">
        <v>US Economic</v>
      </c>
      <c r="B73" s="38">
        <v>566.46391758409152</v>
      </c>
      <c r="C73" s="38">
        <v>15477.776162875512</v>
      </c>
      <c r="D73" s="38">
        <v>34729.962655012212</v>
      </c>
      <c r="E73" s="38">
        <v>40334.598881595892</v>
      </c>
      <c r="F73" s="38">
        <v>46041.095755558039</v>
      </c>
      <c r="G73" s="38">
        <v>51913.67845975134</v>
      </c>
      <c r="H73" s="38">
        <v>65560.882794158315</v>
      </c>
      <c r="I73" s="38">
        <v>81683.306696638727</v>
      </c>
      <c r="J73" s="38">
        <v>211358.6233650262</v>
      </c>
      <c r="K73" s="38">
        <v>259023.24690808606</v>
      </c>
      <c r="L73" s="1"/>
      <c r="M73" s="4" t="str">
        <f t="shared" si="10"/>
        <v>$million</v>
      </c>
    </row>
    <row r="74" spans="1:13" x14ac:dyDescent="0.25">
      <c r="A74" t="str">
        <v>OT Economic</v>
      </c>
      <c r="B74" s="38">
        <v>224.55475416219468</v>
      </c>
      <c r="C74" s="38">
        <v>7231.2989646514261</v>
      </c>
      <c r="D74" s="38">
        <v>19372.601422097043</v>
      </c>
      <c r="E74" s="38">
        <v>26455.178634914573</v>
      </c>
      <c r="F74" s="38">
        <v>34816.143875641406</v>
      </c>
      <c r="G74" s="38">
        <v>44644.798134213321</v>
      </c>
      <c r="H74" s="38">
        <v>66928.989253758729</v>
      </c>
      <c r="I74" s="38">
        <v>92233.71226270769</v>
      </c>
      <c r="J74" s="38">
        <v>238658.19394520219</v>
      </c>
      <c r="K74" s="38">
        <v>292479.29094496131</v>
      </c>
      <c r="L74" s="1"/>
      <c r="M74" s="4" t="str">
        <f t="shared" si="10"/>
        <v>$million</v>
      </c>
    </row>
    <row r="75" spans="1:13" x14ac:dyDescent="0.25">
      <c r="A75" t="str">
        <v>EE Economic</v>
      </c>
      <c r="B75" s="38">
        <v>44.910950832438935</v>
      </c>
      <c r="C75" s="38">
        <v>1446.2597929302847</v>
      </c>
      <c r="D75" s="38">
        <v>3874.5202844194087</v>
      </c>
      <c r="E75" s="38">
        <v>5291.0357269829128</v>
      </c>
      <c r="F75" s="38">
        <v>6963.2287751282802</v>
      </c>
      <c r="G75" s="38">
        <v>8928.9596268426612</v>
      </c>
      <c r="H75" s="38">
        <v>13385.797850751744</v>
      </c>
      <c r="I75" s="38">
        <v>18446.74245254153</v>
      </c>
      <c r="J75" s="38">
        <v>47731.638789040408</v>
      </c>
      <c r="K75" s="38">
        <v>58495.858188992235</v>
      </c>
      <c r="L75" s="1"/>
      <c r="M75" s="4" t="str">
        <f t="shared" si="10"/>
        <v>$million</v>
      </c>
    </row>
    <row r="76" spans="1:13" x14ac:dyDescent="0.25">
      <c r="A76" t="str">
        <v>CA Economic</v>
      </c>
      <c r="B76" s="38">
        <v>0</v>
      </c>
      <c r="C76" s="38">
        <v>1928.3463905737133</v>
      </c>
      <c r="D76" s="38">
        <v>5405.5117434495041</v>
      </c>
      <c r="E76" s="38">
        <v>11072.631057925719</v>
      </c>
      <c r="F76" s="38">
        <v>14572.054920311908</v>
      </c>
      <c r="G76" s="38">
        <v>18685.769815340005</v>
      </c>
      <c r="H76" s="38">
        <v>28012.663052242464</v>
      </c>
      <c r="I76" s="38">
        <v>38603.778907771455</v>
      </c>
      <c r="J76" s="38">
        <v>99888.727533237383</v>
      </c>
      <c r="K76" s="38">
        <v>122415.17343009725</v>
      </c>
      <c r="L76" s="1"/>
      <c r="M76" s="4" t="str">
        <f t="shared" si="10"/>
        <v>$million</v>
      </c>
    </row>
    <row r="77" spans="1:13" x14ac:dyDescent="0.25">
      <c r="A77" t="str">
        <v>IA Economic</v>
      </c>
      <c r="B77" s="38">
        <v>0</v>
      </c>
      <c r="C77" s="38">
        <v>1606.9553254780944</v>
      </c>
      <c r="D77" s="38">
        <v>4504.5931195412531</v>
      </c>
      <c r="E77" s="38">
        <v>9227.1925482714323</v>
      </c>
      <c r="F77" s="38">
        <v>12143.379100259921</v>
      </c>
      <c r="G77" s="38">
        <v>15571.474846116671</v>
      </c>
      <c r="H77" s="38">
        <v>23343.885876868717</v>
      </c>
      <c r="I77" s="38">
        <v>32169.815756476219</v>
      </c>
      <c r="J77" s="38">
        <v>83240.606277697821</v>
      </c>
      <c r="K77" s="38">
        <v>102012.64452508099</v>
      </c>
      <c r="L77" s="1"/>
      <c r="M77" s="4" t="str">
        <f t="shared" si="10"/>
        <v>$million</v>
      </c>
    </row>
    <row r="78" spans="1:13" x14ac:dyDescent="0.25">
      <c r="A78" t="str">
        <v>AF Economic</v>
      </c>
      <c r="B78" s="38">
        <v>0</v>
      </c>
      <c r="C78" s="38">
        <v>843.65154587599943</v>
      </c>
      <c r="D78" s="38">
        <v>2364.9113877591576</v>
      </c>
      <c r="E78" s="38">
        <v>4844.2760878425015</v>
      </c>
      <c r="F78" s="38">
        <v>6375.2740276364584</v>
      </c>
      <c r="G78" s="38">
        <v>8175.0242942112518</v>
      </c>
      <c r="H78" s="38">
        <v>12255.540085356075</v>
      </c>
      <c r="I78" s="38">
        <v>16889.153272150008</v>
      </c>
      <c r="J78" s="38">
        <v>43701.318295791345</v>
      </c>
      <c r="K78" s="38">
        <v>53556.63837566752</v>
      </c>
      <c r="L78" s="1"/>
      <c r="M78" s="4" t="str">
        <f t="shared" si="10"/>
        <v>$million</v>
      </c>
    </row>
    <row r="79" spans="1:13" x14ac:dyDescent="0.25">
      <c r="A79" t="str">
        <v>LA Economic</v>
      </c>
      <c r="B79" s="38">
        <v>0</v>
      </c>
      <c r="C79" s="38">
        <v>964.17319528685641</v>
      </c>
      <c r="D79" s="38">
        <v>2702.7558717247512</v>
      </c>
      <c r="E79" s="38">
        <v>5536.3155289628594</v>
      </c>
      <c r="F79" s="38">
        <v>7286.0274601559522</v>
      </c>
      <c r="G79" s="38">
        <v>9342.8849076700008</v>
      </c>
      <c r="H79" s="38">
        <v>14006.331526121228</v>
      </c>
      <c r="I79" s="38">
        <v>19301.889453885724</v>
      </c>
      <c r="J79" s="38">
        <v>49944.363766618691</v>
      </c>
      <c r="K79" s="38">
        <v>61207.586715048623</v>
      </c>
      <c r="L79" s="1"/>
      <c r="M79" s="4" t="str">
        <f t="shared" si="10"/>
        <v>$million</v>
      </c>
    </row>
    <row r="80" spans="1:13" ht="13.5" thickBot="1" x14ac:dyDescent="0.35">
      <c r="A80" s="2" t="str">
        <f>"Global "&amp;I_1_NAME</f>
        <v>Global Economic</v>
      </c>
      <c r="B80" s="56">
        <f t="shared" ref="B80:K80" si="11">SUM(B72:B79)</f>
        <v>1522.5429266447986</v>
      </c>
      <c r="C80" s="56">
        <f t="shared" si="11"/>
        <v>47858.441325834341</v>
      </c>
      <c r="D80" s="56">
        <f t="shared" si="11"/>
        <v>113429.61660875898</v>
      </c>
      <c r="E80" s="56">
        <f t="shared" si="11"/>
        <v>147839.130547343</v>
      </c>
      <c r="F80" s="56">
        <f t="shared" si="11"/>
        <v>177436.10346487889</v>
      </c>
      <c r="G80" s="56">
        <f t="shared" si="11"/>
        <v>210666.24343701606</v>
      </c>
      <c r="H80" s="56">
        <f t="shared" si="11"/>
        <v>286113.38887069828</v>
      </c>
      <c r="I80" s="56">
        <f t="shared" si="11"/>
        <v>373781.14106569131</v>
      </c>
      <c r="J80" s="56">
        <f t="shared" si="11"/>
        <v>967172.73835223075</v>
      </c>
      <c r="K80" s="56">
        <f t="shared" si="11"/>
        <v>1185285.0809702687</v>
      </c>
      <c r="L80" s="1"/>
      <c r="M80" s="4" t="str">
        <f t="shared" si="10"/>
        <v>$million</v>
      </c>
    </row>
    <row r="81" spans="1:13" s="2" customFormat="1" ht="15.5" thickTop="1" x14ac:dyDescent="0.4">
      <c r="A81" s="2" t="s">
        <v>434</v>
      </c>
      <c r="B81" s="2" t="s">
        <v>441</v>
      </c>
    </row>
    <row r="82" spans="1:13" s="4" customFormat="1" x14ac:dyDescent="0.25">
      <c r="A82" t="str">
        <f t="array" ref="A82:A89">R_CODE&amp;" "&amp;I_2_NAME</f>
        <v>EU Non-econ</v>
      </c>
      <c r="B82" s="37">
        <f t="array" ref="B82:K89">atl_2*CP_2*GDP/100*AUTOFAC</f>
        <v>0</v>
      </c>
      <c r="C82" s="37">
        <v>0</v>
      </c>
      <c r="D82" s="37">
        <v>0</v>
      </c>
      <c r="E82" s="37">
        <v>0</v>
      </c>
      <c r="F82" s="37">
        <v>0</v>
      </c>
      <c r="G82" s="37">
        <v>0</v>
      </c>
      <c r="H82" s="37">
        <v>0</v>
      </c>
      <c r="I82" s="37">
        <v>0</v>
      </c>
      <c r="J82" s="37">
        <v>0</v>
      </c>
      <c r="K82" s="37">
        <v>0</v>
      </c>
      <c r="M82" s="4" t="str">
        <f t="shared" ref="M82:M90" si="12">CURRENCY_NAME</f>
        <v>$million</v>
      </c>
    </row>
    <row r="83" spans="1:13" s="4" customFormat="1" x14ac:dyDescent="0.25">
      <c r="A83" t="str">
        <v>US Non-econ</v>
      </c>
      <c r="B83" s="38">
        <v>0</v>
      </c>
      <c r="C83" s="38">
        <v>0</v>
      </c>
      <c r="D83" s="38">
        <v>0</v>
      </c>
      <c r="E83" s="38">
        <v>0</v>
      </c>
      <c r="F83" s="38">
        <v>0</v>
      </c>
      <c r="G83" s="38">
        <v>0</v>
      </c>
      <c r="H83" s="38">
        <v>0</v>
      </c>
      <c r="I83" s="38">
        <v>0</v>
      </c>
      <c r="J83" s="38">
        <v>0</v>
      </c>
      <c r="K83" s="38">
        <v>0</v>
      </c>
      <c r="M83" s="4" t="str">
        <f t="shared" si="12"/>
        <v>$million</v>
      </c>
    </row>
    <row r="84" spans="1:13" s="4" customFormat="1" x14ac:dyDescent="0.25">
      <c r="A84" t="str">
        <v>OT Non-econ</v>
      </c>
      <c r="B84" s="38">
        <v>0</v>
      </c>
      <c r="C84" s="38">
        <v>0</v>
      </c>
      <c r="D84" s="38">
        <v>0</v>
      </c>
      <c r="E84" s="38">
        <v>0</v>
      </c>
      <c r="F84" s="38">
        <v>0</v>
      </c>
      <c r="G84" s="38">
        <v>0</v>
      </c>
      <c r="H84" s="38">
        <v>0</v>
      </c>
      <c r="I84" s="38">
        <v>0</v>
      </c>
      <c r="J84" s="38">
        <v>0</v>
      </c>
      <c r="K84" s="38">
        <v>0</v>
      </c>
      <c r="M84" s="4" t="str">
        <f t="shared" si="12"/>
        <v>$million</v>
      </c>
    </row>
    <row r="85" spans="1:13" s="4" customFormat="1" x14ac:dyDescent="0.25">
      <c r="A85" t="str">
        <v>EE Non-econ</v>
      </c>
      <c r="B85" s="38">
        <v>0</v>
      </c>
      <c r="C85" s="38">
        <v>0</v>
      </c>
      <c r="D85" s="38">
        <v>0</v>
      </c>
      <c r="E85" s="38">
        <v>0</v>
      </c>
      <c r="F85" s="38">
        <v>0</v>
      </c>
      <c r="G85" s="38">
        <v>0</v>
      </c>
      <c r="H85" s="38">
        <v>0</v>
      </c>
      <c r="I85" s="38">
        <v>0</v>
      </c>
      <c r="J85" s="38">
        <v>0</v>
      </c>
      <c r="K85" s="38">
        <v>0</v>
      </c>
      <c r="M85" s="4" t="str">
        <f t="shared" si="12"/>
        <v>$million</v>
      </c>
    </row>
    <row r="86" spans="1:13" s="4" customFormat="1" x14ac:dyDescent="0.25">
      <c r="A86" t="str">
        <v>CA Non-econ</v>
      </c>
      <c r="B86" s="38">
        <v>0</v>
      </c>
      <c r="C86" s="38">
        <v>0</v>
      </c>
      <c r="D86" s="38">
        <v>0</v>
      </c>
      <c r="E86" s="38">
        <v>0</v>
      </c>
      <c r="F86" s="38">
        <v>0</v>
      </c>
      <c r="G86" s="38">
        <v>0</v>
      </c>
      <c r="H86" s="38">
        <v>0</v>
      </c>
      <c r="I86" s="38">
        <v>0</v>
      </c>
      <c r="J86" s="38">
        <v>0</v>
      </c>
      <c r="K86" s="38">
        <v>0</v>
      </c>
      <c r="M86" s="4" t="str">
        <f t="shared" si="12"/>
        <v>$million</v>
      </c>
    </row>
    <row r="87" spans="1:13" s="4" customFormat="1" x14ac:dyDescent="0.25">
      <c r="A87" t="str">
        <v>IA Non-econ</v>
      </c>
      <c r="B87" s="38">
        <v>0</v>
      </c>
      <c r="C87" s="38">
        <v>0</v>
      </c>
      <c r="D87" s="38">
        <v>0</v>
      </c>
      <c r="E87" s="38">
        <v>0</v>
      </c>
      <c r="F87" s="38">
        <v>0</v>
      </c>
      <c r="G87" s="38">
        <v>0</v>
      </c>
      <c r="H87" s="38">
        <v>0</v>
      </c>
      <c r="I87" s="38">
        <v>0</v>
      </c>
      <c r="J87" s="38">
        <v>0</v>
      </c>
      <c r="K87" s="38">
        <v>0</v>
      </c>
      <c r="M87" s="4" t="str">
        <f t="shared" si="12"/>
        <v>$million</v>
      </c>
    </row>
    <row r="88" spans="1:13" s="4" customFormat="1" x14ac:dyDescent="0.25">
      <c r="A88" t="str">
        <v>AF Non-econ</v>
      </c>
      <c r="B88" s="38">
        <v>0</v>
      </c>
      <c r="C88" s="38">
        <v>0</v>
      </c>
      <c r="D88" s="38">
        <v>0</v>
      </c>
      <c r="E88" s="38">
        <v>0</v>
      </c>
      <c r="F88" s="38">
        <v>0</v>
      </c>
      <c r="G88" s="38">
        <v>0</v>
      </c>
      <c r="H88" s="38">
        <v>0</v>
      </c>
      <c r="I88" s="38">
        <v>0</v>
      </c>
      <c r="J88" s="38">
        <v>0</v>
      </c>
      <c r="K88" s="38">
        <v>0</v>
      </c>
      <c r="M88" s="4" t="str">
        <f t="shared" si="12"/>
        <v>$million</v>
      </c>
    </row>
    <row r="89" spans="1:13" s="4" customFormat="1" x14ac:dyDescent="0.25">
      <c r="A89" t="str">
        <v>LA Non-econ</v>
      </c>
      <c r="B89" s="38">
        <v>0</v>
      </c>
      <c r="C89" s="38">
        <v>0</v>
      </c>
      <c r="D89" s="38">
        <v>0</v>
      </c>
      <c r="E89" s="38">
        <v>0</v>
      </c>
      <c r="F89" s="38">
        <v>0</v>
      </c>
      <c r="G89" s="38">
        <v>0</v>
      </c>
      <c r="H89" s="38">
        <v>0</v>
      </c>
      <c r="I89" s="38">
        <v>0</v>
      </c>
      <c r="J89" s="38">
        <v>0</v>
      </c>
      <c r="K89" s="38">
        <v>0</v>
      </c>
      <c r="M89" s="4" t="str">
        <f t="shared" si="12"/>
        <v>$million</v>
      </c>
    </row>
    <row r="90" spans="1:13" ht="13.5" thickBot="1" x14ac:dyDescent="0.35">
      <c r="A90" s="2" t="str">
        <f>"Global "&amp;I_2_NAME</f>
        <v>Global Non-econ</v>
      </c>
      <c r="B90" s="56">
        <f>SUM(B82:B89)</f>
        <v>0</v>
      </c>
      <c r="C90" s="56">
        <f t="shared" ref="C90:K90" si="13">SUM(C82:C89)</f>
        <v>0</v>
      </c>
      <c r="D90" s="56">
        <f t="shared" si="13"/>
        <v>0</v>
      </c>
      <c r="E90" s="56">
        <f t="shared" si="13"/>
        <v>0</v>
      </c>
      <c r="F90" s="56">
        <f t="shared" si="13"/>
        <v>0</v>
      </c>
      <c r="G90" s="56">
        <f t="shared" si="13"/>
        <v>0</v>
      </c>
      <c r="H90" s="56">
        <f t="shared" si="13"/>
        <v>0</v>
      </c>
      <c r="I90" s="56">
        <f t="shared" si="13"/>
        <v>0</v>
      </c>
      <c r="J90" s="56">
        <f t="shared" si="13"/>
        <v>0</v>
      </c>
      <c r="K90" s="56">
        <f t="shared" si="13"/>
        <v>0</v>
      </c>
      <c r="L90" s="1"/>
      <c r="M90" s="4" t="str">
        <f t="shared" si="12"/>
        <v>$million</v>
      </c>
    </row>
    <row r="91" spans="1:13" s="2" customFormat="1" ht="15.5" thickTop="1" x14ac:dyDescent="0.4">
      <c r="A91" s="2" t="s">
        <v>436</v>
      </c>
      <c r="B91" s="2" t="s">
        <v>442</v>
      </c>
    </row>
    <row r="92" spans="1:13" x14ac:dyDescent="0.25">
      <c r="A92" t="str">
        <f t="array" ref="A92:A99">R_CODE&amp;" "&amp;I_2_NAME</f>
        <v>EU Non-econ</v>
      </c>
      <c r="B92" s="37">
        <f t="array" ref="B92:K99">imp_2*CI_2*GDP/100*impmax_2_a*AUTOFAC</f>
        <v>0</v>
      </c>
      <c r="C92" s="37">
        <v>5926.3226416940497</v>
      </c>
      <c r="D92" s="37">
        <v>13670.283221567035</v>
      </c>
      <c r="E92" s="37">
        <v>22837.480194317752</v>
      </c>
      <c r="F92" s="37">
        <v>33260.713604953518</v>
      </c>
      <c r="G92" s="37">
        <v>36073.991008219215</v>
      </c>
      <c r="H92" s="37">
        <v>42299.128743696019</v>
      </c>
      <c r="I92" s="37">
        <v>50292.580869040838</v>
      </c>
      <c r="J92" s="37">
        <v>130133.94153388432</v>
      </c>
      <c r="K92" s="37">
        <v>159481.14882844861</v>
      </c>
      <c r="M92" s="4" t="str">
        <f t="shared" ref="M92:M100" si="14">CURRENCY_NAME</f>
        <v>$million</v>
      </c>
    </row>
    <row r="93" spans="1:13" x14ac:dyDescent="0.25">
      <c r="A93" t="str">
        <v>US Non-econ</v>
      </c>
      <c r="B93" s="38">
        <v>0</v>
      </c>
      <c r="C93" s="38">
        <v>4995.9910400829158</v>
      </c>
      <c r="D93" s="38">
        <v>11729.987387326841</v>
      </c>
      <c r="E93" s="38">
        <v>20434.415990614059</v>
      </c>
      <c r="F93" s="38">
        <v>31100.607730337524</v>
      </c>
      <c r="G93" s="38">
        <v>35067.517901562802</v>
      </c>
      <c r="H93" s="38">
        <v>44286.159240456567</v>
      </c>
      <c r="I93" s="38">
        <v>55176.803201568859</v>
      </c>
      <c r="J93" s="38">
        <v>142772.05022659129</v>
      </c>
      <c r="K93" s="38">
        <v>174969.34560151646</v>
      </c>
      <c r="M93" s="4" t="str">
        <f t="shared" si="14"/>
        <v>$million</v>
      </c>
    </row>
    <row r="94" spans="1:13" x14ac:dyDescent="0.25">
      <c r="A94" t="str">
        <v>OT Non-econ</v>
      </c>
      <c r="B94" s="38">
        <v>0</v>
      </c>
      <c r="C94" s="38">
        <v>2334.1534633517726</v>
      </c>
      <c r="D94" s="38">
        <v>6543.0640567680884</v>
      </c>
      <c r="E94" s="38">
        <v>13402.789176577535</v>
      </c>
      <c r="F94" s="38">
        <v>23518.189903823073</v>
      </c>
      <c r="G94" s="38">
        <v>30157.413310578224</v>
      </c>
      <c r="H94" s="38">
        <v>45210.310623804937</v>
      </c>
      <c r="I94" s="38">
        <v>62303.567226655505</v>
      </c>
      <c r="J94" s="38">
        <v>161212.81975841156</v>
      </c>
      <c r="K94" s="38">
        <v>197568.79256785297</v>
      </c>
      <c r="M94" s="4" t="str">
        <f t="shared" si="14"/>
        <v>$million</v>
      </c>
    </row>
    <row r="95" spans="1:13" x14ac:dyDescent="0.25">
      <c r="A95" t="str">
        <v>EE Non-econ</v>
      </c>
      <c r="B95" s="38">
        <v>0</v>
      </c>
      <c r="C95" s="38">
        <v>466.83069267035438</v>
      </c>
      <c r="D95" s="38">
        <v>1308.6128113536172</v>
      </c>
      <c r="E95" s="38">
        <v>2680.5578353155065</v>
      </c>
      <c r="F95" s="38">
        <v>4703.6379807646135</v>
      </c>
      <c r="G95" s="38">
        <v>6031.4826621156444</v>
      </c>
      <c r="H95" s="38">
        <v>9042.0621247609834</v>
      </c>
      <c r="I95" s="38">
        <v>12460.713445331095</v>
      </c>
      <c r="J95" s="38">
        <v>32242.563951682299</v>
      </c>
      <c r="K95" s="38">
        <v>39513.758513570574</v>
      </c>
      <c r="M95" s="4" t="str">
        <f t="shared" si="14"/>
        <v>$million</v>
      </c>
    </row>
    <row r="96" spans="1:13" x14ac:dyDescent="0.25">
      <c r="A96" t="str">
        <v>CA Non-econ</v>
      </c>
      <c r="B96" s="38">
        <v>0</v>
      </c>
      <c r="C96" s="38">
        <v>1867.3227706814175</v>
      </c>
      <c r="D96" s="38">
        <v>5234.4512454144688</v>
      </c>
      <c r="E96" s="38">
        <v>10722.231341262026</v>
      </c>
      <c r="F96" s="38">
        <v>18814.551923058454</v>
      </c>
      <c r="G96" s="38">
        <v>24125.930648462578</v>
      </c>
      <c r="H96" s="38">
        <v>36168.248499043933</v>
      </c>
      <c r="I96" s="38">
        <v>49842.853781324382</v>
      </c>
      <c r="J96" s="38">
        <v>128970.2558067292</v>
      </c>
      <c r="K96" s="38">
        <v>158055.0340542823</v>
      </c>
      <c r="M96" s="4" t="str">
        <f t="shared" si="14"/>
        <v>$million</v>
      </c>
    </row>
    <row r="97" spans="1:13" x14ac:dyDescent="0.25">
      <c r="A97" t="str">
        <v>IA Non-econ</v>
      </c>
      <c r="B97" s="38">
        <v>0</v>
      </c>
      <c r="C97" s="38">
        <v>1556.1023089011815</v>
      </c>
      <c r="D97" s="38">
        <v>4362.0427045120568</v>
      </c>
      <c r="E97" s="38">
        <v>8935.1927843850208</v>
      </c>
      <c r="F97" s="38">
        <v>15678.793269215375</v>
      </c>
      <c r="G97" s="38">
        <v>20104.942207052147</v>
      </c>
      <c r="H97" s="38">
        <v>30140.20708253661</v>
      </c>
      <c r="I97" s="38">
        <v>41535.711484436986</v>
      </c>
      <c r="J97" s="38">
        <v>107475.21317227432</v>
      </c>
      <c r="K97" s="38">
        <v>131712.52837856853</v>
      </c>
      <c r="M97" s="4" t="str">
        <f t="shared" si="14"/>
        <v>$million</v>
      </c>
    </row>
    <row r="98" spans="1:13" x14ac:dyDescent="0.25">
      <c r="A98" t="str">
        <v>AF Non-econ</v>
      </c>
      <c r="B98" s="38">
        <v>0</v>
      </c>
      <c r="C98" s="38">
        <v>816.95371217312015</v>
      </c>
      <c r="D98" s="38">
        <v>2290.0724198688299</v>
      </c>
      <c r="E98" s="38">
        <v>4690.9762118021345</v>
      </c>
      <c r="F98" s="38">
        <v>8231.3664663380714</v>
      </c>
      <c r="G98" s="38">
        <v>10555.094658702375</v>
      </c>
      <c r="H98" s="38">
        <v>15823.608718331716</v>
      </c>
      <c r="I98" s="38">
        <v>21806.248529329416</v>
      </c>
      <c r="J98" s="38">
        <v>56424.486915444002</v>
      </c>
      <c r="K98" s="38">
        <v>69149.077398748486</v>
      </c>
      <c r="M98" s="4" t="str">
        <f t="shared" si="14"/>
        <v>$million</v>
      </c>
    </row>
    <row r="99" spans="1:13" x14ac:dyDescent="0.25">
      <c r="A99" t="str">
        <v>LA Non-econ</v>
      </c>
      <c r="B99" s="38">
        <v>0</v>
      </c>
      <c r="C99" s="38">
        <v>933.66138534070842</v>
      </c>
      <c r="D99" s="38">
        <v>2617.225622707233</v>
      </c>
      <c r="E99" s="38">
        <v>5361.1156706310103</v>
      </c>
      <c r="F99" s="38">
        <v>9407.2759615292234</v>
      </c>
      <c r="G99" s="38">
        <v>12062.965324231285</v>
      </c>
      <c r="H99" s="38">
        <v>18084.124249521963</v>
      </c>
      <c r="I99" s="38">
        <v>24921.426890662191</v>
      </c>
      <c r="J99" s="38">
        <v>64485.127903364591</v>
      </c>
      <c r="K99" s="38">
        <v>79027.517027141119</v>
      </c>
      <c r="M99" s="4" t="str">
        <f t="shared" si="14"/>
        <v>$million</v>
      </c>
    </row>
    <row r="100" spans="1:13" ht="13.5" thickBot="1" x14ac:dyDescent="0.35">
      <c r="A100" s="2" t="str">
        <f>"Global "&amp;I_2_NAME</f>
        <v>Global Non-econ</v>
      </c>
      <c r="B100" s="56">
        <f t="shared" ref="B100:K100" si="15">SUM(B92:B99)</f>
        <v>0</v>
      </c>
      <c r="C100" s="56">
        <f t="shared" si="15"/>
        <v>18897.338014895518</v>
      </c>
      <c r="D100" s="56">
        <f t="shared" si="15"/>
        <v>47755.739469518179</v>
      </c>
      <c r="E100" s="56">
        <f t="shared" si="15"/>
        <v>89064.759204905058</v>
      </c>
      <c r="F100" s="56">
        <f t="shared" si="15"/>
        <v>144715.13684001984</v>
      </c>
      <c r="G100" s="56">
        <f t="shared" si="15"/>
        <v>174179.33772092426</v>
      </c>
      <c r="H100" s="56">
        <f t="shared" si="15"/>
        <v>241053.84928215275</v>
      </c>
      <c r="I100" s="56">
        <f t="shared" si="15"/>
        <v>318339.90542834922</v>
      </c>
      <c r="J100" s="56">
        <f t="shared" si="15"/>
        <v>823716.45926838159</v>
      </c>
      <c r="K100" s="56">
        <f t="shared" si="15"/>
        <v>1009477.2023701291</v>
      </c>
      <c r="L100" s="1"/>
      <c r="M100" s="4" t="str">
        <f t="shared" si="14"/>
        <v>$million</v>
      </c>
    </row>
    <row r="101" spans="1:13" ht="15.5" thickTop="1" x14ac:dyDescent="0.4">
      <c r="A101" s="65" t="s">
        <v>145</v>
      </c>
      <c r="B101" s="2" t="s">
        <v>126</v>
      </c>
      <c r="C101" s="58"/>
      <c r="D101" s="58"/>
      <c r="E101" s="58"/>
      <c r="F101" s="58"/>
      <c r="G101" s="58"/>
      <c r="H101" s="58"/>
      <c r="I101" s="58"/>
      <c r="J101" s="58"/>
      <c r="K101" s="58"/>
      <c r="L101" s="1"/>
      <c r="M101" s="1"/>
    </row>
    <row r="102" spans="1:13" x14ac:dyDescent="0.25">
      <c r="A102" t="str">
        <f t="array" ref="A102:A109">R_CODE&amp;" "&amp;I_2_NAME</f>
        <v>EU Non-econ</v>
      </c>
      <c r="B102" s="38">
        <f t="array" ref="B102:K109">acp_2+aci_2</f>
        <v>0</v>
      </c>
      <c r="C102" s="38">
        <v>5926.3226416940497</v>
      </c>
      <c r="D102" s="38">
        <v>13670.283221567035</v>
      </c>
      <c r="E102" s="38">
        <v>22837.480194317752</v>
      </c>
      <c r="F102" s="38">
        <v>33260.713604953518</v>
      </c>
      <c r="G102" s="38">
        <v>36073.991008219215</v>
      </c>
      <c r="H102" s="38">
        <v>42299.128743696019</v>
      </c>
      <c r="I102" s="38">
        <v>50292.580869040838</v>
      </c>
      <c r="J102" s="38">
        <v>130133.94153388432</v>
      </c>
      <c r="K102" s="38">
        <v>159481.14882844861</v>
      </c>
      <c r="L102" s="1"/>
      <c r="M102" s="4" t="str">
        <f t="shared" ref="M102:M110" si="16">CURRENCY_NAME</f>
        <v>$million</v>
      </c>
    </row>
    <row r="103" spans="1:13" x14ac:dyDescent="0.25">
      <c r="A103" t="str">
        <v>US Non-econ</v>
      </c>
      <c r="B103" s="38">
        <v>0</v>
      </c>
      <c r="C103" s="38">
        <v>4995.9910400829158</v>
      </c>
      <c r="D103" s="38">
        <v>11729.987387326841</v>
      </c>
      <c r="E103" s="38">
        <v>20434.415990614059</v>
      </c>
      <c r="F103" s="38">
        <v>31100.607730337524</v>
      </c>
      <c r="G103" s="38">
        <v>35067.517901562802</v>
      </c>
      <c r="H103" s="38">
        <v>44286.159240456567</v>
      </c>
      <c r="I103" s="38">
        <v>55176.803201568859</v>
      </c>
      <c r="J103" s="38">
        <v>142772.05022659129</v>
      </c>
      <c r="K103" s="38">
        <v>174969.34560151646</v>
      </c>
      <c r="L103" s="1"/>
      <c r="M103" s="4" t="str">
        <f t="shared" si="16"/>
        <v>$million</v>
      </c>
    </row>
    <row r="104" spans="1:13" x14ac:dyDescent="0.25">
      <c r="A104" t="str">
        <v>OT Non-econ</v>
      </c>
      <c r="B104" s="38">
        <v>0</v>
      </c>
      <c r="C104" s="38">
        <v>2334.1534633517726</v>
      </c>
      <c r="D104" s="38">
        <v>6543.0640567680884</v>
      </c>
      <c r="E104" s="38">
        <v>13402.789176577535</v>
      </c>
      <c r="F104" s="38">
        <v>23518.189903823073</v>
      </c>
      <c r="G104" s="38">
        <v>30157.413310578224</v>
      </c>
      <c r="H104" s="38">
        <v>45210.310623804937</v>
      </c>
      <c r="I104" s="38">
        <v>62303.567226655505</v>
      </c>
      <c r="J104" s="38">
        <v>161212.81975841156</v>
      </c>
      <c r="K104" s="38">
        <v>197568.79256785297</v>
      </c>
      <c r="L104" s="1"/>
      <c r="M104" s="4" t="str">
        <f t="shared" si="16"/>
        <v>$million</v>
      </c>
    </row>
    <row r="105" spans="1:13" x14ac:dyDescent="0.25">
      <c r="A105" t="str">
        <v>EE Non-econ</v>
      </c>
      <c r="B105" s="38">
        <v>0</v>
      </c>
      <c r="C105" s="38">
        <v>466.83069267035438</v>
      </c>
      <c r="D105" s="38">
        <v>1308.6128113536172</v>
      </c>
      <c r="E105" s="38">
        <v>2680.5578353155065</v>
      </c>
      <c r="F105" s="38">
        <v>4703.6379807646135</v>
      </c>
      <c r="G105" s="38">
        <v>6031.4826621156444</v>
      </c>
      <c r="H105" s="38">
        <v>9042.0621247609834</v>
      </c>
      <c r="I105" s="38">
        <v>12460.713445331095</v>
      </c>
      <c r="J105" s="38">
        <v>32242.563951682299</v>
      </c>
      <c r="K105" s="38">
        <v>39513.758513570574</v>
      </c>
      <c r="L105" s="1"/>
      <c r="M105" s="4" t="str">
        <f t="shared" si="16"/>
        <v>$million</v>
      </c>
    </row>
    <row r="106" spans="1:13" x14ac:dyDescent="0.25">
      <c r="A106" t="str">
        <v>CA Non-econ</v>
      </c>
      <c r="B106" s="38">
        <v>0</v>
      </c>
      <c r="C106" s="38">
        <v>1867.3227706814175</v>
      </c>
      <c r="D106" s="38">
        <v>5234.4512454144688</v>
      </c>
      <c r="E106" s="38">
        <v>10722.231341262026</v>
      </c>
      <c r="F106" s="38">
        <v>18814.551923058454</v>
      </c>
      <c r="G106" s="38">
        <v>24125.930648462578</v>
      </c>
      <c r="H106" s="38">
        <v>36168.248499043933</v>
      </c>
      <c r="I106" s="38">
        <v>49842.853781324382</v>
      </c>
      <c r="J106" s="38">
        <v>128970.2558067292</v>
      </c>
      <c r="K106" s="38">
        <v>158055.0340542823</v>
      </c>
      <c r="L106" s="1"/>
      <c r="M106" s="4" t="str">
        <f t="shared" si="16"/>
        <v>$million</v>
      </c>
    </row>
    <row r="107" spans="1:13" x14ac:dyDescent="0.25">
      <c r="A107" t="str">
        <v>IA Non-econ</v>
      </c>
      <c r="B107" s="38">
        <v>0</v>
      </c>
      <c r="C107" s="38">
        <v>1556.1023089011815</v>
      </c>
      <c r="D107" s="38">
        <v>4362.0427045120568</v>
      </c>
      <c r="E107" s="38">
        <v>8935.1927843850208</v>
      </c>
      <c r="F107" s="38">
        <v>15678.793269215375</v>
      </c>
      <c r="G107" s="38">
        <v>20104.942207052147</v>
      </c>
      <c r="H107" s="38">
        <v>30140.20708253661</v>
      </c>
      <c r="I107" s="38">
        <v>41535.711484436986</v>
      </c>
      <c r="J107" s="38">
        <v>107475.21317227432</v>
      </c>
      <c r="K107" s="38">
        <v>131712.52837856853</v>
      </c>
      <c r="L107" s="1"/>
      <c r="M107" s="4" t="str">
        <f t="shared" si="16"/>
        <v>$million</v>
      </c>
    </row>
    <row r="108" spans="1:13" x14ac:dyDescent="0.25">
      <c r="A108" t="str">
        <v>AF Non-econ</v>
      </c>
      <c r="B108" s="38">
        <v>0</v>
      </c>
      <c r="C108" s="38">
        <v>816.95371217312015</v>
      </c>
      <c r="D108" s="38">
        <v>2290.0724198688299</v>
      </c>
      <c r="E108" s="38">
        <v>4690.9762118021345</v>
      </c>
      <c r="F108" s="38">
        <v>8231.3664663380714</v>
      </c>
      <c r="G108" s="38">
        <v>10555.094658702375</v>
      </c>
      <c r="H108" s="38">
        <v>15823.608718331716</v>
      </c>
      <c r="I108" s="38">
        <v>21806.248529329416</v>
      </c>
      <c r="J108" s="38">
        <v>56424.486915444002</v>
      </c>
      <c r="K108" s="38">
        <v>69149.077398748486</v>
      </c>
      <c r="L108" s="1"/>
      <c r="M108" s="4" t="str">
        <f t="shared" si="16"/>
        <v>$million</v>
      </c>
    </row>
    <row r="109" spans="1:13" x14ac:dyDescent="0.25">
      <c r="A109" t="str">
        <v>LA Non-econ</v>
      </c>
      <c r="B109" s="38">
        <v>0</v>
      </c>
      <c r="C109" s="38">
        <v>933.66138534070842</v>
      </c>
      <c r="D109" s="38">
        <v>2617.225622707233</v>
      </c>
      <c r="E109" s="38">
        <v>5361.1156706310103</v>
      </c>
      <c r="F109" s="38">
        <v>9407.2759615292234</v>
      </c>
      <c r="G109" s="38">
        <v>12062.965324231285</v>
      </c>
      <c r="H109" s="38">
        <v>18084.124249521963</v>
      </c>
      <c r="I109" s="38">
        <v>24921.426890662191</v>
      </c>
      <c r="J109" s="38">
        <v>64485.127903364591</v>
      </c>
      <c r="K109" s="38">
        <v>79027.517027141119</v>
      </c>
      <c r="L109" s="1"/>
      <c r="M109" s="4" t="str">
        <f t="shared" si="16"/>
        <v>$million</v>
      </c>
    </row>
    <row r="110" spans="1:13" ht="13.5" thickBot="1" x14ac:dyDescent="0.35">
      <c r="A110" s="2" t="str">
        <f>"Global "&amp;I_2_NAME</f>
        <v>Global Non-econ</v>
      </c>
      <c r="B110" s="56">
        <f t="shared" ref="B110:K110" si="17">SUM(B102:B109)</f>
        <v>0</v>
      </c>
      <c r="C110" s="56">
        <f t="shared" si="17"/>
        <v>18897.338014895518</v>
      </c>
      <c r="D110" s="56">
        <f t="shared" si="17"/>
        <v>47755.739469518179</v>
      </c>
      <c r="E110" s="56">
        <f t="shared" si="17"/>
        <v>89064.759204905058</v>
      </c>
      <c r="F110" s="56">
        <f t="shared" si="17"/>
        <v>144715.13684001984</v>
      </c>
      <c r="G110" s="56">
        <f t="shared" si="17"/>
        <v>174179.33772092426</v>
      </c>
      <c r="H110" s="56">
        <f t="shared" si="17"/>
        <v>241053.84928215275</v>
      </c>
      <c r="I110" s="56">
        <f t="shared" si="17"/>
        <v>318339.90542834922</v>
      </c>
      <c r="J110" s="56">
        <f t="shared" si="17"/>
        <v>823716.45926838159</v>
      </c>
      <c r="K110" s="56">
        <f t="shared" si="17"/>
        <v>1009477.2023701291</v>
      </c>
      <c r="L110" s="1"/>
      <c r="M110" s="4" t="str">
        <f t="shared" si="16"/>
        <v>$million</v>
      </c>
    </row>
    <row r="111" spans="1:13" ht="15.5" thickTop="1" x14ac:dyDescent="0.4">
      <c r="A111" s="65" t="s">
        <v>140</v>
      </c>
      <c r="B111" s="2" t="s">
        <v>444</v>
      </c>
      <c r="C111" s="58"/>
      <c r="D111" s="58"/>
      <c r="E111" s="58"/>
      <c r="F111" s="58"/>
      <c r="G111" s="58"/>
      <c r="H111" s="58"/>
      <c r="I111" s="58"/>
      <c r="J111" s="58"/>
      <c r="K111" s="58"/>
      <c r="L111" s="1"/>
      <c r="M111" s="1"/>
    </row>
    <row r="112" spans="1:13" x14ac:dyDescent="0.25">
      <c r="A112" t="str">
        <f t="array" ref="A112:A119">R_CODE</f>
        <v>EU</v>
      </c>
      <c r="B112" s="38">
        <f t="array" ref="B112:K119">ac_s+ac_1+ac_2</f>
        <v>1029.9199559519789</v>
      </c>
      <c r="C112" s="38">
        <v>25099.719422866146</v>
      </c>
      <c r="D112" s="38">
        <v>57428.59176753222</v>
      </c>
      <c r="E112" s="38">
        <v>74184.494486344352</v>
      </c>
      <c r="F112" s="38">
        <v>92200.654624963863</v>
      </c>
      <c r="G112" s="38">
        <v>103093.80763635912</v>
      </c>
      <c r="H112" s="38">
        <v>120884.27479217958</v>
      </c>
      <c r="I112" s="38">
        <v>143728.30709159956</v>
      </c>
      <c r="J112" s="38">
        <v>371902.39173699223</v>
      </c>
      <c r="K112" s="38">
        <v>455772.10670146125</v>
      </c>
      <c r="L112" s="1"/>
      <c r="M112" s="4" t="str">
        <f t="shared" ref="M112:M120" si="18">CURRENCY_NAME</f>
        <v>$million</v>
      </c>
    </row>
    <row r="113" spans="1:13" x14ac:dyDescent="0.25">
      <c r="A113" t="str">
        <v>US</v>
      </c>
      <c r="B113" s="38">
        <v>849.69587625475219</v>
      </c>
      <c r="C113" s="38">
        <v>21159.491463223669</v>
      </c>
      <c r="D113" s="38">
        <v>49277.447013118683</v>
      </c>
      <c r="E113" s="38">
        <v>66378.462399917233</v>
      </c>
      <c r="F113" s="38">
        <v>86212.714075511438</v>
      </c>
      <c r="G113" s="38">
        <v>100217.46537566601</v>
      </c>
      <c r="H113" s="38">
        <v>126562.89626086981</v>
      </c>
      <c r="I113" s="38">
        <v>157686.64836545876</v>
      </c>
      <c r="J113" s="38">
        <v>408020.12393237004</v>
      </c>
      <c r="K113" s="38">
        <v>500034.94355788035</v>
      </c>
      <c r="L113" s="1"/>
      <c r="M113" s="4" t="str">
        <f t="shared" si="18"/>
        <v>$million</v>
      </c>
    </row>
    <row r="114" spans="1:13" x14ac:dyDescent="0.25">
      <c r="A114" t="str">
        <v>OT</v>
      </c>
      <c r="B114" s="38">
        <v>336.83213119517313</v>
      </c>
      <c r="C114" s="38">
        <v>9885.8264327123579</v>
      </c>
      <c r="D114" s="38">
        <v>27487.283806390238</v>
      </c>
      <c r="E114" s="38">
        <v>43537.164840928504</v>
      </c>
      <c r="F114" s="38">
        <v>65193.805835956708</v>
      </c>
      <c r="G114" s="38">
        <v>86185.156667099975</v>
      </c>
      <c r="H114" s="38">
        <v>129203.97594955974</v>
      </c>
      <c r="I114" s="38">
        <v>178053.8220254124</v>
      </c>
      <c r="J114" s="38">
        <v>460720.95058464579</v>
      </c>
      <c r="K114" s="38">
        <v>564620.61797645944</v>
      </c>
      <c r="L114" s="1"/>
      <c r="M114" s="4" t="str">
        <f t="shared" si="18"/>
        <v>$million</v>
      </c>
    </row>
    <row r="115" spans="1:13" x14ac:dyDescent="0.25">
      <c r="A115" t="str">
        <v>EE</v>
      </c>
      <c r="B115" s="38">
        <v>67.366426239034624</v>
      </c>
      <c r="C115" s="38">
        <v>1977.165286542471</v>
      </c>
      <c r="D115" s="38">
        <v>5497.4567612780465</v>
      </c>
      <c r="E115" s="38">
        <v>8707.432968185698</v>
      </c>
      <c r="F115" s="38">
        <v>13038.761167191338</v>
      </c>
      <c r="G115" s="38">
        <v>17237.031333419989</v>
      </c>
      <c r="H115" s="38">
        <v>25840.795189911943</v>
      </c>
      <c r="I115" s="38">
        <v>35610.764405082467</v>
      </c>
      <c r="J115" s="38">
        <v>92144.190116929109</v>
      </c>
      <c r="K115" s="38">
        <v>112924.12359529184</v>
      </c>
      <c r="L115" s="1"/>
      <c r="M115" s="4" t="str">
        <f t="shared" si="18"/>
        <v>$million</v>
      </c>
    </row>
    <row r="116" spans="1:13" x14ac:dyDescent="0.25">
      <c r="A116" t="str">
        <v>CA</v>
      </c>
      <c r="B116" s="38">
        <v>47.905014200737476</v>
      </c>
      <c r="C116" s="38">
        <v>3932.3620699310386</v>
      </c>
      <c r="D116" s="38">
        <v>11376.37843372846</v>
      </c>
      <c r="E116" s="38">
        <v>23413.7090920872</v>
      </c>
      <c r="F116" s="38">
        <v>36324.07487690085</v>
      </c>
      <c r="G116" s="38">
        <v>47613.233721115917</v>
      </c>
      <c r="H116" s="38">
        <v>71379.102185146941</v>
      </c>
      <c r="I116" s="38">
        <v>98366.33790410214</v>
      </c>
      <c r="J116" s="38">
        <v>254526.59307835737</v>
      </c>
      <c r="K116" s="38">
        <v>311926.25838477409</v>
      </c>
      <c r="L116" s="1"/>
      <c r="M116" s="4" t="str">
        <f t="shared" si="18"/>
        <v>$million</v>
      </c>
    </row>
    <row r="117" spans="1:13" x14ac:dyDescent="0.25">
      <c r="A117" t="str">
        <v>IA</v>
      </c>
      <c r="B117" s="38">
        <v>39.920845167281229</v>
      </c>
      <c r="C117" s="38">
        <v>3276.968391609199</v>
      </c>
      <c r="D117" s="38">
        <v>9480.3153614403818</v>
      </c>
      <c r="E117" s="38">
        <v>19511.424243406</v>
      </c>
      <c r="F117" s="38">
        <v>30270.062397417372</v>
      </c>
      <c r="G117" s="38">
        <v>39677.694767596593</v>
      </c>
      <c r="H117" s="38">
        <v>59482.585154289118</v>
      </c>
      <c r="I117" s="38">
        <v>81971.948253418464</v>
      </c>
      <c r="J117" s="38">
        <v>212105.49423196446</v>
      </c>
      <c r="K117" s="38">
        <v>259938.54865397833</v>
      </c>
      <c r="L117" s="1"/>
      <c r="M117" s="4" t="str">
        <f t="shared" si="18"/>
        <v>$million</v>
      </c>
    </row>
    <row r="118" spans="1:13" x14ac:dyDescent="0.25">
      <c r="A118" t="str">
        <v>AF</v>
      </c>
      <c r="B118" s="38">
        <v>20.958443712822639</v>
      </c>
      <c r="C118" s="38">
        <v>1720.4084055948292</v>
      </c>
      <c r="D118" s="38">
        <v>4977.1655647562002</v>
      </c>
      <c r="E118" s="38">
        <v>10243.497727788148</v>
      </c>
      <c r="F118" s="38">
        <v>15891.782758644118</v>
      </c>
      <c r="G118" s="38">
        <v>20830.78975298821</v>
      </c>
      <c r="H118" s="38">
        <v>31228.357206001783</v>
      </c>
      <c r="I118" s="38">
        <v>43035.272833044684</v>
      </c>
      <c r="J118" s="38">
        <v>111355.38447178132</v>
      </c>
      <c r="K118" s="38">
        <v>136467.73804333864</v>
      </c>
      <c r="L118" s="1"/>
      <c r="M118" s="4" t="str">
        <f t="shared" si="18"/>
        <v>$million</v>
      </c>
    </row>
    <row r="119" spans="1:13" x14ac:dyDescent="0.25">
      <c r="A119" t="str">
        <v>LA</v>
      </c>
      <c r="B119" s="38">
        <v>23.952507100368734</v>
      </c>
      <c r="C119" s="38">
        <v>1966.1810349655188</v>
      </c>
      <c r="D119" s="38">
        <v>5688.189216864228</v>
      </c>
      <c r="E119" s="38">
        <v>11706.854546043596</v>
      </c>
      <c r="F119" s="38">
        <v>18162.037438450418</v>
      </c>
      <c r="G119" s="38">
        <v>23806.616860557951</v>
      </c>
      <c r="H119" s="38">
        <v>35689.551092573471</v>
      </c>
      <c r="I119" s="38">
        <v>49183.16895205107</v>
      </c>
      <c r="J119" s="38">
        <v>127263.29653917867</v>
      </c>
      <c r="K119" s="38">
        <v>155963.12919238704</v>
      </c>
      <c r="L119" s="1"/>
      <c r="M119" s="4" t="str">
        <f t="shared" si="18"/>
        <v>$million</v>
      </c>
    </row>
    <row r="120" spans="1:13" ht="13.5" thickBot="1" x14ac:dyDescent="0.35">
      <c r="A120" s="2" t="s">
        <v>257</v>
      </c>
      <c r="B120" s="56">
        <f t="shared" ref="B120:K120" si="19">SUM(B112:B119)</f>
        <v>2416.5511998221496</v>
      </c>
      <c r="C120" s="56">
        <f t="shared" si="19"/>
        <v>69018.122507445223</v>
      </c>
      <c r="D120" s="56">
        <f t="shared" si="19"/>
        <v>171212.82792510846</v>
      </c>
      <c r="E120" s="56">
        <f t="shared" si="19"/>
        <v>257683.04030470073</v>
      </c>
      <c r="F120" s="56">
        <f t="shared" si="19"/>
        <v>357293.89317503618</v>
      </c>
      <c r="G120" s="56">
        <f t="shared" si="19"/>
        <v>438661.7961148037</v>
      </c>
      <c r="H120" s="56">
        <f t="shared" si="19"/>
        <v>600271.5378305323</v>
      </c>
      <c r="I120" s="56">
        <f t="shared" si="19"/>
        <v>787636.26983016951</v>
      </c>
      <c r="J120" s="56">
        <f t="shared" si="19"/>
        <v>2038038.4246922189</v>
      </c>
      <c r="K120" s="56">
        <f t="shared" si="19"/>
        <v>2497647.466105571</v>
      </c>
      <c r="L120" s="1"/>
      <c r="M120" s="4" t="str">
        <f t="shared" si="18"/>
        <v>$million</v>
      </c>
    </row>
    <row r="121" spans="1:13" ht="15.5" thickTop="1" x14ac:dyDescent="0.4">
      <c r="A121" s="65" t="s">
        <v>446</v>
      </c>
      <c r="B121" s="2" t="s">
        <v>448</v>
      </c>
      <c r="C121" s="58"/>
      <c r="D121" s="58"/>
      <c r="E121" s="58"/>
      <c r="F121" s="58"/>
      <c r="G121" s="58"/>
      <c r="H121" s="58"/>
      <c r="I121" s="58"/>
      <c r="J121" s="58"/>
      <c r="K121" s="58"/>
      <c r="L121" s="1"/>
      <c r="M121" s="1"/>
    </row>
    <row r="122" spans="1:13" x14ac:dyDescent="0.25">
      <c r="A122" t="str">
        <f t="array" ref="A122:A129">R_CODE</f>
        <v>EU</v>
      </c>
      <c r="B122" s="38">
        <f t="array" ref="B122:K129">act/POP</f>
        <v>1.8532981101919785</v>
      </c>
      <c r="C122" s="38">
        <v>44.81885413998328</v>
      </c>
      <c r="D122" s="38">
        <v>102.93098888803969</v>
      </c>
      <c r="E122" s="38">
        <v>134.9458108204617</v>
      </c>
      <c r="F122" s="38">
        <v>171.75808125156641</v>
      </c>
      <c r="G122" s="38">
        <v>197.18539878234532</v>
      </c>
      <c r="H122" s="38">
        <v>242.20181490470111</v>
      </c>
      <c r="I122" s="38">
        <v>294.6139419114221</v>
      </c>
      <c r="J122" s="38">
        <v>797.7363869375954</v>
      </c>
      <c r="K122" s="38">
        <v>977.63822375223219</v>
      </c>
      <c r="L122" s="1"/>
      <c r="M122" s="1" t="str">
        <f t="shared" ref="M122:M130" si="20">CURRENCY_NAME&amp;"/"&amp;POP_UNIT_NAME</f>
        <v>$million/million</v>
      </c>
    </row>
    <row r="123" spans="1:13" x14ac:dyDescent="0.25">
      <c r="A123" t="str">
        <v>US</v>
      </c>
      <c r="B123" s="38">
        <v>2.6863491936601078</v>
      </c>
      <c r="C123" s="38">
        <v>61.637938014239616</v>
      </c>
      <c r="D123" s="38">
        <v>134.44841968457575</v>
      </c>
      <c r="E123" s="38">
        <v>172.44457847303045</v>
      </c>
      <c r="F123" s="38">
        <v>214.87583042161026</v>
      </c>
      <c r="G123" s="38">
        <v>242.47166462738224</v>
      </c>
      <c r="H123" s="38">
        <v>292.25021417856999</v>
      </c>
      <c r="I123" s="38">
        <v>353.07594659580701</v>
      </c>
      <c r="J123" s="38">
        <v>854.73004146962137</v>
      </c>
      <c r="K123" s="38">
        <v>1047.4848248277287</v>
      </c>
      <c r="L123" s="1"/>
      <c r="M123" s="1" t="str">
        <f t="shared" si="20"/>
        <v>$million/million</v>
      </c>
    </row>
    <row r="124" spans="1:13" x14ac:dyDescent="0.25">
      <c r="A124" t="str">
        <v>OT</v>
      </c>
      <c r="B124" s="38">
        <v>1.5236789846639922</v>
      </c>
      <c r="C124" s="38">
        <v>39.98770611757805</v>
      </c>
      <c r="D124" s="38">
        <v>102.1152386491259</v>
      </c>
      <c r="E124" s="38">
        <v>151.84906522451638</v>
      </c>
      <c r="F124" s="38">
        <v>217.45207672867934</v>
      </c>
      <c r="G124" s="38">
        <v>278.8863384042694</v>
      </c>
      <c r="H124" s="38">
        <v>406.70342836157943</v>
      </c>
      <c r="I124" s="38">
        <v>564.35090358790501</v>
      </c>
      <c r="J124" s="38">
        <v>1494.0596413388821</v>
      </c>
      <c r="K124" s="38">
        <v>1830.9930922741078</v>
      </c>
      <c r="L124" s="1"/>
      <c r="M124" s="1" t="str">
        <f t="shared" si="20"/>
        <v>$million/million</v>
      </c>
    </row>
    <row r="125" spans="1:13" x14ac:dyDescent="0.25">
      <c r="A125" t="str">
        <v>EE</v>
      </c>
      <c r="B125" s="38">
        <v>0.10157859897759948</v>
      </c>
      <c r="C125" s="38">
        <v>2.6658470745052028</v>
      </c>
      <c r="D125" s="38">
        <v>6.8076825766083937</v>
      </c>
      <c r="E125" s="38">
        <v>10.123271014967758</v>
      </c>
      <c r="F125" s="38">
        <v>14.496805115245291</v>
      </c>
      <c r="G125" s="38">
        <v>18.592422560284625</v>
      </c>
      <c r="H125" s="38">
        <v>27.113561890771965</v>
      </c>
      <c r="I125" s="38">
        <v>37.623393572527</v>
      </c>
      <c r="J125" s="38">
        <v>99.603976089258794</v>
      </c>
      <c r="K125" s="38">
        <v>122.06620615160718</v>
      </c>
      <c r="L125" s="1"/>
      <c r="M125" s="1" t="str">
        <f t="shared" si="20"/>
        <v>$million/million</v>
      </c>
    </row>
    <row r="126" spans="1:13" x14ac:dyDescent="0.25">
      <c r="A126" t="str">
        <v>CA</v>
      </c>
      <c r="B126" s="38">
        <v>3.3338617090815023E-2</v>
      </c>
      <c r="C126" s="38">
        <v>2.447110904307999</v>
      </c>
      <c r="D126" s="38">
        <v>6.5020365103846469</v>
      </c>
      <c r="E126" s="38">
        <v>12.563447811020465</v>
      </c>
      <c r="F126" s="38">
        <v>18.639679068485748</v>
      </c>
      <c r="G126" s="38">
        <v>23.703314915813941</v>
      </c>
      <c r="H126" s="38">
        <v>34.566840007133571</v>
      </c>
      <c r="I126" s="38">
        <v>47.965731370380659</v>
      </c>
      <c r="J126" s="38">
        <v>126.98422728160929</v>
      </c>
      <c r="K126" s="38">
        <v>155.62112552082161</v>
      </c>
      <c r="L126" s="1"/>
      <c r="M126" s="1" t="str">
        <f t="shared" si="20"/>
        <v>$million/million</v>
      </c>
    </row>
    <row r="127" spans="1:13" x14ac:dyDescent="0.25">
      <c r="A127" t="str">
        <v>IA</v>
      </c>
      <c r="B127" s="38">
        <v>1.8058417590858137E-2</v>
      </c>
      <c r="C127" s="38">
        <v>1.3255184065001662</v>
      </c>
      <c r="D127" s="38">
        <v>3.5219364431250164</v>
      </c>
      <c r="E127" s="38">
        <v>6.8052008976360847</v>
      </c>
      <c r="F127" s="38">
        <v>10.096492828763111</v>
      </c>
      <c r="G127" s="38">
        <v>12.839295579399215</v>
      </c>
      <c r="H127" s="38">
        <v>18.723705003864019</v>
      </c>
      <c r="I127" s="38">
        <v>25.981437825622862</v>
      </c>
      <c r="J127" s="38">
        <v>68.783123110871685</v>
      </c>
      <c r="K127" s="38">
        <v>84.294776323778336</v>
      </c>
      <c r="L127" s="1"/>
      <c r="M127" s="1" t="str">
        <f t="shared" si="20"/>
        <v>$million/million</v>
      </c>
    </row>
    <row r="128" spans="1:13" x14ac:dyDescent="0.25">
      <c r="A128" t="str">
        <v>AF</v>
      </c>
      <c r="B128" s="38">
        <v>2.3701673088001297E-2</v>
      </c>
      <c r="C128" s="38">
        <v>1.7397429085314677</v>
      </c>
      <c r="D128" s="38">
        <v>4.6225415816015838</v>
      </c>
      <c r="E128" s="38">
        <v>8.9318261781473591</v>
      </c>
      <c r="F128" s="38">
        <v>13.251646837751577</v>
      </c>
      <c r="G128" s="38">
        <v>16.851575447961466</v>
      </c>
      <c r="H128" s="38">
        <v>24.57486281757151</v>
      </c>
      <c r="I128" s="38">
        <v>34.100637146129991</v>
      </c>
      <c r="J128" s="38">
        <v>90.277849083019049</v>
      </c>
      <c r="K128" s="38">
        <v>110.63689392495907</v>
      </c>
      <c r="L128" s="1"/>
      <c r="M128" s="1" t="str">
        <f t="shared" si="20"/>
        <v>$million/million</v>
      </c>
    </row>
    <row r="129" spans="1:14" x14ac:dyDescent="0.25">
      <c r="A129" t="str">
        <v>LA</v>
      </c>
      <c r="B129" s="38">
        <v>4.3340202218059516E-2</v>
      </c>
      <c r="C129" s="38">
        <v>3.1812441756003982</v>
      </c>
      <c r="D129" s="38">
        <v>8.4526474635000373</v>
      </c>
      <c r="E129" s="38">
        <v>16.332482154326598</v>
      </c>
      <c r="F129" s="38">
        <v>24.231582789031457</v>
      </c>
      <c r="G129" s="38">
        <v>30.814309390558112</v>
      </c>
      <c r="H129" s="38">
        <v>44.936892009273642</v>
      </c>
      <c r="I129" s="38">
        <v>62.355450781494859</v>
      </c>
      <c r="J129" s="38">
        <v>165.07949546609206</v>
      </c>
      <c r="K129" s="38">
        <v>202.30746317706809</v>
      </c>
      <c r="L129" s="1"/>
      <c r="M129" s="1" t="str">
        <f t="shared" si="20"/>
        <v>$million/million</v>
      </c>
    </row>
    <row r="130" spans="1:14" ht="13.5" thickBot="1" x14ac:dyDescent="0.35">
      <c r="A130" s="2" t="s">
        <v>447</v>
      </c>
      <c r="B130" s="50">
        <f t="array" ref="B130:K130">act_g/POP_G</f>
        <v>0.35325668757283135</v>
      </c>
      <c r="C130" s="50">
        <v>9.1073392328410065</v>
      </c>
      <c r="D130" s="50">
        <v>20.899280979281208</v>
      </c>
      <c r="E130" s="50">
        <v>29.700932869810291</v>
      </c>
      <c r="F130" s="50">
        <v>39.555015186376664</v>
      </c>
      <c r="G130" s="50">
        <v>47.26938012449039</v>
      </c>
      <c r="H130" s="50">
        <v>63.122090269814457</v>
      </c>
      <c r="I130" s="50">
        <v>83.321174071125142</v>
      </c>
      <c r="J130" s="50">
        <v>219.86464218918758</v>
      </c>
      <c r="K130" s="50">
        <v>269.44750393161172</v>
      </c>
      <c r="L130" s="1"/>
      <c r="M130" s="1" t="str">
        <f t="shared" si="20"/>
        <v>$million/million</v>
      </c>
      <c r="N130" s="92"/>
    </row>
    <row r="131" spans="1:14" ht="15.5" thickTop="1" x14ac:dyDescent="0.4">
      <c r="A131" s="65" t="s">
        <v>457</v>
      </c>
      <c r="B131" s="2" t="s">
        <v>458</v>
      </c>
      <c r="C131" s="58"/>
      <c r="D131" s="58"/>
      <c r="E131" s="58"/>
      <c r="F131" s="58"/>
      <c r="G131" s="58"/>
      <c r="H131" s="58"/>
      <c r="I131" s="58"/>
      <c r="J131" s="58"/>
      <c r="K131" s="58"/>
      <c r="L131" s="1"/>
      <c r="M131" s="1"/>
    </row>
    <row r="132" spans="1:14" x14ac:dyDescent="0.25">
      <c r="A132" t="str">
        <f t="array" ref="A132:A139">R_CODE</f>
        <v>EU</v>
      </c>
      <c r="B132" s="39">
        <f t="array" ref="B132:K139" xml:space="preserve"> (((CONS_PER_CAP_FOCUS_0)^EMUC)/(1-EMUC))*( (CONS_PER_CAP)^(1-EMUC) - (CONS_PER_CAP-act_per_cap) ^(1-EMUC))</f>
        <v>1.8532981101925543</v>
      </c>
      <c r="C132" s="39">
        <v>44.818854139983159</v>
      </c>
      <c r="D132" s="39">
        <v>102.93098888803797</v>
      </c>
      <c r="E132" s="39">
        <v>134.94581082046352</v>
      </c>
      <c r="F132" s="39">
        <v>171.75808125156618</v>
      </c>
      <c r="G132" s="39">
        <v>197.18539878234878</v>
      </c>
      <c r="H132" s="39">
        <v>242.20181490469986</v>
      </c>
      <c r="I132" s="39">
        <v>294.61394191141881</v>
      </c>
      <c r="J132" s="39">
        <v>797.73638693758403</v>
      </c>
      <c r="K132" s="39">
        <v>977.63822375220479</v>
      </c>
      <c r="L132" s="1"/>
      <c r="M132" s="1" t="str">
        <f t="shared" ref="M132:M139" si="21">CURRENCY_NAME&amp;"/"&amp;POP_UNIT_NAME</f>
        <v>$million/million</v>
      </c>
    </row>
    <row r="133" spans="1:14" x14ac:dyDescent="0.25">
      <c r="A133" t="str">
        <v>US</v>
      </c>
      <c r="B133" s="35">
        <v>2.6863491936601349</v>
      </c>
      <c r="C133" s="35">
        <v>61.637938014238898</v>
      </c>
      <c r="D133" s="35">
        <v>134.44841968457331</v>
      </c>
      <c r="E133" s="35">
        <v>172.44457847302692</v>
      </c>
      <c r="F133" s="35">
        <v>214.87583042160986</v>
      </c>
      <c r="G133" s="35">
        <v>242.47166462738096</v>
      </c>
      <c r="H133" s="35">
        <v>292.25021417856624</v>
      </c>
      <c r="I133" s="35">
        <v>353.07594659581082</v>
      </c>
      <c r="J133" s="35">
        <v>854.73004146962194</v>
      </c>
      <c r="K133" s="35">
        <v>1047.4848248277558</v>
      </c>
      <c r="L133" s="1"/>
      <c r="M133" s="1" t="str">
        <f t="shared" si="21"/>
        <v>$million/million</v>
      </c>
    </row>
    <row r="134" spans="1:14" x14ac:dyDescent="0.25">
      <c r="A134" t="str">
        <v>OT</v>
      </c>
      <c r="B134" s="35">
        <v>1.5236789846640022</v>
      </c>
      <c r="C134" s="35">
        <v>39.987706117579364</v>
      </c>
      <c r="D134" s="35">
        <v>102.1152386491267</v>
      </c>
      <c r="E134" s="35">
        <v>151.84906522451638</v>
      </c>
      <c r="F134" s="35">
        <v>217.45207672868128</v>
      </c>
      <c r="G134" s="35">
        <v>278.88633840426337</v>
      </c>
      <c r="H134" s="35">
        <v>406.70342836157943</v>
      </c>
      <c r="I134" s="35">
        <v>564.35090358791058</v>
      </c>
      <c r="J134" s="35">
        <v>1494.0596413388848</v>
      </c>
      <c r="K134" s="35">
        <v>1830.9930922740605</v>
      </c>
      <c r="L134" s="1"/>
      <c r="M134" s="1" t="str">
        <f t="shared" si="21"/>
        <v>$million/million</v>
      </c>
    </row>
    <row r="135" spans="1:14" x14ac:dyDescent="0.25">
      <c r="A135" t="str">
        <v>EE</v>
      </c>
      <c r="B135" s="35">
        <v>0.10157859897753951</v>
      </c>
      <c r="C135" s="35">
        <v>2.665847074505109</v>
      </c>
      <c r="D135" s="35">
        <v>6.8076825766083857</v>
      </c>
      <c r="E135" s="35">
        <v>10.123271014967941</v>
      </c>
      <c r="F135" s="35">
        <v>14.496805115245479</v>
      </c>
      <c r="G135" s="35">
        <v>18.592422560284831</v>
      </c>
      <c r="H135" s="35">
        <v>27.113561890771962</v>
      </c>
      <c r="I135" s="35">
        <v>37.623393572528585</v>
      </c>
      <c r="J135" s="35">
        <v>99.603976089259959</v>
      </c>
      <c r="K135" s="35">
        <v>122.066206151605</v>
      </c>
      <c r="L135" s="1"/>
      <c r="M135" s="1" t="str">
        <f t="shared" si="21"/>
        <v>$million/million</v>
      </c>
    </row>
    <row r="136" spans="1:14" x14ac:dyDescent="0.25">
      <c r="A136" t="str">
        <v>CA</v>
      </c>
      <c r="B136" s="35">
        <v>3.3338617090976186E-2</v>
      </c>
      <c r="C136" s="35">
        <v>2.4471109043079196</v>
      </c>
      <c r="D136" s="35">
        <v>6.5020365103846416</v>
      </c>
      <c r="E136" s="35">
        <v>12.563447811020524</v>
      </c>
      <c r="F136" s="35">
        <v>18.639679068485748</v>
      </c>
      <c r="G136" s="35">
        <v>23.70331491581419</v>
      </c>
      <c r="H136" s="35">
        <v>34.566840007133578</v>
      </c>
      <c r="I136" s="35">
        <v>47.965731370379217</v>
      </c>
      <c r="J136" s="35">
        <v>126.98422728160949</v>
      </c>
      <c r="K136" s="35">
        <v>155.62112552081817</v>
      </c>
      <c r="L136" s="1"/>
      <c r="M136" s="1" t="str">
        <f t="shared" si="21"/>
        <v>$million/million</v>
      </c>
    </row>
    <row r="137" spans="1:14" x14ac:dyDescent="0.25">
      <c r="A137" t="str">
        <v>IA</v>
      </c>
      <c r="B137" s="35">
        <v>1.8058417590964382E-2</v>
      </c>
      <c r="C137" s="35">
        <v>1.3255184065001231</v>
      </c>
      <c r="D137" s="35">
        <v>3.5219364431250142</v>
      </c>
      <c r="E137" s="35">
        <v>6.8052008976360412</v>
      </c>
      <c r="F137" s="35">
        <v>10.096492828763076</v>
      </c>
      <c r="G137" s="35">
        <v>12.839295579398822</v>
      </c>
      <c r="H137" s="35">
        <v>18.72370500386387</v>
      </c>
      <c r="I137" s="35">
        <v>25.981437825623289</v>
      </c>
      <c r="J137" s="35">
        <v>68.783123110872111</v>
      </c>
      <c r="K137" s="35">
        <v>84.294776323775295</v>
      </c>
      <c r="L137" s="1"/>
      <c r="M137" s="1" t="str">
        <f t="shared" si="21"/>
        <v>$million/million</v>
      </c>
    </row>
    <row r="138" spans="1:14" x14ac:dyDescent="0.25">
      <c r="A138" t="str">
        <v>AF</v>
      </c>
      <c r="B138" s="35">
        <v>2.3701673087998643E-2</v>
      </c>
      <c r="C138" s="35">
        <v>1.7397429085312979</v>
      </c>
      <c r="D138" s="35">
        <v>4.6225415816015811</v>
      </c>
      <c r="E138" s="35">
        <v>8.9318261781472756</v>
      </c>
      <c r="F138" s="35">
        <v>13.25164683775165</v>
      </c>
      <c r="G138" s="35">
        <v>16.851575447961295</v>
      </c>
      <c r="H138" s="35">
        <v>24.574862817571557</v>
      </c>
      <c r="I138" s="35">
        <v>34.100637146129884</v>
      </c>
      <c r="J138" s="35">
        <v>90.277849083016918</v>
      </c>
      <c r="K138" s="35">
        <v>110.63689392496599</v>
      </c>
      <c r="L138" s="1"/>
      <c r="M138" s="1" t="str">
        <f t="shared" si="21"/>
        <v>$million/million</v>
      </c>
    </row>
    <row r="139" spans="1:14" x14ac:dyDescent="0.25">
      <c r="A139" t="str">
        <v>LA</v>
      </c>
      <c r="B139" s="35">
        <v>4.3340202218132617E-2</v>
      </c>
      <c r="C139" s="35">
        <v>3.1812441756001135</v>
      </c>
      <c r="D139" s="35">
        <v>8.4526474635003979</v>
      </c>
      <c r="E139" s="35">
        <v>16.332482154326499</v>
      </c>
      <c r="F139" s="35">
        <v>24.231582789030654</v>
      </c>
      <c r="G139" s="35">
        <v>30.814309390558265</v>
      </c>
      <c r="H139" s="35">
        <v>44.936892009274743</v>
      </c>
      <c r="I139" s="35">
        <v>62.355450781495165</v>
      </c>
      <c r="J139" s="35">
        <v>165.07949546609598</v>
      </c>
      <c r="K139" s="35">
        <v>202.30746317707235</v>
      </c>
      <c r="L139" s="1"/>
      <c r="M139" s="1" t="str">
        <f t="shared" si="21"/>
        <v>$million/million</v>
      </c>
    </row>
    <row r="140" spans="1:14" ht="15" x14ac:dyDescent="0.4">
      <c r="A140" s="65" t="s">
        <v>449</v>
      </c>
      <c r="B140" s="2" t="s">
        <v>450</v>
      </c>
      <c r="C140" s="58"/>
      <c r="D140" s="58"/>
      <c r="E140" s="58"/>
      <c r="F140" s="58"/>
      <c r="G140" s="58"/>
      <c r="H140" s="58"/>
      <c r="I140" s="58"/>
      <c r="J140" s="58"/>
      <c r="K140" s="58"/>
      <c r="L140" s="1"/>
      <c r="M140" s="1"/>
    </row>
    <row r="141" spans="1:14" x14ac:dyDescent="0.25">
      <c r="A141" t="str">
        <f t="array" ref="A141:A148">R_CODE</f>
        <v>EU</v>
      </c>
      <c r="B141" s="39">
        <f t="array" ref="B141:K148">IF(EQUITY_COSTS=0,act_per_cap,(1-EQUITY_PROP)*act_per_cap+EQUITY_PROP*eact_per_cap)</f>
        <v>1.8532981101925543</v>
      </c>
      <c r="C141" s="39">
        <v>44.818854139983159</v>
      </c>
      <c r="D141" s="39">
        <v>102.93098888803797</v>
      </c>
      <c r="E141" s="39">
        <v>134.94581082046352</v>
      </c>
      <c r="F141" s="39">
        <v>171.75808125156618</v>
      </c>
      <c r="G141" s="39">
        <v>197.18539878234878</v>
      </c>
      <c r="H141" s="39">
        <v>242.20181490469986</v>
      </c>
      <c r="I141" s="39">
        <v>294.61394191141881</v>
      </c>
      <c r="J141" s="39">
        <v>797.73638693758403</v>
      </c>
      <c r="K141" s="39">
        <v>977.63822375220479</v>
      </c>
      <c r="L141" s="1"/>
      <c r="M141" s="1" t="str">
        <f t="shared" ref="M141:M148" si="22">CURRENCY_NAME&amp;"/"&amp;POP_UNIT_NAME</f>
        <v>$million/million</v>
      </c>
    </row>
    <row r="142" spans="1:14" x14ac:dyDescent="0.25">
      <c r="A142" t="str">
        <v>US</v>
      </c>
      <c r="B142" s="35">
        <v>2.6863491936601349</v>
      </c>
      <c r="C142" s="35">
        <v>61.637938014238898</v>
      </c>
      <c r="D142" s="35">
        <v>134.44841968457331</v>
      </c>
      <c r="E142" s="35">
        <v>172.44457847302692</v>
      </c>
      <c r="F142" s="35">
        <v>214.87583042160986</v>
      </c>
      <c r="G142" s="35">
        <v>242.47166462738096</v>
      </c>
      <c r="H142" s="35">
        <v>292.25021417856624</v>
      </c>
      <c r="I142" s="35">
        <v>353.07594659581082</v>
      </c>
      <c r="J142" s="35">
        <v>854.73004146962194</v>
      </c>
      <c r="K142" s="35">
        <v>1047.4848248277558</v>
      </c>
      <c r="L142" s="1"/>
      <c r="M142" s="1" t="str">
        <f t="shared" si="22"/>
        <v>$million/million</v>
      </c>
    </row>
    <row r="143" spans="1:14" x14ac:dyDescent="0.25">
      <c r="A143" t="str">
        <v>OT</v>
      </c>
      <c r="B143" s="35">
        <v>1.5236789846640022</v>
      </c>
      <c r="C143" s="35">
        <v>39.987706117579364</v>
      </c>
      <c r="D143" s="35">
        <v>102.1152386491267</v>
      </c>
      <c r="E143" s="35">
        <v>151.84906522451638</v>
      </c>
      <c r="F143" s="35">
        <v>217.45207672868128</v>
      </c>
      <c r="G143" s="35">
        <v>278.88633840426337</v>
      </c>
      <c r="H143" s="35">
        <v>406.70342836157943</v>
      </c>
      <c r="I143" s="35">
        <v>564.35090358791058</v>
      </c>
      <c r="J143" s="35">
        <v>1494.0596413388848</v>
      </c>
      <c r="K143" s="35">
        <v>1830.9930922740605</v>
      </c>
      <c r="L143" s="1"/>
      <c r="M143" s="1" t="str">
        <f t="shared" si="22"/>
        <v>$million/million</v>
      </c>
    </row>
    <row r="144" spans="1:14" x14ac:dyDescent="0.25">
      <c r="A144" t="str">
        <v>EE</v>
      </c>
      <c r="B144" s="35">
        <v>0.10157859897753951</v>
      </c>
      <c r="C144" s="35">
        <v>2.665847074505109</v>
      </c>
      <c r="D144" s="35">
        <v>6.8076825766083857</v>
      </c>
      <c r="E144" s="35">
        <v>10.123271014967941</v>
      </c>
      <c r="F144" s="35">
        <v>14.496805115245479</v>
      </c>
      <c r="G144" s="35">
        <v>18.592422560284831</v>
      </c>
      <c r="H144" s="35">
        <v>27.113561890771962</v>
      </c>
      <c r="I144" s="35">
        <v>37.623393572528585</v>
      </c>
      <c r="J144" s="35">
        <v>99.603976089259959</v>
      </c>
      <c r="K144" s="35">
        <v>122.066206151605</v>
      </c>
      <c r="L144" s="1"/>
      <c r="M144" s="1" t="str">
        <f t="shared" si="22"/>
        <v>$million/million</v>
      </c>
    </row>
    <row r="145" spans="1:13" x14ac:dyDescent="0.25">
      <c r="A145" t="str">
        <v>CA</v>
      </c>
      <c r="B145" s="35">
        <v>3.3338617090976186E-2</v>
      </c>
      <c r="C145" s="35">
        <v>2.4471109043079196</v>
      </c>
      <c r="D145" s="35">
        <v>6.5020365103846416</v>
      </c>
      <c r="E145" s="35">
        <v>12.563447811020524</v>
      </c>
      <c r="F145" s="35">
        <v>18.639679068485748</v>
      </c>
      <c r="G145" s="35">
        <v>23.70331491581419</v>
      </c>
      <c r="H145" s="35">
        <v>34.566840007133578</v>
      </c>
      <c r="I145" s="35">
        <v>47.965731370379217</v>
      </c>
      <c r="J145" s="35">
        <v>126.98422728160949</v>
      </c>
      <c r="K145" s="35">
        <v>155.62112552081817</v>
      </c>
      <c r="L145" s="1"/>
      <c r="M145" s="1" t="str">
        <f t="shared" si="22"/>
        <v>$million/million</v>
      </c>
    </row>
    <row r="146" spans="1:13" x14ac:dyDescent="0.25">
      <c r="A146" t="str">
        <v>IA</v>
      </c>
      <c r="B146" s="35">
        <v>1.8058417590964382E-2</v>
      </c>
      <c r="C146" s="35">
        <v>1.3255184065001231</v>
      </c>
      <c r="D146" s="35">
        <v>3.5219364431250142</v>
      </c>
      <c r="E146" s="35">
        <v>6.8052008976360412</v>
      </c>
      <c r="F146" s="35">
        <v>10.096492828763076</v>
      </c>
      <c r="G146" s="35">
        <v>12.839295579398822</v>
      </c>
      <c r="H146" s="35">
        <v>18.72370500386387</v>
      </c>
      <c r="I146" s="35">
        <v>25.981437825623289</v>
      </c>
      <c r="J146" s="35">
        <v>68.783123110872111</v>
      </c>
      <c r="K146" s="35">
        <v>84.294776323775295</v>
      </c>
      <c r="L146" s="1"/>
      <c r="M146" s="1" t="str">
        <f t="shared" si="22"/>
        <v>$million/million</v>
      </c>
    </row>
    <row r="147" spans="1:13" x14ac:dyDescent="0.25">
      <c r="A147" t="str">
        <v>AF</v>
      </c>
      <c r="B147" s="35">
        <v>2.3701673087998643E-2</v>
      </c>
      <c r="C147" s="35">
        <v>1.7397429085312979</v>
      </c>
      <c r="D147" s="35">
        <v>4.6225415816015811</v>
      </c>
      <c r="E147" s="35">
        <v>8.9318261781472756</v>
      </c>
      <c r="F147" s="35">
        <v>13.25164683775165</v>
      </c>
      <c r="G147" s="35">
        <v>16.851575447961295</v>
      </c>
      <c r="H147" s="35">
        <v>24.574862817571557</v>
      </c>
      <c r="I147" s="35">
        <v>34.100637146129884</v>
      </c>
      <c r="J147" s="35">
        <v>90.277849083016918</v>
      </c>
      <c r="K147" s="35">
        <v>110.63689392496599</v>
      </c>
      <c r="L147" s="1"/>
      <c r="M147" s="1" t="str">
        <f t="shared" si="22"/>
        <v>$million/million</v>
      </c>
    </row>
    <row r="148" spans="1:13" x14ac:dyDescent="0.25">
      <c r="A148" t="str">
        <v>LA</v>
      </c>
      <c r="B148" s="35">
        <v>4.3340202218132617E-2</v>
      </c>
      <c r="C148" s="35">
        <v>3.1812441756001135</v>
      </c>
      <c r="D148" s="35">
        <v>8.4526474635003979</v>
      </c>
      <c r="E148" s="35">
        <v>16.332482154326499</v>
      </c>
      <c r="F148" s="35">
        <v>24.231582789030654</v>
      </c>
      <c r="G148" s="35">
        <v>30.814309390558265</v>
      </c>
      <c r="H148" s="35">
        <v>44.936892009274743</v>
      </c>
      <c r="I148" s="35">
        <v>62.355450781495165</v>
      </c>
      <c r="J148" s="35">
        <v>165.07949546609598</v>
      </c>
      <c r="K148" s="35">
        <v>202.30746317707235</v>
      </c>
      <c r="L148" s="1"/>
      <c r="M148" s="1" t="str">
        <f t="shared" si="22"/>
        <v>$million/million</v>
      </c>
    </row>
    <row r="149" spans="1:13" ht="15" x14ac:dyDescent="0.4">
      <c r="A149" s="65" t="s">
        <v>445</v>
      </c>
      <c r="B149" s="2" t="s">
        <v>451</v>
      </c>
      <c r="C149" s="58"/>
      <c r="D149" s="58"/>
      <c r="E149" s="58"/>
      <c r="F149" s="58"/>
      <c r="G149" s="58"/>
      <c r="H149" s="58"/>
      <c r="I149" s="58"/>
      <c r="J149" s="58"/>
      <c r="K149" s="58"/>
      <c r="L149" s="1"/>
      <c r="M149" s="1"/>
    </row>
    <row r="150" spans="1:13" x14ac:dyDescent="0.25">
      <c r="A150" t="str">
        <f t="array" ref="A150:A157">R_CODE</f>
        <v>EU</v>
      </c>
      <c r="B150" s="39">
        <f t="array" ref="B150:K157">IF(EQUITY_COSTS=0,act_per_cap,wact_per_cap)*POP</f>
        <v>1029.9199559522988</v>
      </c>
      <c r="C150" s="39">
        <v>25099.719422866077</v>
      </c>
      <c r="D150" s="39">
        <v>57428.591767531259</v>
      </c>
      <c r="E150" s="39">
        <v>74184.494486345342</v>
      </c>
      <c r="F150" s="39">
        <v>92200.654624963747</v>
      </c>
      <c r="G150" s="39">
        <v>103093.80763636093</v>
      </c>
      <c r="H150" s="39">
        <v>120884.27479217896</v>
      </c>
      <c r="I150" s="39">
        <v>143728.30709159793</v>
      </c>
      <c r="J150" s="39">
        <v>371902.39173698693</v>
      </c>
      <c r="K150" s="39">
        <v>455772.10670144844</v>
      </c>
      <c r="L150" s="1"/>
      <c r="M150" s="4" t="str">
        <f t="shared" ref="M150:M158" si="23">CURRENCY_NAME</f>
        <v>$million</v>
      </c>
    </row>
    <row r="151" spans="1:13" x14ac:dyDescent="0.25">
      <c r="A151" t="str">
        <v>US</v>
      </c>
      <c r="B151" s="35">
        <v>849.69587625476072</v>
      </c>
      <c r="C151" s="35">
        <v>21159.491463223425</v>
      </c>
      <c r="D151" s="35">
        <v>49277.447013117788</v>
      </c>
      <c r="E151" s="35">
        <v>66378.462399915879</v>
      </c>
      <c r="F151" s="35">
        <v>86212.714075511278</v>
      </c>
      <c r="G151" s="35">
        <v>100217.46537566549</v>
      </c>
      <c r="H151" s="35">
        <v>126562.89626086818</v>
      </c>
      <c r="I151" s="35">
        <v>157686.64836546045</v>
      </c>
      <c r="J151" s="35">
        <v>408020.12393237033</v>
      </c>
      <c r="K151" s="35">
        <v>500034.94355789322</v>
      </c>
      <c r="L151" s="1"/>
      <c r="M151" s="4" t="str">
        <f t="shared" si="23"/>
        <v>$million</v>
      </c>
    </row>
    <row r="152" spans="1:13" x14ac:dyDescent="0.25">
      <c r="A152" t="str">
        <v>OT</v>
      </c>
      <c r="B152" s="35">
        <v>336.83213119517535</v>
      </c>
      <c r="C152" s="35">
        <v>9885.8264327126835</v>
      </c>
      <c r="D152" s="35">
        <v>27487.283806390453</v>
      </c>
      <c r="E152" s="35">
        <v>43537.164840928504</v>
      </c>
      <c r="F152" s="35">
        <v>65193.805835957282</v>
      </c>
      <c r="G152" s="35">
        <v>86185.156667098112</v>
      </c>
      <c r="H152" s="35">
        <v>129203.97594955974</v>
      </c>
      <c r="I152" s="35">
        <v>178053.82202541418</v>
      </c>
      <c r="J152" s="35">
        <v>460720.95058464661</v>
      </c>
      <c r="K152" s="35">
        <v>564620.61797644489</v>
      </c>
      <c r="L152" s="1"/>
      <c r="M152" s="4" t="str">
        <f t="shared" si="23"/>
        <v>$million</v>
      </c>
    </row>
    <row r="153" spans="1:13" x14ac:dyDescent="0.25">
      <c r="A153" t="str">
        <v>EE</v>
      </c>
      <c r="B153" s="35">
        <v>67.366426238994862</v>
      </c>
      <c r="C153" s="35">
        <v>1977.1652865424014</v>
      </c>
      <c r="D153" s="35">
        <v>5497.4567612780402</v>
      </c>
      <c r="E153" s="35">
        <v>8707.4329681858544</v>
      </c>
      <c r="F153" s="35">
        <v>13038.761167191507</v>
      </c>
      <c r="G153" s="35">
        <v>17237.031333420178</v>
      </c>
      <c r="H153" s="35">
        <v>25840.79518991194</v>
      </c>
      <c r="I153" s="35">
        <v>35610.764405083966</v>
      </c>
      <c r="J153" s="35">
        <v>92144.190116930185</v>
      </c>
      <c r="K153" s="35">
        <v>112924.12359528983</v>
      </c>
      <c r="L153" s="1"/>
      <c r="M153" s="4" t="str">
        <f t="shared" si="23"/>
        <v>$million</v>
      </c>
    </row>
    <row r="154" spans="1:13" x14ac:dyDescent="0.25">
      <c r="A154" t="str">
        <v>CA</v>
      </c>
      <c r="B154" s="35">
        <v>47.905014200969056</v>
      </c>
      <c r="C154" s="35">
        <v>3932.3620699309108</v>
      </c>
      <c r="D154" s="35">
        <v>11376.378433728451</v>
      </c>
      <c r="E154" s="35">
        <v>23413.709092087309</v>
      </c>
      <c r="F154" s="35">
        <v>36324.07487690085</v>
      </c>
      <c r="G154" s="35">
        <v>47613.233721116419</v>
      </c>
      <c r="H154" s="35">
        <v>71379.102185146956</v>
      </c>
      <c r="I154" s="35">
        <v>98366.337904099171</v>
      </c>
      <c r="J154" s="35">
        <v>254526.59307835778</v>
      </c>
      <c r="K154" s="35">
        <v>311926.25838476716</v>
      </c>
      <c r="L154" s="1"/>
      <c r="M154" s="4" t="str">
        <f t="shared" si="23"/>
        <v>$million</v>
      </c>
    </row>
    <row r="155" spans="1:13" x14ac:dyDescent="0.25">
      <c r="A155" t="str">
        <v>IA</v>
      </c>
      <c r="B155" s="35">
        <v>39.920845167516106</v>
      </c>
      <c r="C155" s="35">
        <v>3276.9683916090926</v>
      </c>
      <c r="D155" s="35">
        <v>9480.3153614403745</v>
      </c>
      <c r="E155" s="35">
        <v>19511.424243405876</v>
      </c>
      <c r="F155" s="35">
        <v>30270.062397417267</v>
      </c>
      <c r="G155" s="35">
        <v>39677.694767595378</v>
      </c>
      <c r="H155" s="35">
        <v>59482.585154288645</v>
      </c>
      <c r="I155" s="35">
        <v>81971.948253419803</v>
      </c>
      <c r="J155" s="35">
        <v>212105.49423196577</v>
      </c>
      <c r="K155" s="35">
        <v>259938.54865396893</v>
      </c>
      <c r="L155" s="1"/>
      <c r="M155" s="4" t="str">
        <f t="shared" si="23"/>
        <v>$million</v>
      </c>
    </row>
    <row r="156" spans="1:13" x14ac:dyDescent="0.25">
      <c r="A156" t="str">
        <v>AF</v>
      </c>
      <c r="B156" s="35">
        <v>20.958443712820291</v>
      </c>
      <c r="C156" s="35">
        <v>1720.4084055946612</v>
      </c>
      <c r="D156" s="35">
        <v>4977.1655647561975</v>
      </c>
      <c r="E156" s="35">
        <v>10243.497727788053</v>
      </c>
      <c r="F156" s="35">
        <v>15891.782758644205</v>
      </c>
      <c r="G156" s="35">
        <v>20830.789752988003</v>
      </c>
      <c r="H156" s="35">
        <v>31228.357206001841</v>
      </c>
      <c r="I156" s="35">
        <v>43035.272833044546</v>
      </c>
      <c r="J156" s="35">
        <v>111355.38447177869</v>
      </c>
      <c r="K156" s="35">
        <v>136467.7380433472</v>
      </c>
      <c r="L156" s="1"/>
      <c r="M156" s="4" t="str">
        <f t="shared" si="23"/>
        <v>$million</v>
      </c>
    </row>
    <row r="157" spans="1:13" x14ac:dyDescent="0.25">
      <c r="A157" t="str">
        <v>LA</v>
      </c>
      <c r="B157" s="35">
        <v>23.952507100409132</v>
      </c>
      <c r="C157" s="35">
        <v>1966.1810349653431</v>
      </c>
      <c r="D157" s="35">
        <v>5688.1892168644699</v>
      </c>
      <c r="E157" s="35">
        <v>11706.854546043525</v>
      </c>
      <c r="F157" s="35">
        <v>18162.037438449814</v>
      </c>
      <c r="G157" s="35">
        <v>23806.616860558071</v>
      </c>
      <c r="H157" s="35">
        <v>35689.551092574344</v>
      </c>
      <c r="I157" s="35">
        <v>49183.16895205131</v>
      </c>
      <c r="J157" s="35">
        <v>127263.2965391817</v>
      </c>
      <c r="K157" s="35">
        <v>155963.12919239033</v>
      </c>
      <c r="L157" s="1"/>
      <c r="M157" s="4" t="str">
        <f t="shared" si="23"/>
        <v>$million</v>
      </c>
    </row>
    <row r="158" spans="1:13" ht="13.5" thickBot="1" x14ac:dyDescent="0.35">
      <c r="A158" s="2" t="s">
        <v>257</v>
      </c>
      <c r="B158" s="56">
        <f t="shared" ref="B158:K158" si="24">SUM(B150:B157)</f>
        <v>2416.5511998229445</v>
      </c>
      <c r="C158" s="56">
        <f t="shared" si="24"/>
        <v>69018.122507444597</v>
      </c>
      <c r="D158" s="56">
        <f t="shared" si="24"/>
        <v>171212.82792510703</v>
      </c>
      <c r="E158" s="56">
        <f t="shared" si="24"/>
        <v>257683.04030470038</v>
      </c>
      <c r="F158" s="56">
        <f t="shared" si="24"/>
        <v>357293.89317503595</v>
      </c>
      <c r="G158" s="56">
        <f t="shared" si="24"/>
        <v>438661.79611480259</v>
      </c>
      <c r="H158" s="56">
        <f t="shared" si="24"/>
        <v>600271.53783053067</v>
      </c>
      <c r="I158" s="56">
        <f t="shared" si="24"/>
        <v>787636.26983017137</v>
      </c>
      <c r="J158" s="56">
        <f t="shared" si="24"/>
        <v>2038038.4246922182</v>
      </c>
      <c r="K158" s="56">
        <f t="shared" si="24"/>
        <v>2497647.4661055505</v>
      </c>
      <c r="L158" s="1"/>
      <c r="M158" s="4" t="str">
        <f t="shared" si="23"/>
        <v>$million</v>
      </c>
    </row>
    <row r="159" spans="1:13" s="2" customFormat="1" ht="15.5" thickTop="1" x14ac:dyDescent="0.4">
      <c r="A159" s="2" t="s">
        <v>127</v>
      </c>
      <c r="B159" s="2" t="s">
        <v>452</v>
      </c>
    </row>
    <row r="160" spans="1:13" x14ac:dyDescent="0.25">
      <c r="A160" t="str">
        <f t="array" ref="A160:A167">R_CODE</f>
        <v>EU</v>
      </c>
      <c r="B160" s="37">
        <f t="array" ref="B160:K167">IF(EQUITY_COSTS=0,act*DFC,wact*DF)</f>
        <v>766.35717205480876</v>
      </c>
      <c r="C160" s="37">
        <v>13897.106081320775</v>
      </c>
      <c r="D160" s="37">
        <v>23659.819425867092</v>
      </c>
      <c r="E160" s="37">
        <v>22741.76426413592</v>
      </c>
      <c r="F160" s="37">
        <v>21031.622081204154</v>
      </c>
      <c r="G160" s="37">
        <v>17498.430531677699</v>
      </c>
      <c r="H160" s="37">
        <v>11360.353172613906</v>
      </c>
      <c r="I160" s="37">
        <v>7478.5919848388003</v>
      </c>
      <c r="J160" s="37">
        <v>1006.8946430961465</v>
      </c>
      <c r="K160" s="37">
        <v>64.206697334240303</v>
      </c>
      <c r="L160" s="1"/>
      <c r="M160" s="4" t="str">
        <f t="shared" ref="M160:M168" si="25">CURRENCY_NAME</f>
        <v>$million</v>
      </c>
    </row>
    <row r="161" spans="1:16" x14ac:dyDescent="0.25">
      <c r="A161" t="str">
        <v>US</v>
      </c>
      <c r="B161" s="38">
        <v>632.25353103400823</v>
      </c>
      <c r="C161" s="38">
        <v>11715.497394099546</v>
      </c>
      <c r="D161" s="38">
        <v>20301.655712151201</v>
      </c>
      <c r="E161" s="38">
        <v>20348.771728741136</v>
      </c>
      <c r="F161" s="38">
        <v>19665.730448513896</v>
      </c>
      <c r="G161" s="38">
        <v>17010.220071825053</v>
      </c>
      <c r="H161" s="38">
        <v>11894.013531074945</v>
      </c>
      <c r="I161" s="38">
        <v>8204.8841209162529</v>
      </c>
      <c r="J161" s="38">
        <v>1104.6803843990197</v>
      </c>
      <c r="K161" s="38">
        <v>70.442205228228701</v>
      </c>
      <c r="L161" s="1"/>
      <c r="M161" s="4" t="str">
        <f t="shared" si="25"/>
        <v>$million</v>
      </c>
    </row>
    <row r="162" spans="1:16" x14ac:dyDescent="0.25">
      <c r="A162" t="str">
        <v>OT</v>
      </c>
      <c r="B162" s="38">
        <v>250.63473916402538</v>
      </c>
      <c r="C162" s="38">
        <v>5473.5424058874005</v>
      </c>
      <c r="D162" s="38">
        <v>11324.396983288865</v>
      </c>
      <c r="E162" s="38">
        <v>13346.615709883501</v>
      </c>
      <c r="F162" s="38">
        <v>14871.168669620436</v>
      </c>
      <c r="G162" s="38">
        <v>14628.472954655626</v>
      </c>
      <c r="H162" s="38">
        <v>12142.21453217401</v>
      </c>
      <c r="I162" s="38">
        <v>9264.6460061660255</v>
      </c>
      <c r="J162" s="38">
        <v>1247.3634679766137</v>
      </c>
      <c r="K162" s="38">
        <v>79.540684026177814</v>
      </c>
      <c r="L162" s="1"/>
      <c r="M162" s="4" t="str">
        <f t="shared" si="25"/>
        <v>$million</v>
      </c>
    </row>
    <row r="163" spans="1:16" x14ac:dyDescent="0.25">
      <c r="A163" t="str">
        <v>EE</v>
      </c>
      <c r="B163" s="38">
        <v>50.126947832775159</v>
      </c>
      <c r="C163" s="38">
        <v>1094.7084811774052</v>
      </c>
      <c r="D163" s="38">
        <v>2264.8793966577523</v>
      </c>
      <c r="E163" s="38">
        <v>2669.3231419767471</v>
      </c>
      <c r="F163" s="38">
        <v>2974.2337339240989</v>
      </c>
      <c r="G163" s="38">
        <v>2925.6945909312194</v>
      </c>
      <c r="H163" s="38">
        <v>2428.4429064348014</v>
      </c>
      <c r="I163" s="38">
        <v>1852.9292012332637</v>
      </c>
      <c r="J163" s="38">
        <v>249.47269359532507</v>
      </c>
      <c r="K163" s="38">
        <v>15.908136805235683</v>
      </c>
      <c r="L163" s="1"/>
      <c r="M163" s="4" t="str">
        <f t="shared" si="25"/>
        <v>$million</v>
      </c>
    </row>
    <row r="164" spans="1:16" x14ac:dyDescent="0.25">
      <c r="A164" t="str">
        <v>CA</v>
      </c>
      <c r="B164" s="38">
        <v>35.645829559982282</v>
      </c>
      <c r="C164" s="38">
        <v>2177.2535348027345</v>
      </c>
      <c r="D164" s="38">
        <v>4686.9172859384325</v>
      </c>
      <c r="E164" s="38">
        <v>7177.6326900672429</v>
      </c>
      <c r="F164" s="38">
        <v>8285.7786462342192</v>
      </c>
      <c r="G164" s="38">
        <v>8081.5412851589881</v>
      </c>
      <c r="H164" s="38">
        <v>6708.0007830748054</v>
      </c>
      <c r="I164" s="38">
        <v>5118.2799068155537</v>
      </c>
      <c r="J164" s="38">
        <v>689.10947815940904</v>
      </c>
      <c r="K164" s="38">
        <v>43.942476005517982</v>
      </c>
      <c r="L164" s="1"/>
      <c r="M164" s="4" t="str">
        <f t="shared" si="25"/>
        <v>$million</v>
      </c>
    </row>
    <row r="165" spans="1:16" x14ac:dyDescent="0.25">
      <c r="A165" t="str">
        <v>IA</v>
      </c>
      <c r="B165" s="38">
        <v>29.704857966683072</v>
      </c>
      <c r="C165" s="38">
        <v>1814.3779456689454</v>
      </c>
      <c r="D165" s="38">
        <v>3905.7644049486935</v>
      </c>
      <c r="E165" s="38">
        <v>5981.36057505597</v>
      </c>
      <c r="F165" s="38">
        <v>6904.8155385284917</v>
      </c>
      <c r="G165" s="38">
        <v>6734.6177376322121</v>
      </c>
      <c r="H165" s="38">
        <v>5590.0006525622921</v>
      </c>
      <c r="I165" s="38">
        <v>4265.2332556798274</v>
      </c>
      <c r="J165" s="38">
        <v>574.25789846617681</v>
      </c>
      <c r="K165" s="38">
        <v>36.618730004597793</v>
      </c>
      <c r="L165" s="1"/>
      <c r="M165" s="4" t="str">
        <f t="shared" si="25"/>
        <v>$million</v>
      </c>
    </row>
    <row r="166" spans="1:16" x14ac:dyDescent="0.25">
      <c r="A166" t="str">
        <v>AF</v>
      </c>
      <c r="B166" s="38">
        <v>15.595050432415105</v>
      </c>
      <c r="C166" s="38">
        <v>952.54842147613408</v>
      </c>
      <c r="D166" s="38">
        <v>2050.5263125980646</v>
      </c>
      <c r="E166" s="38">
        <v>3140.2143019043747</v>
      </c>
      <c r="F166" s="38">
        <v>3625.0281577274905</v>
      </c>
      <c r="G166" s="38">
        <v>3535.6743122569842</v>
      </c>
      <c r="H166" s="38">
        <v>2934.7503425952318</v>
      </c>
      <c r="I166" s="38">
        <v>2239.2474592318649</v>
      </c>
      <c r="J166" s="38">
        <v>301.48539669473377</v>
      </c>
      <c r="K166" s="38">
        <v>19.224833252415745</v>
      </c>
      <c r="L166" s="1"/>
      <c r="M166" s="4" t="str">
        <f t="shared" si="25"/>
        <v>$million</v>
      </c>
    </row>
    <row r="167" spans="1:16" x14ac:dyDescent="0.25">
      <c r="A167" t="str">
        <v>LA</v>
      </c>
      <c r="B167" s="38">
        <v>17.822914779935036</v>
      </c>
      <c r="C167" s="38">
        <v>1088.626767401305</v>
      </c>
      <c r="D167" s="38">
        <v>2343.4586429693172</v>
      </c>
      <c r="E167" s="38">
        <v>3588.8163450335819</v>
      </c>
      <c r="F167" s="38">
        <v>4142.8893231169704</v>
      </c>
      <c r="G167" s="38">
        <v>4040.7706425794704</v>
      </c>
      <c r="H167" s="38">
        <v>3354.0003915374841</v>
      </c>
      <c r="I167" s="38">
        <v>2559.1399534078664</v>
      </c>
      <c r="J167" s="38">
        <v>344.55473907971214</v>
      </c>
      <c r="K167" s="38">
        <v>21.971238002759943</v>
      </c>
      <c r="L167" s="1"/>
      <c r="M167" s="4" t="str">
        <f t="shared" si="25"/>
        <v>$million</v>
      </c>
      <c r="P167" s="12"/>
    </row>
    <row r="168" spans="1:16" ht="13" x14ac:dyDescent="0.3">
      <c r="A168" s="2" t="s">
        <v>257</v>
      </c>
      <c r="B168" s="54">
        <f>SUM(B160:B167)</f>
        <v>1798.1410428246329</v>
      </c>
      <c r="C168" s="54">
        <f t="shared" ref="C168:K168" si="26">SUM(C160:C167)</f>
        <v>38213.661031834243</v>
      </c>
      <c r="D168" s="54">
        <f t="shared" si="26"/>
        <v>70537.418164419418</v>
      </c>
      <c r="E168" s="54">
        <f t="shared" si="26"/>
        <v>78994.498756798479</v>
      </c>
      <c r="F168" s="54">
        <f t="shared" si="26"/>
        <v>81501.266598869741</v>
      </c>
      <c r="G168" s="54">
        <f t="shared" si="26"/>
        <v>74455.422126717269</v>
      </c>
      <c r="H168" s="54">
        <f t="shared" si="26"/>
        <v>56411.776312067479</v>
      </c>
      <c r="I168" s="54">
        <f t="shared" si="26"/>
        <v>40982.951888289448</v>
      </c>
      <c r="J168" s="54">
        <f t="shared" si="26"/>
        <v>5517.8187014671366</v>
      </c>
      <c r="K168" s="54">
        <f t="shared" si="26"/>
        <v>351.85500065917398</v>
      </c>
      <c r="L168" s="58"/>
      <c r="M168" s="4" t="str">
        <f t="shared" si="25"/>
        <v>$million</v>
      </c>
    </row>
    <row r="169" spans="1:16" s="2" customFormat="1" ht="15" x14ac:dyDescent="0.4">
      <c r="A169" s="2" t="s">
        <v>128</v>
      </c>
      <c r="B169" s="2" t="s">
        <v>453</v>
      </c>
      <c r="L169" s="2" t="s">
        <v>145</v>
      </c>
    </row>
    <row r="170" spans="1:16" s="4" customFormat="1" x14ac:dyDescent="0.25">
      <c r="A170" t="str">
        <f t="array" ref="A170:A177">R_CODE</f>
        <v>EU</v>
      </c>
      <c r="B170" s="37">
        <f t="array" ref="B170:K177">wacdt*YAGG</f>
        <v>11495.357580822132</v>
      </c>
      <c r="C170" s="37">
        <v>138971.06081320776</v>
      </c>
      <c r="D170" s="37">
        <v>236598.1942586709</v>
      </c>
      <c r="E170" s="37">
        <v>227417.64264135918</v>
      </c>
      <c r="F170" s="37">
        <v>210316.22081204155</v>
      </c>
      <c r="G170" s="37">
        <v>262476.45797516551</v>
      </c>
      <c r="H170" s="37">
        <v>227207.06345227812</v>
      </c>
      <c r="I170" s="37">
        <v>448715.51909032802</v>
      </c>
      <c r="J170" s="37">
        <v>100689.46430961465</v>
      </c>
      <c r="K170" s="37">
        <v>3210.3348667120154</v>
      </c>
      <c r="L170" s="55">
        <f>SUM(B170:K170)</f>
        <v>1867097.3158002</v>
      </c>
      <c r="M170" s="4" t="str">
        <f t="shared" ref="M170:M179" si="27">CURRENCY_NAME</f>
        <v>$million</v>
      </c>
    </row>
    <row r="171" spans="1:16" s="4" customFormat="1" x14ac:dyDescent="0.25">
      <c r="A171" t="str">
        <v>US</v>
      </c>
      <c r="B171" s="38">
        <v>9483.8029655101236</v>
      </c>
      <c r="C171" s="38">
        <v>117154.97394099546</v>
      </c>
      <c r="D171" s="38">
        <v>203016.55712151201</v>
      </c>
      <c r="E171" s="38">
        <v>203487.71728741136</v>
      </c>
      <c r="F171" s="38">
        <v>196657.30448513897</v>
      </c>
      <c r="G171" s="38">
        <v>255153.3010773758</v>
      </c>
      <c r="H171" s="38">
        <v>237880.2706214989</v>
      </c>
      <c r="I171" s="38">
        <v>492293.04725497519</v>
      </c>
      <c r="J171" s="38">
        <v>110468.03843990197</v>
      </c>
      <c r="K171" s="38">
        <v>3522.1102614114352</v>
      </c>
      <c r="L171" s="54">
        <f t="shared" ref="L171:L178" si="28">SUM(B171:K171)</f>
        <v>1829117.1234557312</v>
      </c>
      <c r="M171" s="4" t="str">
        <f t="shared" si="27"/>
        <v>$million</v>
      </c>
    </row>
    <row r="172" spans="1:16" s="4" customFormat="1" x14ac:dyDescent="0.25">
      <c r="A172" t="str">
        <v>OT</v>
      </c>
      <c r="B172" s="38">
        <v>3759.5210874603808</v>
      </c>
      <c r="C172" s="38">
        <v>54735.424058874007</v>
      </c>
      <c r="D172" s="38">
        <v>113243.96983288866</v>
      </c>
      <c r="E172" s="38">
        <v>133466.15709883501</v>
      </c>
      <c r="F172" s="38">
        <v>148711.68669620436</v>
      </c>
      <c r="G172" s="38">
        <v>219427.0943198344</v>
      </c>
      <c r="H172" s="38">
        <v>242844.2906434802</v>
      </c>
      <c r="I172" s="38">
        <v>555878.7603699615</v>
      </c>
      <c r="J172" s="38">
        <v>124736.34679766138</v>
      </c>
      <c r="K172" s="38">
        <v>3977.0342013088907</v>
      </c>
      <c r="L172" s="54">
        <f t="shared" si="28"/>
        <v>1600780.2851065088</v>
      </c>
      <c r="M172" s="4" t="str">
        <f t="shared" si="27"/>
        <v>$million</v>
      </c>
    </row>
    <row r="173" spans="1:16" s="4" customFormat="1" x14ac:dyDescent="0.25">
      <c r="A173" t="str">
        <v>EE</v>
      </c>
      <c r="B173" s="38">
        <v>751.90421749162738</v>
      </c>
      <c r="C173" s="38">
        <v>10947.084811774053</v>
      </c>
      <c r="D173" s="38">
        <v>22648.793966577523</v>
      </c>
      <c r="E173" s="38">
        <v>26693.231419767471</v>
      </c>
      <c r="F173" s="38">
        <v>29742.337339240989</v>
      </c>
      <c r="G173" s="38">
        <v>43885.418863968291</v>
      </c>
      <c r="H173" s="38">
        <v>48568.858128696025</v>
      </c>
      <c r="I173" s="38">
        <v>111175.75207399583</v>
      </c>
      <c r="J173" s="38">
        <v>24947.269359532507</v>
      </c>
      <c r="K173" s="38">
        <v>795.40684026178417</v>
      </c>
      <c r="L173" s="54">
        <f t="shared" si="28"/>
        <v>320156.05702130607</v>
      </c>
      <c r="M173" s="4" t="str">
        <f t="shared" si="27"/>
        <v>$million</v>
      </c>
    </row>
    <row r="174" spans="1:16" s="4" customFormat="1" x14ac:dyDescent="0.25">
      <c r="A174" t="str">
        <v>CA</v>
      </c>
      <c r="B174" s="38">
        <v>534.68744339973421</v>
      </c>
      <c r="C174" s="38">
        <v>21772.535348027344</v>
      </c>
      <c r="D174" s="38">
        <v>46869.172859384329</v>
      </c>
      <c r="E174" s="38">
        <v>71776.326900672429</v>
      </c>
      <c r="F174" s="38">
        <v>82857.786462342192</v>
      </c>
      <c r="G174" s="38">
        <v>121223.11927738482</v>
      </c>
      <c r="H174" s="38">
        <v>134160.01566149612</v>
      </c>
      <c r="I174" s="38">
        <v>307096.7944089332</v>
      </c>
      <c r="J174" s="38">
        <v>68910.947815940905</v>
      </c>
      <c r="K174" s="38">
        <v>2197.1238002758992</v>
      </c>
      <c r="L174" s="54">
        <f t="shared" si="28"/>
        <v>857398.50997785688</v>
      </c>
      <c r="M174" s="4" t="str">
        <f t="shared" si="27"/>
        <v>$million</v>
      </c>
    </row>
    <row r="175" spans="1:16" s="4" customFormat="1" x14ac:dyDescent="0.25">
      <c r="A175" t="str">
        <v>IA</v>
      </c>
      <c r="B175" s="38">
        <v>445.5728695002461</v>
      </c>
      <c r="C175" s="38">
        <v>18143.779456689452</v>
      </c>
      <c r="D175" s="38">
        <v>39057.644049486931</v>
      </c>
      <c r="E175" s="38">
        <v>59813.605750559698</v>
      </c>
      <c r="F175" s="38">
        <v>69048.155385284917</v>
      </c>
      <c r="G175" s="38">
        <v>101019.26606448318</v>
      </c>
      <c r="H175" s="38">
        <v>111800.01305124584</v>
      </c>
      <c r="I175" s="38">
        <v>255913.99534078964</v>
      </c>
      <c r="J175" s="38">
        <v>57425.789846617685</v>
      </c>
      <c r="K175" s="38">
        <v>1830.9365002298896</v>
      </c>
      <c r="L175" s="54">
        <f t="shared" si="28"/>
        <v>714498.75831488753</v>
      </c>
      <c r="M175" s="4" t="str">
        <f t="shared" si="27"/>
        <v>$million</v>
      </c>
    </row>
    <row r="176" spans="1:16" s="4" customFormat="1" x14ac:dyDescent="0.25">
      <c r="A176" t="str">
        <v>AF</v>
      </c>
      <c r="B176" s="38">
        <v>233.92575648622659</v>
      </c>
      <c r="C176" s="38">
        <v>9525.4842147613417</v>
      </c>
      <c r="D176" s="38">
        <v>20505.263125980644</v>
      </c>
      <c r="E176" s="38">
        <v>31402.143019043746</v>
      </c>
      <c r="F176" s="38">
        <v>36250.281577274902</v>
      </c>
      <c r="G176" s="38">
        <v>53035.114683854765</v>
      </c>
      <c r="H176" s="38">
        <v>58695.006851904633</v>
      </c>
      <c r="I176" s="38">
        <v>134354.84755391191</v>
      </c>
      <c r="J176" s="38">
        <v>30148.539669473375</v>
      </c>
      <c r="K176" s="38">
        <v>961.24166262078722</v>
      </c>
      <c r="L176" s="54">
        <f t="shared" si="28"/>
        <v>375111.84811531234</v>
      </c>
      <c r="M176" s="4" t="str">
        <f t="shared" si="27"/>
        <v>$million</v>
      </c>
    </row>
    <row r="177" spans="1:13" s="4" customFormat="1" x14ac:dyDescent="0.25">
      <c r="A177" t="str">
        <v>LA</v>
      </c>
      <c r="B177" s="38">
        <v>267.34372169902554</v>
      </c>
      <c r="C177" s="38">
        <v>10886.26767401305</v>
      </c>
      <c r="D177" s="38">
        <v>23434.586429693172</v>
      </c>
      <c r="E177" s="38">
        <v>35888.163450335822</v>
      </c>
      <c r="F177" s="38">
        <v>41428.893231169706</v>
      </c>
      <c r="G177" s="38">
        <v>60611.559638692059</v>
      </c>
      <c r="H177" s="38">
        <v>67080.007830749688</v>
      </c>
      <c r="I177" s="38">
        <v>153548.39720447198</v>
      </c>
      <c r="J177" s="38">
        <v>34455.473907971216</v>
      </c>
      <c r="K177" s="38">
        <v>1098.5619001379971</v>
      </c>
      <c r="L177" s="54">
        <f t="shared" si="28"/>
        <v>428699.25498893374</v>
      </c>
      <c r="M177" s="4" t="str">
        <f t="shared" si="27"/>
        <v>$million</v>
      </c>
    </row>
    <row r="178" spans="1:13" s="2" customFormat="1" ht="13" x14ac:dyDescent="0.3">
      <c r="A178" s="2" t="s">
        <v>257</v>
      </c>
      <c r="B178" s="54">
        <f>SUM(B170:B177)</f>
        <v>26972.115642369496</v>
      </c>
      <c r="C178" s="54">
        <f t="shared" ref="C178:K178" si="29">SUM(C170:C177)</f>
        <v>382136.61031834246</v>
      </c>
      <c r="D178" s="54">
        <f t="shared" si="29"/>
        <v>705374.18164419418</v>
      </c>
      <c r="E178" s="54">
        <f t="shared" si="29"/>
        <v>789944.98756798473</v>
      </c>
      <c r="F178" s="54">
        <f t="shared" si="29"/>
        <v>815012.66598869755</v>
      </c>
      <c r="G178" s="54">
        <f t="shared" si="29"/>
        <v>1116831.3319007589</v>
      </c>
      <c r="H178" s="54">
        <f t="shared" si="29"/>
        <v>1128235.5262413495</v>
      </c>
      <c r="I178" s="54">
        <f t="shared" si="29"/>
        <v>2458977.1132973675</v>
      </c>
      <c r="J178" s="54">
        <f t="shared" si="29"/>
        <v>551781.87014671369</v>
      </c>
      <c r="K178" s="54">
        <f t="shared" si="29"/>
        <v>17592.750032958698</v>
      </c>
      <c r="L178" s="54">
        <f t="shared" si="28"/>
        <v>7992859.1527807368</v>
      </c>
      <c r="M178" s="4" t="str">
        <f t="shared" si="27"/>
        <v>$million</v>
      </c>
    </row>
    <row r="179" spans="1:13" ht="13.5" thickBot="1" x14ac:dyDescent="0.35">
      <c r="A179" s="2" t="s">
        <v>140</v>
      </c>
      <c r="L179" s="56">
        <f>SUM(L170:L177)</f>
        <v>7992859.1527807368</v>
      </c>
      <c r="M179" s="4" t="str">
        <f t="shared" si="27"/>
        <v>$million</v>
      </c>
    </row>
    <row r="180" spans="1:13" ht="13" thickTop="1" x14ac:dyDescent="0.25"/>
  </sheetData>
  <phoneticPr fontId="0" type="noConversion"/>
  <pageMargins left="0.75" right="0.75" top="1" bottom="1" header="0.5" footer="0.5"/>
  <pageSetup paperSize="9" orientation="portrait" horizontalDpi="360" verticalDpi="360"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P180"/>
  <sheetViews>
    <sheetView workbookViewId="0"/>
  </sheetViews>
  <sheetFormatPr defaultRowHeight="12.5" x14ac:dyDescent="0.25"/>
  <cols>
    <col min="1" max="1" width="25.54296875" bestFit="1" customWidth="1"/>
    <col min="2" max="2" width="9.453125" bestFit="1" customWidth="1"/>
    <col min="3" max="4" width="9.26953125" bestFit="1" customWidth="1"/>
    <col min="5" max="5" width="9.453125" bestFit="1" customWidth="1"/>
    <col min="6" max="13" width="9" bestFit="1" customWidth="1"/>
  </cols>
  <sheetData>
    <row r="1" spans="1:13" ht="13" x14ac:dyDescent="0.3">
      <c r="A1" s="2" t="str">
        <f>MODEL_NAME</f>
        <v>PAGE09</v>
      </c>
      <c r="B1" t="s">
        <v>44</v>
      </c>
      <c r="C1" s="71">
        <f>VERSION</f>
        <v>1.7</v>
      </c>
    </row>
    <row r="2" spans="1:13" ht="13" x14ac:dyDescent="0.3">
      <c r="A2" s="2" t="s">
        <v>120</v>
      </c>
      <c r="B2" s="3" t="s">
        <v>430</v>
      </c>
      <c r="C2" s="3" t="s">
        <v>430</v>
      </c>
      <c r="D2" s="3" t="str">
        <f>I_1_NAME</f>
        <v>Economic</v>
      </c>
      <c r="E2" s="3" t="str">
        <f>I_1_NAME</f>
        <v>Economic</v>
      </c>
      <c r="F2" s="3" t="str">
        <f>I_2_NAME</f>
        <v>Non-econ</v>
      </c>
      <c r="G2" s="3" t="str">
        <f>I_2_NAME</f>
        <v>Non-econ</v>
      </c>
    </row>
    <row r="3" spans="1:13" x14ac:dyDescent="0.25">
      <c r="B3" s="3" t="s">
        <v>58</v>
      </c>
      <c r="C3" s="3" t="s">
        <v>431</v>
      </c>
      <c r="D3" s="3" t="s">
        <v>58</v>
      </c>
      <c r="E3" s="3" t="s">
        <v>431</v>
      </c>
      <c r="F3" s="3" t="s">
        <v>58</v>
      </c>
      <c r="G3" s="3" t="s">
        <v>431</v>
      </c>
    </row>
    <row r="4" spans="1:13" ht="15.5" x14ac:dyDescent="0.4">
      <c r="B4" s="3" t="s">
        <v>432</v>
      </c>
      <c r="C4" s="3" t="s">
        <v>433</v>
      </c>
      <c r="D4" s="3" t="s">
        <v>121</v>
      </c>
      <c r="E4" s="3" t="s">
        <v>122</v>
      </c>
      <c r="F4" s="3" t="s">
        <v>123</v>
      </c>
      <c r="G4" s="3" t="s">
        <v>124</v>
      </c>
    </row>
    <row r="5" spans="1:13" x14ac:dyDescent="0.25">
      <c r="A5" t="str">
        <f t="array" ref="A5:A12">R_CODE</f>
        <v>EU</v>
      </c>
      <c r="B5" s="19">
        <f>CP_S_1</f>
        <v>2.3333333330000001E-2</v>
      </c>
      <c r="C5" s="19">
        <f>CI_S_1</f>
        <v>1.166666667E-3</v>
      </c>
      <c r="D5" s="19">
        <f>CP_1_1</f>
        <v>1.1666666670000001E-2</v>
      </c>
      <c r="E5" s="19">
        <f>CI_1_1</f>
        <v>4.0000000000000001E-3</v>
      </c>
      <c r="F5" s="19">
        <f>CP_2_1</f>
        <v>2.3333333330000001E-2</v>
      </c>
      <c r="G5" s="19">
        <f>CI_2_1</f>
        <v>5.6666666670000003E-3</v>
      </c>
    </row>
    <row r="6" spans="1:13" x14ac:dyDescent="0.25">
      <c r="A6" t="str">
        <v>US</v>
      </c>
      <c r="B6" s="21">
        <f t="array" ref="B6:B12">CP_S_1*CF</f>
        <v>1.8666666664000003E-2</v>
      </c>
      <c r="C6" s="21">
        <f t="array" ref="C6:C12">CI_S_1*CF</f>
        <v>9.333333336E-4</v>
      </c>
      <c r="D6" s="21">
        <f t="array" ref="D6:D12">CP_1_1*CF</f>
        <v>9.3333333360000013E-3</v>
      </c>
      <c r="E6" s="21">
        <f t="array" ref="E6:E12">CI_1_1*CF</f>
        <v>3.2000000000000002E-3</v>
      </c>
      <c r="F6" s="21">
        <f t="array" ref="F6:F12">CP_2_1*CF</f>
        <v>1.8666666664000003E-2</v>
      </c>
      <c r="G6" s="21">
        <f t="array" ref="G6:G12">CI_2_1*CF</f>
        <v>4.5333333336000006E-3</v>
      </c>
    </row>
    <row r="7" spans="1:13" x14ac:dyDescent="0.25">
      <c r="A7" t="str">
        <v>OT</v>
      </c>
      <c r="B7" s="21">
        <v>1.8666666664000003E-2</v>
      </c>
      <c r="C7" s="21">
        <v>9.333333336E-4</v>
      </c>
      <c r="D7" s="21">
        <v>9.3333333360000013E-3</v>
      </c>
      <c r="E7" s="21">
        <v>3.2000000000000002E-3</v>
      </c>
      <c r="F7" s="21">
        <v>1.8666666664000003E-2</v>
      </c>
      <c r="G7" s="21">
        <v>4.5333333336000006E-3</v>
      </c>
    </row>
    <row r="8" spans="1:13" x14ac:dyDescent="0.25">
      <c r="A8" t="str">
        <v>EE</v>
      </c>
      <c r="B8" s="21">
        <v>9.3333333320000014E-3</v>
      </c>
      <c r="C8" s="21">
        <v>4.666666668E-4</v>
      </c>
      <c r="D8" s="21">
        <v>4.6666666680000007E-3</v>
      </c>
      <c r="E8" s="21">
        <v>1.6000000000000001E-3</v>
      </c>
      <c r="F8" s="21">
        <v>9.3333333320000014E-3</v>
      </c>
      <c r="G8" s="21">
        <v>2.2666666668000003E-3</v>
      </c>
    </row>
    <row r="9" spans="1:13" x14ac:dyDescent="0.25">
      <c r="A9" t="str">
        <v>CA</v>
      </c>
      <c r="B9" s="21">
        <v>1.8666666664000003E-2</v>
      </c>
      <c r="C9" s="21">
        <v>9.333333336E-4</v>
      </c>
      <c r="D9" s="21">
        <v>9.3333333360000013E-3</v>
      </c>
      <c r="E9" s="21">
        <v>3.2000000000000002E-3</v>
      </c>
      <c r="F9" s="21">
        <v>1.8666666664000003E-2</v>
      </c>
      <c r="G9" s="21">
        <v>4.5333333336000006E-3</v>
      </c>
    </row>
    <row r="10" spans="1:13" x14ac:dyDescent="0.25">
      <c r="A10" t="str">
        <v>IA</v>
      </c>
      <c r="B10" s="21">
        <v>1.8666666664000003E-2</v>
      </c>
      <c r="C10" s="21">
        <v>9.333333336E-4</v>
      </c>
      <c r="D10" s="21">
        <v>9.3333333360000013E-3</v>
      </c>
      <c r="E10" s="21">
        <v>3.2000000000000002E-3</v>
      </c>
      <c r="F10" s="21">
        <v>1.8666666664000003E-2</v>
      </c>
      <c r="G10" s="21">
        <v>4.5333333336000006E-3</v>
      </c>
    </row>
    <row r="11" spans="1:13" x14ac:dyDescent="0.25">
      <c r="A11" t="str">
        <v>AF</v>
      </c>
      <c r="B11" s="21">
        <v>1.3999999997999999E-2</v>
      </c>
      <c r="C11" s="21">
        <v>7.0000000019999995E-4</v>
      </c>
      <c r="D11" s="21">
        <v>7.0000000020000001E-3</v>
      </c>
      <c r="E11" s="21">
        <v>2.3999999999999998E-3</v>
      </c>
      <c r="F11" s="21">
        <v>1.3999999997999999E-2</v>
      </c>
      <c r="G11" s="21">
        <v>3.4000000002E-3</v>
      </c>
    </row>
    <row r="12" spans="1:13" ht="13" thickBot="1" x14ac:dyDescent="0.3">
      <c r="A12" t="str">
        <v>LA</v>
      </c>
      <c r="B12" s="23">
        <v>1.3999999997999999E-2</v>
      </c>
      <c r="C12" s="23">
        <v>7.0000000019999995E-4</v>
      </c>
      <c r="D12" s="23">
        <v>7.0000000020000001E-3</v>
      </c>
      <c r="E12" s="23">
        <v>2.3999999999999998E-3</v>
      </c>
      <c r="F12" s="23">
        <v>1.3999999997999999E-2</v>
      </c>
      <c r="G12" s="23">
        <v>3.4000000002E-3</v>
      </c>
    </row>
    <row r="13" spans="1:13" ht="13" thickTop="1" x14ac:dyDescent="0.25">
      <c r="B13" t="str">
        <f>'Library data'!$G$54</f>
        <v>%GDP per metre</v>
      </c>
      <c r="C13" t="str">
        <f>'Library data'!$G$55</f>
        <v>%GDP per %reduction per metre</v>
      </c>
      <c r="D13" t="str">
        <f>'Library data'!$G$56</f>
        <v>%GDP per degC</v>
      </c>
      <c r="E13" t="str">
        <f>'Library data'!$G$57</f>
        <v>%GDP per %reduction per degC</v>
      </c>
      <c r="F13" t="str">
        <f>'Library data'!$G$58</f>
        <v>%GDP per degC</v>
      </c>
      <c r="G13" t="str">
        <f>'Library data'!$G$59</f>
        <v>%GDP per %reduction per degC</v>
      </c>
    </row>
    <row r="15" spans="1:13" x14ac:dyDescent="0.25">
      <c r="B15">
        <f t="array" ref="B15:K15">Y</f>
        <v>2010</v>
      </c>
      <c r="C15">
        <v>2020</v>
      </c>
      <c r="D15">
        <v>2030</v>
      </c>
      <c r="E15">
        <v>2040</v>
      </c>
      <c r="F15">
        <v>2050</v>
      </c>
      <c r="G15">
        <v>2060</v>
      </c>
      <c r="H15">
        <v>2080</v>
      </c>
      <c r="I15">
        <v>2100</v>
      </c>
      <c r="J15">
        <v>2200</v>
      </c>
      <c r="K15">
        <v>2300</v>
      </c>
    </row>
    <row r="16" spans="1:13" s="4" customFormat="1" x14ac:dyDescent="0.25">
      <c r="A16" s="4" t="s">
        <v>71</v>
      </c>
      <c r="B16" s="20">
        <f t="array" ref="B16:K16">YP</f>
        <v>10</v>
      </c>
      <c r="C16" s="20">
        <v>10</v>
      </c>
      <c r="D16" s="20">
        <v>10</v>
      </c>
      <c r="E16" s="20">
        <v>10</v>
      </c>
      <c r="F16" s="20">
        <v>10</v>
      </c>
      <c r="G16" s="20">
        <v>10</v>
      </c>
      <c r="H16" s="20">
        <v>20</v>
      </c>
      <c r="I16" s="20">
        <v>20</v>
      </c>
      <c r="J16" s="20">
        <v>100</v>
      </c>
      <c r="K16" s="20">
        <v>100</v>
      </c>
      <c r="M16" s="4" t="s">
        <v>47</v>
      </c>
    </row>
    <row r="17" spans="1:13" s="4" customFormat="1" x14ac:dyDescent="0.25">
      <c r="A17" s="4" t="s">
        <v>113</v>
      </c>
      <c r="B17" s="22">
        <f t="array" ref="B17:K17">Y_HI</f>
        <v>2015</v>
      </c>
      <c r="C17" s="22">
        <v>2025</v>
      </c>
      <c r="D17" s="22">
        <v>2035</v>
      </c>
      <c r="E17" s="22">
        <v>2045</v>
      </c>
      <c r="F17" s="22">
        <v>2055</v>
      </c>
      <c r="G17" s="22">
        <v>2070</v>
      </c>
      <c r="H17" s="22">
        <v>2090</v>
      </c>
      <c r="I17" s="22">
        <v>2150</v>
      </c>
      <c r="J17" s="22">
        <v>2250</v>
      </c>
      <c r="K17" s="22">
        <v>2300</v>
      </c>
    </row>
    <row r="18" spans="1:13" s="4" customFormat="1" x14ac:dyDescent="0.25">
      <c r="A18" s="4" t="s">
        <v>114</v>
      </c>
      <c r="B18" s="22">
        <f t="array" ref="B18:K18">Y_LO</f>
        <v>2000</v>
      </c>
      <c r="C18" s="22">
        <v>2015</v>
      </c>
      <c r="D18" s="22">
        <v>2025</v>
      </c>
      <c r="E18" s="22">
        <v>2035</v>
      </c>
      <c r="F18" s="22">
        <v>2045</v>
      </c>
      <c r="G18" s="22">
        <v>2055</v>
      </c>
      <c r="H18" s="22">
        <v>2070</v>
      </c>
      <c r="I18" s="22">
        <v>2090</v>
      </c>
      <c r="J18" s="22">
        <v>2150</v>
      </c>
      <c r="K18" s="22">
        <v>2250</v>
      </c>
    </row>
    <row r="19" spans="1:13" s="4" customFormat="1" ht="13" thickBot="1" x14ac:dyDescent="0.3">
      <c r="A19" s="4" t="s">
        <v>112</v>
      </c>
      <c r="B19" s="24">
        <f t="array" ref="B19:K19">YAGG</f>
        <v>15</v>
      </c>
      <c r="C19" s="24">
        <v>10</v>
      </c>
      <c r="D19" s="24">
        <v>10</v>
      </c>
      <c r="E19" s="24">
        <v>10</v>
      </c>
      <c r="F19" s="24">
        <v>10</v>
      </c>
      <c r="G19" s="24">
        <v>15</v>
      </c>
      <c r="H19" s="24">
        <v>20</v>
      </c>
      <c r="I19" s="24">
        <v>60</v>
      </c>
      <c r="J19" s="24">
        <v>100</v>
      </c>
      <c r="K19" s="24">
        <v>50</v>
      </c>
      <c r="M19" s="4" t="s">
        <v>47</v>
      </c>
    </row>
    <row r="20" spans="1:13" ht="13" thickTop="1" x14ac:dyDescent="0.25"/>
    <row r="21" spans="1:13" s="2" customFormat="1" ht="15" x14ac:dyDescent="0.4">
      <c r="A21" s="2" t="s">
        <v>434</v>
      </c>
      <c r="B21" s="2" t="s">
        <v>435</v>
      </c>
    </row>
    <row r="22" spans="1:13" s="4" customFormat="1" x14ac:dyDescent="0.25">
      <c r="A22" t="str">
        <f t="array" ref="A22:A29">R_CODE&amp;" sea level"</f>
        <v>EU sea level</v>
      </c>
      <c r="B22" s="37">
        <f t="array" ref="B22:K29">atl_s_b*CP_S*GDP/100*AUTOFAC</f>
        <v>343.30665188590541</v>
      </c>
      <c r="C22" s="37">
        <v>813.41683300964257</v>
      </c>
      <c r="D22" s="37">
        <v>938.15669148696099</v>
      </c>
      <c r="E22" s="37">
        <v>1044.852034823419</v>
      </c>
      <c r="F22" s="37">
        <v>1141.2989960182272</v>
      </c>
      <c r="G22" s="37">
        <v>1237.8330245421887</v>
      </c>
      <c r="H22" s="37">
        <v>1451.4406918929201</v>
      </c>
      <c r="I22" s="37">
        <v>1725.7258137857089</v>
      </c>
      <c r="J22" s="37">
        <v>4465.3803458503507</v>
      </c>
      <c r="K22" s="37">
        <v>5472.3923606568151</v>
      </c>
      <c r="M22" s="4" t="str">
        <f t="shared" ref="M22:M30" si="0">CURRENCY_NAME</f>
        <v>$million</v>
      </c>
    </row>
    <row r="23" spans="1:13" s="4" customFormat="1" x14ac:dyDescent="0.25">
      <c r="A23" t="str">
        <v>US sea level</v>
      </c>
      <c r="B23" s="38">
        <v>283.23195867066062</v>
      </c>
      <c r="C23" s="38">
        <v>685.7242602652401</v>
      </c>
      <c r="D23" s="38">
        <v>804.9991342620383</v>
      </c>
      <c r="E23" s="38">
        <v>934.9079209506524</v>
      </c>
      <c r="F23" s="38">
        <v>1067.1777160218428</v>
      </c>
      <c r="G23" s="38">
        <v>1203.2971826540811</v>
      </c>
      <c r="H23" s="38">
        <v>1519.6231108856584</v>
      </c>
      <c r="I23" s="38">
        <v>1893.3216781033591</v>
      </c>
      <c r="J23" s="38">
        <v>4899.0409381596974</v>
      </c>
      <c r="K23" s="38">
        <v>6003.8500929588208</v>
      </c>
      <c r="M23" s="4" t="str">
        <f t="shared" si="0"/>
        <v>$million</v>
      </c>
    </row>
    <row r="24" spans="1:13" s="4" customFormat="1" x14ac:dyDescent="0.25">
      <c r="A24" t="str">
        <v>OT sea level</v>
      </c>
      <c r="B24" s="38">
        <v>112.27737703297846</v>
      </c>
      <c r="C24" s="38">
        <v>320.37400470915946</v>
      </c>
      <c r="D24" s="38">
        <v>449.03380772685625</v>
      </c>
      <c r="E24" s="38">
        <v>613.19950468706645</v>
      </c>
      <c r="F24" s="38">
        <v>806.99671222333029</v>
      </c>
      <c r="G24" s="38">
        <v>1034.8132016248649</v>
      </c>
      <c r="H24" s="38">
        <v>1551.3341877588637</v>
      </c>
      <c r="I24" s="38">
        <v>2137.8675024442673</v>
      </c>
      <c r="J24" s="38">
        <v>5531.8124415749326</v>
      </c>
      <c r="K24" s="38">
        <v>6779.3213122355392</v>
      </c>
      <c r="M24" s="4" t="str">
        <f t="shared" si="0"/>
        <v>$million</v>
      </c>
    </row>
    <row r="25" spans="1:13" s="4" customFormat="1" x14ac:dyDescent="0.25">
      <c r="A25" t="str">
        <v>EE sea level</v>
      </c>
      <c r="B25" s="38">
        <v>22.455475406595689</v>
      </c>
      <c r="C25" s="38">
        <v>64.074800941831867</v>
      </c>
      <c r="D25" s="38">
        <v>89.806761545371231</v>
      </c>
      <c r="E25" s="38">
        <v>122.63990093741324</v>
      </c>
      <c r="F25" s="38">
        <v>161.39934244466599</v>
      </c>
      <c r="G25" s="38">
        <v>206.96264032497288</v>
      </c>
      <c r="H25" s="38">
        <v>310.2668375517726</v>
      </c>
      <c r="I25" s="38">
        <v>427.57350048885331</v>
      </c>
      <c r="J25" s="38">
        <v>1106.3624883149862</v>
      </c>
      <c r="K25" s="38">
        <v>1355.8642624471074</v>
      </c>
      <c r="M25" s="4" t="str">
        <f t="shared" si="0"/>
        <v>$million</v>
      </c>
    </row>
    <row r="26" spans="1:13" s="4" customFormat="1" x14ac:dyDescent="0.25">
      <c r="A26" t="str">
        <v>CA sea level</v>
      </c>
      <c r="B26" s="38">
        <v>47.905014200737476</v>
      </c>
      <c r="C26" s="38">
        <v>136.692908675908</v>
      </c>
      <c r="D26" s="38">
        <v>287.38163694518795</v>
      </c>
      <c r="E26" s="38">
        <v>392.44768299972247</v>
      </c>
      <c r="F26" s="38">
        <v>516.47789582293126</v>
      </c>
      <c r="G26" s="38">
        <v>662.28044903991338</v>
      </c>
      <c r="H26" s="38">
        <v>992.85388016567254</v>
      </c>
      <c r="I26" s="38">
        <v>1368.2352015643307</v>
      </c>
      <c r="J26" s="38">
        <v>3540.3599626079558</v>
      </c>
      <c r="K26" s="38">
        <v>4338.7656398307436</v>
      </c>
      <c r="M26" s="4" t="str">
        <f t="shared" si="0"/>
        <v>$million</v>
      </c>
    </row>
    <row r="27" spans="1:13" s="4" customFormat="1" x14ac:dyDescent="0.25">
      <c r="A27" t="str">
        <v>IA sea level</v>
      </c>
      <c r="B27" s="38">
        <v>39.920845167281229</v>
      </c>
      <c r="C27" s="38">
        <v>113.91075722992332</v>
      </c>
      <c r="D27" s="38">
        <v>239.48469745432331</v>
      </c>
      <c r="E27" s="38">
        <v>327.03973583310199</v>
      </c>
      <c r="F27" s="38">
        <v>430.39824651910936</v>
      </c>
      <c r="G27" s="38">
        <v>551.9003741999278</v>
      </c>
      <c r="H27" s="38">
        <v>827.37823347139374</v>
      </c>
      <c r="I27" s="38">
        <v>1140.1960013036089</v>
      </c>
      <c r="J27" s="38">
        <v>2950.2999688399627</v>
      </c>
      <c r="K27" s="38">
        <v>3615.6380331922851</v>
      </c>
      <c r="M27" s="4" t="str">
        <f t="shared" si="0"/>
        <v>$million</v>
      </c>
    </row>
    <row r="28" spans="1:13" s="4" customFormat="1" x14ac:dyDescent="0.25">
      <c r="A28" t="str">
        <v>AF sea level</v>
      </c>
      <c r="B28" s="38">
        <v>20.958443712822639</v>
      </c>
      <c r="C28" s="38">
        <v>59.803147545709741</v>
      </c>
      <c r="D28" s="38">
        <v>125.72946616351973</v>
      </c>
      <c r="E28" s="38">
        <v>171.69586131237853</v>
      </c>
      <c r="F28" s="38">
        <v>225.95907942253234</v>
      </c>
      <c r="G28" s="38">
        <v>289.74769645496201</v>
      </c>
      <c r="H28" s="38">
        <v>434.37357257248158</v>
      </c>
      <c r="I28" s="38">
        <v>598.60290068439463</v>
      </c>
      <c r="J28" s="38">
        <v>1548.9074836409802</v>
      </c>
      <c r="K28" s="38">
        <v>1898.2099674259493</v>
      </c>
      <c r="M28" s="4" t="str">
        <f t="shared" si="0"/>
        <v>$million</v>
      </c>
    </row>
    <row r="29" spans="1:13" s="4" customFormat="1" x14ac:dyDescent="0.25">
      <c r="A29" t="str">
        <v>LA sea level</v>
      </c>
      <c r="B29" s="38">
        <v>23.952507100368734</v>
      </c>
      <c r="C29" s="38">
        <v>68.346454337953986</v>
      </c>
      <c r="D29" s="38">
        <v>143.69081847259395</v>
      </c>
      <c r="E29" s="38">
        <v>196.22384149986115</v>
      </c>
      <c r="F29" s="38">
        <v>258.23894791146552</v>
      </c>
      <c r="G29" s="38">
        <v>331.14022451995663</v>
      </c>
      <c r="H29" s="38">
        <v>496.42694008283615</v>
      </c>
      <c r="I29" s="38">
        <v>684.11760078216525</v>
      </c>
      <c r="J29" s="38">
        <v>1770.1799813039777</v>
      </c>
      <c r="K29" s="38">
        <v>2169.3828199153713</v>
      </c>
      <c r="M29" s="4" t="str">
        <f t="shared" si="0"/>
        <v>$million</v>
      </c>
    </row>
    <row r="30" spans="1:13" ht="13.5" thickBot="1" x14ac:dyDescent="0.35">
      <c r="A30" s="2" t="s">
        <v>438</v>
      </c>
      <c r="B30" s="56">
        <f>SUM(B22:B29)</f>
        <v>894.00827317735025</v>
      </c>
      <c r="C30" s="56">
        <f t="shared" ref="C30:K30" si="1">SUM(C22:C29)</f>
        <v>2262.3431667153691</v>
      </c>
      <c r="D30" s="56">
        <f t="shared" si="1"/>
        <v>3078.2830140568512</v>
      </c>
      <c r="E30" s="56">
        <f t="shared" si="1"/>
        <v>3803.0064830436149</v>
      </c>
      <c r="F30" s="56">
        <f t="shared" si="1"/>
        <v>4607.9469363841054</v>
      </c>
      <c r="G30" s="56">
        <f t="shared" si="1"/>
        <v>5517.9747933608678</v>
      </c>
      <c r="H30" s="56">
        <f t="shared" si="1"/>
        <v>7583.6974543815977</v>
      </c>
      <c r="I30" s="56">
        <f t="shared" si="1"/>
        <v>9975.6401991566872</v>
      </c>
      <c r="J30" s="56">
        <f t="shared" si="1"/>
        <v>25812.343610292843</v>
      </c>
      <c r="K30" s="56">
        <f t="shared" si="1"/>
        <v>31633.424488662633</v>
      </c>
      <c r="L30" s="1"/>
      <c r="M30" s="4" t="str">
        <f t="shared" si="0"/>
        <v>$million</v>
      </c>
    </row>
    <row r="31" spans="1:13" s="2" customFormat="1" ht="15.5" thickTop="1" x14ac:dyDescent="0.4">
      <c r="A31" s="2" t="s">
        <v>436</v>
      </c>
      <c r="B31" s="2" t="s">
        <v>437</v>
      </c>
    </row>
    <row r="32" spans="1:13" x14ac:dyDescent="0.25">
      <c r="A32" t="str">
        <f t="array" ref="A32:A39">R_CODE&amp;" sea level"</f>
        <v>EU sea level</v>
      </c>
      <c r="B32" s="37">
        <f t="array" ref="B32:K39">imp_s_b*CI_S*GDP/100*impmax_s_b*AUTOFAC</f>
        <v>0</v>
      </c>
      <c r="C32" s="37">
        <v>0</v>
      </c>
      <c r="D32" s="37">
        <v>2345.3917297225703</v>
      </c>
      <c r="E32" s="37">
        <v>5224.2601763560624</v>
      </c>
      <c r="F32" s="37">
        <v>8559.742473805165</v>
      </c>
      <c r="G32" s="37">
        <v>12378.330250726882</v>
      </c>
      <c r="H32" s="37">
        <v>14514.40692514966</v>
      </c>
      <c r="I32" s="37">
        <v>17257.258145253054</v>
      </c>
      <c r="J32" s="37">
        <v>44653.803477640853</v>
      </c>
      <c r="K32" s="37">
        <v>54723.923630021251</v>
      </c>
      <c r="M32" s="4" t="str">
        <f t="shared" ref="M32:M40" si="2">CURRENCY_NAME</f>
        <v>$million</v>
      </c>
    </row>
    <row r="33" spans="1:13" x14ac:dyDescent="0.25">
      <c r="A33" t="str">
        <v>US sea level</v>
      </c>
      <c r="B33" s="38">
        <v>0</v>
      </c>
      <c r="C33" s="38">
        <v>0</v>
      </c>
      <c r="D33" s="38">
        <v>2012.4978365175948</v>
      </c>
      <c r="E33" s="38">
        <v>4674.5396067566362</v>
      </c>
      <c r="F33" s="38">
        <v>8003.8328735940349</v>
      </c>
      <c r="G33" s="38">
        <v>12032.971831697798</v>
      </c>
      <c r="H33" s="38">
        <v>15196.231115369255</v>
      </c>
      <c r="I33" s="38">
        <v>18933.216789147828</v>
      </c>
      <c r="J33" s="38">
        <v>48990.409402592864</v>
      </c>
      <c r="K33" s="38">
        <v>60038.500955318988</v>
      </c>
      <c r="M33" s="4" t="str">
        <f t="shared" si="2"/>
        <v>$million</v>
      </c>
    </row>
    <row r="34" spans="1:13" x14ac:dyDescent="0.25">
      <c r="A34" t="str">
        <v>OT sea level</v>
      </c>
      <c r="B34" s="38">
        <v>0</v>
      </c>
      <c r="C34" s="38">
        <v>0</v>
      </c>
      <c r="D34" s="38">
        <v>1122.5845197982485</v>
      </c>
      <c r="E34" s="38">
        <v>3065.9975247493308</v>
      </c>
      <c r="F34" s="38">
        <v>6052.4753442688925</v>
      </c>
      <c r="G34" s="38">
        <v>10348.132020683561</v>
      </c>
      <c r="H34" s="38">
        <v>15513.34188423721</v>
      </c>
      <c r="I34" s="38">
        <v>21378.675033604959</v>
      </c>
      <c r="J34" s="38">
        <v>55318.124439457089</v>
      </c>
      <c r="K34" s="38">
        <v>67793.213151409625</v>
      </c>
      <c r="M34" s="4" t="str">
        <f t="shared" si="2"/>
        <v>$million</v>
      </c>
    </row>
    <row r="35" spans="1:13" x14ac:dyDescent="0.25">
      <c r="A35" t="str">
        <v>EE sea level</v>
      </c>
      <c r="B35" s="38">
        <v>0</v>
      </c>
      <c r="C35" s="38">
        <v>0</v>
      </c>
      <c r="D35" s="38">
        <v>224.51690395964962</v>
      </c>
      <c r="E35" s="38">
        <v>613.19950494986597</v>
      </c>
      <c r="F35" s="38">
        <v>1210.4950688537783</v>
      </c>
      <c r="G35" s="38">
        <v>2069.6264041367112</v>
      </c>
      <c r="H35" s="38">
        <v>3102.6683768474413</v>
      </c>
      <c r="I35" s="38">
        <v>4275.7350067209909</v>
      </c>
      <c r="J35" s="38">
        <v>11063.624887891416</v>
      </c>
      <c r="K35" s="38">
        <v>13558.642630281918</v>
      </c>
      <c r="M35" s="4" t="str">
        <f t="shared" si="2"/>
        <v>$million</v>
      </c>
    </row>
    <row r="36" spans="1:13" x14ac:dyDescent="0.25">
      <c r="A36" t="str">
        <v>CA sea level</v>
      </c>
      <c r="B36" s="38">
        <v>0</v>
      </c>
      <c r="C36" s="38">
        <v>0</v>
      </c>
      <c r="D36" s="38">
        <v>449.03380791929925</v>
      </c>
      <c r="E36" s="38">
        <v>1226.3990098997319</v>
      </c>
      <c r="F36" s="38">
        <v>2420.9901377075566</v>
      </c>
      <c r="G36" s="38">
        <v>4139.2528082734225</v>
      </c>
      <c r="H36" s="38">
        <v>6205.3367536948826</v>
      </c>
      <c r="I36" s="38">
        <v>8551.4700134419818</v>
      </c>
      <c r="J36" s="38">
        <v>22127.249775782831</v>
      </c>
      <c r="K36" s="38">
        <v>27117.285260563836</v>
      </c>
      <c r="M36" s="4" t="str">
        <f t="shared" si="2"/>
        <v>$million</v>
      </c>
    </row>
    <row r="37" spans="1:13" x14ac:dyDescent="0.25">
      <c r="A37" t="str">
        <v>IA sea level</v>
      </c>
      <c r="B37" s="38">
        <v>0</v>
      </c>
      <c r="C37" s="38">
        <v>0</v>
      </c>
      <c r="D37" s="38">
        <v>374.19483993274935</v>
      </c>
      <c r="E37" s="38">
        <v>1021.9991749164432</v>
      </c>
      <c r="F37" s="38">
        <v>2017.4917814229639</v>
      </c>
      <c r="G37" s="38">
        <v>3449.3773402278525</v>
      </c>
      <c r="H37" s="38">
        <v>5171.1139614124013</v>
      </c>
      <c r="I37" s="38">
        <v>7126.2250112016509</v>
      </c>
      <c r="J37" s="38">
        <v>18439.374813152357</v>
      </c>
      <c r="K37" s="38">
        <v>22597.737717136526</v>
      </c>
      <c r="M37" s="4" t="str">
        <f t="shared" si="2"/>
        <v>$million</v>
      </c>
    </row>
    <row r="38" spans="1:13" x14ac:dyDescent="0.25">
      <c r="A38" t="str">
        <v>AF sea level</v>
      </c>
      <c r="B38" s="38">
        <v>0</v>
      </c>
      <c r="C38" s="38">
        <v>0</v>
      </c>
      <c r="D38" s="38">
        <v>196.45229096469336</v>
      </c>
      <c r="E38" s="38">
        <v>536.54956683113278</v>
      </c>
      <c r="F38" s="38">
        <v>1059.1831852470559</v>
      </c>
      <c r="G38" s="38">
        <v>1810.9231036196225</v>
      </c>
      <c r="H38" s="38">
        <v>2714.83482974151</v>
      </c>
      <c r="I38" s="38">
        <v>3741.268130880866</v>
      </c>
      <c r="J38" s="38">
        <v>9680.6717769049847</v>
      </c>
      <c r="K38" s="38">
        <v>11863.812301496673</v>
      </c>
      <c r="M38" s="4" t="str">
        <f t="shared" si="2"/>
        <v>$million</v>
      </c>
    </row>
    <row r="39" spans="1:13" x14ac:dyDescent="0.25">
      <c r="A39" t="str">
        <v>LA sea level</v>
      </c>
      <c r="B39" s="38">
        <v>0</v>
      </c>
      <c r="C39" s="38">
        <v>0</v>
      </c>
      <c r="D39" s="38">
        <v>224.51690395964957</v>
      </c>
      <c r="E39" s="38">
        <v>613.19950494986585</v>
      </c>
      <c r="F39" s="38">
        <v>1210.4950688537783</v>
      </c>
      <c r="G39" s="38">
        <v>2069.6264041367112</v>
      </c>
      <c r="H39" s="38">
        <v>3102.6683768474404</v>
      </c>
      <c r="I39" s="38">
        <v>4275.73500672099</v>
      </c>
      <c r="J39" s="38">
        <v>11063.624887891412</v>
      </c>
      <c r="K39" s="38">
        <v>13558.642630281916</v>
      </c>
      <c r="M39" s="4" t="str">
        <f t="shared" si="2"/>
        <v>$million</v>
      </c>
    </row>
    <row r="40" spans="1:13" ht="13.5" thickBot="1" x14ac:dyDescent="0.35">
      <c r="A40" s="2" t="s">
        <v>438</v>
      </c>
      <c r="B40" s="56">
        <f t="shared" ref="B40:K40" si="3">SUM(B32:B39)</f>
        <v>0</v>
      </c>
      <c r="C40" s="56">
        <f t="shared" si="3"/>
        <v>0</v>
      </c>
      <c r="D40" s="56">
        <f t="shared" si="3"/>
        <v>6949.1888327744537</v>
      </c>
      <c r="E40" s="56">
        <f t="shared" si="3"/>
        <v>16976.144069409071</v>
      </c>
      <c r="F40" s="56">
        <f t="shared" si="3"/>
        <v>30534.705933753226</v>
      </c>
      <c r="G40" s="56">
        <f t="shared" si="3"/>
        <v>48298.240163502553</v>
      </c>
      <c r="H40" s="56">
        <f t="shared" si="3"/>
        <v>65520.602223299793</v>
      </c>
      <c r="I40" s="56">
        <f t="shared" si="3"/>
        <v>85539.583136972316</v>
      </c>
      <c r="J40" s="56">
        <f t="shared" si="3"/>
        <v>221336.88346131379</v>
      </c>
      <c r="K40" s="56">
        <f t="shared" si="3"/>
        <v>271251.75827651075</v>
      </c>
      <c r="L40" s="1"/>
      <c r="M40" s="4" t="str">
        <f t="shared" si="2"/>
        <v>$million</v>
      </c>
    </row>
    <row r="41" spans="1:13" ht="15.5" thickTop="1" x14ac:dyDescent="0.4">
      <c r="A41" s="65" t="s">
        <v>145</v>
      </c>
      <c r="B41" s="2" t="s">
        <v>443</v>
      </c>
      <c r="C41" s="58"/>
      <c r="D41" s="58"/>
      <c r="E41" s="58"/>
      <c r="F41" s="58"/>
      <c r="G41" s="58"/>
      <c r="H41" s="58"/>
      <c r="I41" s="58"/>
      <c r="J41" s="58"/>
      <c r="K41" s="58"/>
      <c r="L41" s="1"/>
      <c r="M41" s="1"/>
    </row>
    <row r="42" spans="1:13" x14ac:dyDescent="0.25">
      <c r="A42" t="str">
        <f t="array" ref="A42:A49">R_CODE&amp;" sea level"</f>
        <v>EU sea level</v>
      </c>
      <c r="B42" s="38">
        <f t="array" ref="B42:K49">acp_s_b+aci_s_b</f>
        <v>343.30665188590541</v>
      </c>
      <c r="C42" s="38">
        <v>813.41683300964257</v>
      </c>
      <c r="D42" s="38">
        <v>3283.5484212095312</v>
      </c>
      <c r="E42" s="38">
        <v>6269.1122111794812</v>
      </c>
      <c r="F42" s="38">
        <v>9701.0414698233926</v>
      </c>
      <c r="G42" s="38">
        <v>13616.163275269071</v>
      </c>
      <c r="H42" s="38">
        <v>15965.84761704258</v>
      </c>
      <c r="I42" s="38">
        <v>18982.983959038764</v>
      </c>
      <c r="J42" s="38">
        <v>49119.183823491207</v>
      </c>
      <c r="K42" s="38">
        <v>60196.315990678064</v>
      </c>
      <c r="L42" s="1"/>
      <c r="M42" s="4" t="str">
        <f t="shared" ref="M42:M50" si="4">CURRENCY_NAME</f>
        <v>$million</v>
      </c>
    </row>
    <row r="43" spans="1:13" x14ac:dyDescent="0.25">
      <c r="A43" t="str">
        <v>US sea level</v>
      </c>
      <c r="B43" s="38">
        <v>283.23195867066062</v>
      </c>
      <c r="C43" s="38">
        <v>685.7242602652401</v>
      </c>
      <c r="D43" s="38">
        <v>2817.4969707796331</v>
      </c>
      <c r="E43" s="38">
        <v>5609.4475277072888</v>
      </c>
      <c r="F43" s="38">
        <v>9071.0105896158784</v>
      </c>
      <c r="G43" s="38">
        <v>13236.269014351879</v>
      </c>
      <c r="H43" s="38">
        <v>16715.854226254913</v>
      </c>
      <c r="I43" s="38">
        <v>20826.538467251186</v>
      </c>
      <c r="J43" s="38">
        <v>53889.450340752563</v>
      </c>
      <c r="K43" s="38">
        <v>66042.351048277807</v>
      </c>
      <c r="L43" s="1"/>
      <c r="M43" s="4" t="str">
        <f t="shared" si="4"/>
        <v>$million</v>
      </c>
    </row>
    <row r="44" spans="1:13" x14ac:dyDescent="0.25">
      <c r="A44" t="str">
        <v>OT sea level</v>
      </c>
      <c r="B44" s="38">
        <v>112.27737703297846</v>
      </c>
      <c r="C44" s="38">
        <v>320.37400470915946</v>
      </c>
      <c r="D44" s="38">
        <v>1571.6183275251046</v>
      </c>
      <c r="E44" s="38">
        <v>3679.1970294363973</v>
      </c>
      <c r="F44" s="38">
        <v>6859.4720564922227</v>
      </c>
      <c r="G44" s="38">
        <v>11382.945222308426</v>
      </c>
      <c r="H44" s="38">
        <v>17064.676071996073</v>
      </c>
      <c r="I44" s="38">
        <v>23516.542536049226</v>
      </c>
      <c r="J44" s="38">
        <v>60849.936881032023</v>
      </c>
      <c r="K44" s="38">
        <v>74572.534463645163</v>
      </c>
      <c r="L44" s="1"/>
      <c r="M44" s="4" t="str">
        <f t="shared" si="4"/>
        <v>$million</v>
      </c>
    </row>
    <row r="45" spans="1:13" x14ac:dyDescent="0.25">
      <c r="A45" t="str">
        <v>EE sea level</v>
      </c>
      <c r="B45" s="38">
        <v>22.455475406595689</v>
      </c>
      <c r="C45" s="38">
        <v>64.074800941831867</v>
      </c>
      <c r="D45" s="38">
        <v>314.32366550502087</v>
      </c>
      <c r="E45" s="38">
        <v>735.83940588727921</v>
      </c>
      <c r="F45" s="38">
        <v>1371.8944112984443</v>
      </c>
      <c r="G45" s="38">
        <v>2276.5890444616844</v>
      </c>
      <c r="H45" s="38">
        <v>3412.9352143992137</v>
      </c>
      <c r="I45" s="38">
        <v>4703.3085072098438</v>
      </c>
      <c r="J45" s="38">
        <v>12169.987376206402</v>
      </c>
      <c r="K45" s="38">
        <v>14914.506892729025</v>
      </c>
      <c r="L45" s="1"/>
      <c r="M45" s="4" t="str">
        <f t="shared" si="4"/>
        <v>$million</v>
      </c>
    </row>
    <row r="46" spans="1:13" x14ac:dyDescent="0.25">
      <c r="A46" t="str">
        <v>CA sea level</v>
      </c>
      <c r="B46" s="38">
        <v>47.905014200737476</v>
      </c>
      <c r="C46" s="38">
        <v>136.692908675908</v>
      </c>
      <c r="D46" s="38">
        <v>736.4154448644872</v>
      </c>
      <c r="E46" s="38">
        <v>1618.8466928994544</v>
      </c>
      <c r="F46" s="38">
        <v>2937.4680335304879</v>
      </c>
      <c r="G46" s="38">
        <v>4801.5332573133355</v>
      </c>
      <c r="H46" s="38">
        <v>7198.190633860555</v>
      </c>
      <c r="I46" s="38">
        <v>9919.7052150063118</v>
      </c>
      <c r="J46" s="38">
        <v>25667.609738390787</v>
      </c>
      <c r="K46" s="38">
        <v>31456.050900394581</v>
      </c>
      <c r="L46" s="1"/>
      <c r="M46" s="4" t="str">
        <f t="shared" si="4"/>
        <v>$million</v>
      </c>
    </row>
    <row r="47" spans="1:13" x14ac:dyDescent="0.25">
      <c r="A47" t="str">
        <v>IA sea level</v>
      </c>
      <c r="B47" s="38">
        <v>39.920845167281229</v>
      </c>
      <c r="C47" s="38">
        <v>113.91075722992332</v>
      </c>
      <c r="D47" s="38">
        <v>613.67953738707263</v>
      </c>
      <c r="E47" s="38">
        <v>1349.0389107495453</v>
      </c>
      <c r="F47" s="38">
        <v>2447.8900279420732</v>
      </c>
      <c r="G47" s="38">
        <v>4001.2777144277802</v>
      </c>
      <c r="H47" s="38">
        <v>5998.4921948837946</v>
      </c>
      <c r="I47" s="38">
        <v>8266.4210125052596</v>
      </c>
      <c r="J47" s="38">
        <v>21389.674781992318</v>
      </c>
      <c r="K47" s="38">
        <v>26213.375750328811</v>
      </c>
      <c r="L47" s="1"/>
      <c r="M47" s="4" t="str">
        <f t="shared" si="4"/>
        <v>$million</v>
      </c>
    </row>
    <row r="48" spans="1:13" x14ac:dyDescent="0.25">
      <c r="A48" t="str">
        <v>AF sea level</v>
      </c>
      <c r="B48" s="38">
        <v>20.958443712822639</v>
      </c>
      <c r="C48" s="38">
        <v>59.803147545709741</v>
      </c>
      <c r="D48" s="38">
        <v>322.18175712821312</v>
      </c>
      <c r="E48" s="38">
        <v>708.24542814351128</v>
      </c>
      <c r="F48" s="38">
        <v>1285.1422646695883</v>
      </c>
      <c r="G48" s="38">
        <v>2100.6708000745843</v>
      </c>
      <c r="H48" s="38">
        <v>3149.2084023139914</v>
      </c>
      <c r="I48" s="38">
        <v>4339.8710315652606</v>
      </c>
      <c r="J48" s="38">
        <v>11229.579260545965</v>
      </c>
      <c r="K48" s="38">
        <v>13762.022268922623</v>
      </c>
      <c r="L48" s="1"/>
      <c r="M48" s="4" t="str">
        <f t="shared" si="4"/>
        <v>$million</v>
      </c>
    </row>
    <row r="49" spans="1:13" x14ac:dyDescent="0.25">
      <c r="A49" t="str">
        <v>LA sea level</v>
      </c>
      <c r="B49" s="38">
        <v>23.952507100368734</v>
      </c>
      <c r="C49" s="38">
        <v>68.346454337953986</v>
      </c>
      <c r="D49" s="38">
        <v>368.20772243224349</v>
      </c>
      <c r="E49" s="38">
        <v>809.42334644972698</v>
      </c>
      <c r="F49" s="38">
        <v>1468.7340167652437</v>
      </c>
      <c r="G49" s="38">
        <v>2400.7666286566678</v>
      </c>
      <c r="H49" s="38">
        <v>3599.0953169302766</v>
      </c>
      <c r="I49" s="38">
        <v>4959.852607503155</v>
      </c>
      <c r="J49" s="38">
        <v>12833.80486919539</v>
      </c>
      <c r="K49" s="38">
        <v>15728.025450197289</v>
      </c>
      <c r="L49" s="1"/>
      <c r="M49" s="4" t="str">
        <f t="shared" si="4"/>
        <v>$million</v>
      </c>
    </row>
    <row r="50" spans="1:13" ht="13.5" thickBot="1" x14ac:dyDescent="0.35">
      <c r="A50" s="2" t="s">
        <v>438</v>
      </c>
      <c r="B50" s="56">
        <f t="shared" ref="B50:K50" si="5">SUM(B42:B49)</f>
        <v>894.00827317735025</v>
      </c>
      <c r="C50" s="56">
        <f t="shared" si="5"/>
        <v>2262.3431667153691</v>
      </c>
      <c r="D50" s="56">
        <f t="shared" si="5"/>
        <v>10027.471846831306</v>
      </c>
      <c r="E50" s="56">
        <f t="shared" si="5"/>
        <v>20779.150552452687</v>
      </c>
      <c r="F50" s="56">
        <f t="shared" si="5"/>
        <v>35142.652870137332</v>
      </c>
      <c r="G50" s="56">
        <f t="shared" si="5"/>
        <v>53816.21495686342</v>
      </c>
      <c r="H50" s="56">
        <f t="shared" si="5"/>
        <v>73104.299677681396</v>
      </c>
      <c r="I50" s="56">
        <f t="shared" si="5"/>
        <v>95515.223336129013</v>
      </c>
      <c r="J50" s="56">
        <f t="shared" si="5"/>
        <v>247149.22707160661</v>
      </c>
      <c r="K50" s="56">
        <f t="shared" si="5"/>
        <v>302885.18276517338</v>
      </c>
      <c r="L50" s="1"/>
      <c r="M50" s="4" t="str">
        <f t="shared" si="4"/>
        <v>$million</v>
      </c>
    </row>
    <row r="51" spans="1:13" s="2" customFormat="1" ht="15.5" thickTop="1" x14ac:dyDescent="0.4">
      <c r="A51" s="2" t="s">
        <v>434</v>
      </c>
      <c r="B51" s="2" t="s">
        <v>439</v>
      </c>
    </row>
    <row r="52" spans="1:13" s="4" customFormat="1" x14ac:dyDescent="0.25">
      <c r="A52" t="str">
        <f t="array" ref="A52:A59">R_CODE&amp;" "&amp;I_1_NAME</f>
        <v>EU Economic</v>
      </c>
      <c r="B52" s="37">
        <f t="array" ref="B52:K59">atl_1_b*CP_1*GDP/100*AUTOFAC</f>
        <v>686.61330406607351</v>
      </c>
      <c r="C52" s="37">
        <v>1626.8336667164997</v>
      </c>
      <c r="D52" s="37">
        <v>1876.3133837780563</v>
      </c>
      <c r="E52" s="37">
        <v>2089.7040705424256</v>
      </c>
      <c r="F52" s="37">
        <v>2282.5979930147105</v>
      </c>
      <c r="G52" s="37">
        <v>2475.6660501453771</v>
      </c>
      <c r="H52" s="37">
        <v>2902.881385029933</v>
      </c>
      <c r="I52" s="37">
        <v>3451.4516290506112</v>
      </c>
      <c r="J52" s="37">
        <v>8930.7606955281717</v>
      </c>
      <c r="K52" s="37">
        <v>10944.784726004253</v>
      </c>
      <c r="M52" s="4" t="str">
        <f t="shared" ref="M52:M60" si="6">CURRENCY_NAME</f>
        <v>$million</v>
      </c>
    </row>
    <row r="53" spans="1:13" s="4" customFormat="1" x14ac:dyDescent="0.25">
      <c r="A53" t="str">
        <v>US Economic</v>
      </c>
      <c r="B53" s="38">
        <v>566.46391758409152</v>
      </c>
      <c r="C53" s="38">
        <v>1371.4485211182437</v>
      </c>
      <c r="D53" s="38">
        <v>1609.9982692140759</v>
      </c>
      <c r="E53" s="38">
        <v>1869.8158427026547</v>
      </c>
      <c r="F53" s="38">
        <v>2134.3554329584094</v>
      </c>
      <c r="G53" s="38">
        <v>2406.5943663395597</v>
      </c>
      <c r="H53" s="38">
        <v>3039.2462230738515</v>
      </c>
      <c r="I53" s="38">
        <v>3786.6433578295655</v>
      </c>
      <c r="J53" s="38">
        <v>9798.0818805185736</v>
      </c>
      <c r="K53" s="38">
        <v>12007.700191063803</v>
      </c>
      <c r="M53" s="4" t="str">
        <f t="shared" si="6"/>
        <v>$million</v>
      </c>
    </row>
    <row r="54" spans="1:13" s="4" customFormat="1" x14ac:dyDescent="0.25">
      <c r="A54" t="str">
        <v>OT Economic</v>
      </c>
      <c r="B54" s="38">
        <v>224.55475416219468</v>
      </c>
      <c r="C54" s="38">
        <v>640.74800969292517</v>
      </c>
      <c r="D54" s="38">
        <v>898.06761583859873</v>
      </c>
      <c r="E54" s="38">
        <v>1226.3990098997324</v>
      </c>
      <c r="F54" s="38">
        <v>1613.993425138372</v>
      </c>
      <c r="G54" s="38">
        <v>2069.6264041367122</v>
      </c>
      <c r="H54" s="38">
        <v>3102.6683768474418</v>
      </c>
      <c r="I54" s="38">
        <v>4275.7350067209927</v>
      </c>
      <c r="J54" s="38">
        <v>11063.624887891421</v>
      </c>
      <c r="K54" s="38">
        <v>13558.642630281925</v>
      </c>
      <c r="M54" s="4" t="str">
        <f t="shared" si="6"/>
        <v>$million</v>
      </c>
    </row>
    <row r="55" spans="1:13" s="4" customFormat="1" x14ac:dyDescent="0.25">
      <c r="A55" t="str">
        <v>EE Economic</v>
      </c>
      <c r="B55" s="38">
        <v>44.910950832438935</v>
      </c>
      <c r="C55" s="38">
        <v>128.14960193858499</v>
      </c>
      <c r="D55" s="38">
        <v>179.61352316771971</v>
      </c>
      <c r="E55" s="38">
        <v>245.27980197994646</v>
      </c>
      <c r="F55" s="38">
        <v>322.79868502767431</v>
      </c>
      <c r="G55" s="38">
        <v>413.92528082734242</v>
      </c>
      <c r="H55" s="38">
        <v>620.53367536948826</v>
      </c>
      <c r="I55" s="38">
        <v>855.1470013441982</v>
      </c>
      <c r="J55" s="38">
        <v>2212.724977578283</v>
      </c>
      <c r="K55" s="38">
        <v>2711.7285260563835</v>
      </c>
      <c r="M55" s="4" t="str">
        <f t="shared" si="6"/>
        <v>$million</v>
      </c>
    </row>
    <row r="56" spans="1:13" s="4" customFormat="1" x14ac:dyDescent="0.25">
      <c r="A56" t="str">
        <v>CA Economic</v>
      </c>
      <c r="B56" s="38">
        <v>0</v>
      </c>
      <c r="C56" s="38">
        <v>170.86613591811334</v>
      </c>
      <c r="D56" s="38">
        <v>478.96939511391918</v>
      </c>
      <c r="E56" s="38">
        <v>981.11920791978582</v>
      </c>
      <c r="F56" s="38">
        <v>1291.1947401106972</v>
      </c>
      <c r="G56" s="38">
        <v>1655.7011233093697</v>
      </c>
      <c r="H56" s="38">
        <v>2482.1347014779531</v>
      </c>
      <c r="I56" s="38">
        <v>3420.5880053767928</v>
      </c>
      <c r="J56" s="38">
        <v>8850.8999103131318</v>
      </c>
      <c r="K56" s="38">
        <v>10846.914104225534</v>
      </c>
      <c r="M56" s="4" t="str">
        <f t="shared" si="6"/>
        <v>$million</v>
      </c>
    </row>
    <row r="57" spans="1:13" s="4" customFormat="1" x14ac:dyDescent="0.25">
      <c r="A57" t="str">
        <v>IA Economic</v>
      </c>
      <c r="B57" s="38">
        <v>0</v>
      </c>
      <c r="C57" s="38">
        <v>142.38844659842778</v>
      </c>
      <c r="D57" s="38">
        <v>399.14116259493261</v>
      </c>
      <c r="E57" s="38">
        <v>817.59933993315462</v>
      </c>
      <c r="F57" s="38">
        <v>1075.9956167589141</v>
      </c>
      <c r="G57" s="38">
        <v>1379.7509360911413</v>
      </c>
      <c r="H57" s="38">
        <v>2068.4455845649609</v>
      </c>
      <c r="I57" s="38">
        <v>2850.4900044806604</v>
      </c>
      <c r="J57" s="38">
        <v>7375.7499252609423</v>
      </c>
      <c r="K57" s="38">
        <v>9039.0950868546115</v>
      </c>
      <c r="M57" s="4" t="str">
        <f t="shared" si="6"/>
        <v>$million</v>
      </c>
    </row>
    <row r="58" spans="1:13" s="4" customFormat="1" x14ac:dyDescent="0.25">
      <c r="A58" t="str">
        <v>AF Economic</v>
      </c>
      <c r="B58" s="38">
        <v>0</v>
      </c>
      <c r="C58" s="38">
        <v>74.753934464174577</v>
      </c>
      <c r="D58" s="38">
        <v>209.5491103623396</v>
      </c>
      <c r="E58" s="38">
        <v>429.23965346490616</v>
      </c>
      <c r="F58" s="38">
        <v>564.89769879842993</v>
      </c>
      <c r="G58" s="38">
        <v>724.36924144784905</v>
      </c>
      <c r="H58" s="38">
        <v>1085.9339318966042</v>
      </c>
      <c r="I58" s="38">
        <v>1496.5072523523465</v>
      </c>
      <c r="J58" s="38">
        <v>3872.2687107619936</v>
      </c>
      <c r="K58" s="38">
        <v>4745.5249205986702</v>
      </c>
      <c r="M58" s="4" t="str">
        <f t="shared" si="6"/>
        <v>$million</v>
      </c>
    </row>
    <row r="59" spans="1:13" s="4" customFormat="1" x14ac:dyDescent="0.25">
      <c r="A59" t="str">
        <v>LA Economic</v>
      </c>
      <c r="B59" s="38">
        <v>0</v>
      </c>
      <c r="C59" s="38">
        <v>85.433067959056658</v>
      </c>
      <c r="D59" s="38">
        <v>239.48469755695953</v>
      </c>
      <c r="E59" s="38">
        <v>490.55960395989268</v>
      </c>
      <c r="F59" s="38">
        <v>645.59737005534839</v>
      </c>
      <c r="G59" s="38">
        <v>827.85056165468472</v>
      </c>
      <c r="H59" s="38">
        <v>1241.0673507389763</v>
      </c>
      <c r="I59" s="38">
        <v>1710.2940026883964</v>
      </c>
      <c r="J59" s="38">
        <v>4425.4499551565659</v>
      </c>
      <c r="K59" s="38">
        <v>5423.4570521127671</v>
      </c>
      <c r="M59" s="4" t="str">
        <f t="shared" si="6"/>
        <v>$million</v>
      </c>
    </row>
    <row r="60" spans="1:13" ht="13.5" thickBot="1" x14ac:dyDescent="0.35">
      <c r="A60" s="2" t="str">
        <f>"Global "&amp;I_1_NAME</f>
        <v>Global Economic</v>
      </c>
      <c r="B60" s="56">
        <f>SUM(B52:B59)</f>
        <v>1522.5429266447986</v>
      </c>
      <c r="C60" s="56">
        <f t="shared" ref="C60:K60" si="7">SUM(C52:C59)</f>
        <v>4240.6213844060258</v>
      </c>
      <c r="D60" s="56">
        <f t="shared" si="7"/>
        <v>5891.1371576266019</v>
      </c>
      <c r="E60" s="56">
        <f t="shared" si="7"/>
        <v>8149.7165304024984</v>
      </c>
      <c r="F60" s="56">
        <f t="shared" si="7"/>
        <v>9931.4309618625539</v>
      </c>
      <c r="G60" s="56">
        <f t="shared" si="7"/>
        <v>11953.483963952034</v>
      </c>
      <c r="H60" s="56">
        <f t="shared" si="7"/>
        <v>16542.911228999208</v>
      </c>
      <c r="I60" s="56">
        <f t="shared" si="7"/>
        <v>21846.85625984356</v>
      </c>
      <c r="J60" s="56">
        <f t="shared" si="7"/>
        <v>56529.560943009077</v>
      </c>
      <c r="K60" s="56">
        <f t="shared" si="7"/>
        <v>69277.847237197944</v>
      </c>
      <c r="L60" s="1"/>
      <c r="M60" s="4" t="str">
        <f t="shared" si="6"/>
        <v>$million</v>
      </c>
    </row>
    <row r="61" spans="1:13" s="2" customFormat="1" ht="15.5" thickTop="1" x14ac:dyDescent="0.4">
      <c r="A61" s="2" t="s">
        <v>436</v>
      </c>
      <c r="B61" s="2" t="s">
        <v>440</v>
      </c>
    </row>
    <row r="62" spans="1:13" x14ac:dyDescent="0.25">
      <c r="A62" t="str">
        <f t="array" ref="A62:A69">R_CODE&amp;" "&amp;I_1_NAME</f>
        <v>EU Economic</v>
      </c>
      <c r="B62" s="37">
        <f t="array" ref="B62:K69">imp_1_b*CI_1*GDP/100*impmax_1_b*AUTOFAC</f>
        <v>0</v>
      </c>
      <c r="C62" s="37">
        <v>16733.146281445956</v>
      </c>
      <c r="D62" s="37">
        <v>38598.446740977597</v>
      </c>
      <c r="E62" s="37">
        <v>42988.198010304695</v>
      </c>
      <c r="F62" s="37">
        <v>46956.301557172243</v>
      </c>
      <c r="G62" s="37">
        <v>50927.987302725465</v>
      </c>
      <c r="H62" s="37">
        <v>59716.417046411058</v>
      </c>
      <c r="I62" s="37">
        <v>71001.290634469347</v>
      </c>
      <c r="J62" s="37">
        <v>183718.50568408851</v>
      </c>
      <c r="K62" s="37">
        <v>225149.85715633034</v>
      </c>
      <c r="M62" s="4" t="str">
        <f t="shared" ref="M62:M70" si="8">CURRENCY_NAME</f>
        <v>$million</v>
      </c>
    </row>
    <row r="63" spans="1:13" x14ac:dyDescent="0.25">
      <c r="A63" t="str">
        <v>US Economic</v>
      </c>
      <c r="B63" s="38">
        <v>0</v>
      </c>
      <c r="C63" s="38">
        <v>14106.327641757269</v>
      </c>
      <c r="D63" s="38">
        <v>33119.964385798135</v>
      </c>
      <c r="E63" s="38">
        <v>38464.783038893234</v>
      </c>
      <c r="F63" s="38">
        <v>43906.740322599631</v>
      </c>
      <c r="G63" s="38">
        <v>49507.08409341178</v>
      </c>
      <c r="H63" s="38">
        <v>62521.636571084469</v>
      </c>
      <c r="I63" s="38">
        <v>77896.663338809158</v>
      </c>
      <c r="J63" s="38">
        <v>201560.54148450762</v>
      </c>
      <c r="K63" s="38">
        <v>247015.54671702225</v>
      </c>
      <c r="M63" s="4" t="str">
        <f t="shared" si="8"/>
        <v>$million</v>
      </c>
    </row>
    <row r="64" spans="1:13" x14ac:dyDescent="0.25">
      <c r="A64" t="str">
        <v>OT Economic</v>
      </c>
      <c r="B64" s="38">
        <v>0</v>
      </c>
      <c r="C64" s="38">
        <v>6590.5509549585013</v>
      </c>
      <c r="D64" s="38">
        <v>18474.533806258445</v>
      </c>
      <c r="E64" s="38">
        <v>25228.779625014842</v>
      </c>
      <c r="F64" s="38">
        <v>33202.150450503032</v>
      </c>
      <c r="G64" s="38">
        <v>42575.17173007661</v>
      </c>
      <c r="H64" s="38">
        <v>63826.32087691129</v>
      </c>
      <c r="I64" s="38">
        <v>87957.977255986698</v>
      </c>
      <c r="J64" s="38">
        <v>227594.56905731076</v>
      </c>
      <c r="K64" s="38">
        <v>278920.64831467939</v>
      </c>
      <c r="M64" s="4" t="str">
        <f t="shared" si="8"/>
        <v>$million</v>
      </c>
    </row>
    <row r="65" spans="1:13" x14ac:dyDescent="0.25">
      <c r="A65" t="str">
        <v>EE Economic</v>
      </c>
      <c r="B65" s="38">
        <v>0</v>
      </c>
      <c r="C65" s="38">
        <v>1318.1101909916997</v>
      </c>
      <c r="D65" s="38">
        <v>3694.9067612516887</v>
      </c>
      <c r="E65" s="38">
        <v>5045.7559250029663</v>
      </c>
      <c r="F65" s="38">
        <v>6640.4300901006054</v>
      </c>
      <c r="G65" s="38">
        <v>8515.0343460153181</v>
      </c>
      <c r="H65" s="38">
        <v>12765.264175382255</v>
      </c>
      <c r="I65" s="38">
        <v>17591.595451197332</v>
      </c>
      <c r="J65" s="38">
        <v>45518.913811462124</v>
      </c>
      <c r="K65" s="38">
        <v>55784.129662935855</v>
      </c>
      <c r="M65" s="4" t="str">
        <f t="shared" si="8"/>
        <v>$million</v>
      </c>
    </row>
    <row r="66" spans="1:13" x14ac:dyDescent="0.25">
      <c r="A66" t="str">
        <v>CA Economic</v>
      </c>
      <c r="B66" s="38">
        <v>0</v>
      </c>
      <c r="C66" s="38">
        <v>1757.4802546556</v>
      </c>
      <c r="D66" s="38">
        <v>4926.5423483355853</v>
      </c>
      <c r="E66" s="38">
        <v>10091.511850005933</v>
      </c>
      <c r="F66" s="38">
        <v>13280.860180201211</v>
      </c>
      <c r="G66" s="38">
        <v>17030.068692030636</v>
      </c>
      <c r="H66" s="38">
        <v>25530.528350764511</v>
      </c>
      <c r="I66" s="38">
        <v>35183.190902394665</v>
      </c>
      <c r="J66" s="38">
        <v>91037.827622924247</v>
      </c>
      <c r="K66" s="38">
        <v>111568.25932587171</v>
      </c>
      <c r="M66" s="4" t="str">
        <f t="shared" si="8"/>
        <v>$million</v>
      </c>
    </row>
    <row r="67" spans="1:13" x14ac:dyDescent="0.25">
      <c r="A67" t="str">
        <v>IA Economic</v>
      </c>
      <c r="B67" s="38">
        <v>0</v>
      </c>
      <c r="C67" s="38">
        <v>1464.5668788796665</v>
      </c>
      <c r="D67" s="38">
        <v>4105.4519569463209</v>
      </c>
      <c r="E67" s="38">
        <v>8409.5932083382777</v>
      </c>
      <c r="F67" s="38">
        <v>11067.383483501008</v>
      </c>
      <c r="G67" s="38">
        <v>14191.72391002553</v>
      </c>
      <c r="H67" s="38">
        <v>21275.440292303756</v>
      </c>
      <c r="I67" s="38">
        <v>29319.325751995559</v>
      </c>
      <c r="J67" s="38">
        <v>75864.85635243688</v>
      </c>
      <c r="K67" s="38">
        <v>92973.549438226386</v>
      </c>
      <c r="M67" s="4" t="str">
        <f t="shared" si="8"/>
        <v>$million</v>
      </c>
    </row>
    <row r="68" spans="1:13" x14ac:dyDescent="0.25">
      <c r="A68" t="str">
        <v>AF Economic</v>
      </c>
      <c r="B68" s="38">
        <v>0</v>
      </c>
      <c r="C68" s="38">
        <v>768.89761141182487</v>
      </c>
      <c r="D68" s="38">
        <v>2155.3622773968182</v>
      </c>
      <c r="E68" s="38">
        <v>4415.0364343775955</v>
      </c>
      <c r="F68" s="38">
        <v>5810.3763288380287</v>
      </c>
      <c r="G68" s="38">
        <v>7450.6550527634026</v>
      </c>
      <c r="H68" s="38">
        <v>11169.60615345947</v>
      </c>
      <c r="I68" s="38">
        <v>15392.646019797663</v>
      </c>
      <c r="J68" s="38">
        <v>39829.049585029352</v>
      </c>
      <c r="K68" s="38">
        <v>48811.113455068851</v>
      </c>
      <c r="M68" s="4" t="str">
        <f t="shared" si="8"/>
        <v>$million</v>
      </c>
    </row>
    <row r="69" spans="1:13" x14ac:dyDescent="0.25">
      <c r="A69" t="str">
        <v>LA Economic</v>
      </c>
      <c r="B69" s="38">
        <v>0</v>
      </c>
      <c r="C69" s="38">
        <v>878.74012732779977</v>
      </c>
      <c r="D69" s="38">
        <v>2463.2711741677917</v>
      </c>
      <c r="E69" s="38">
        <v>5045.7559250029663</v>
      </c>
      <c r="F69" s="38">
        <v>6640.4300901006036</v>
      </c>
      <c r="G69" s="38">
        <v>8515.0343460153163</v>
      </c>
      <c r="H69" s="38">
        <v>12765.264175382252</v>
      </c>
      <c r="I69" s="38">
        <v>17591.595451197329</v>
      </c>
      <c r="J69" s="38">
        <v>45518.913811462124</v>
      </c>
      <c r="K69" s="38">
        <v>55784.129662935855</v>
      </c>
      <c r="M69" s="4" t="str">
        <f t="shared" si="8"/>
        <v>$million</v>
      </c>
    </row>
    <row r="70" spans="1:13" ht="13.5" thickBot="1" x14ac:dyDescent="0.35">
      <c r="A70" s="2" t="str">
        <f>"Global "&amp;I_1_NAME</f>
        <v>Global Economic</v>
      </c>
      <c r="B70" s="56">
        <f t="shared" ref="B70:K70" si="9">SUM(B62:B69)</f>
        <v>0</v>
      </c>
      <c r="C70" s="56">
        <f t="shared" si="9"/>
        <v>43617.819941428323</v>
      </c>
      <c r="D70" s="56">
        <f t="shared" si="9"/>
        <v>107538.47945113239</v>
      </c>
      <c r="E70" s="56">
        <f t="shared" si="9"/>
        <v>139689.41401694051</v>
      </c>
      <c r="F70" s="56">
        <f t="shared" si="9"/>
        <v>167504.67250301634</v>
      </c>
      <c r="G70" s="56">
        <f t="shared" si="9"/>
        <v>198712.75947306404</v>
      </c>
      <c r="H70" s="56">
        <f t="shared" si="9"/>
        <v>269570.47764169908</v>
      </c>
      <c r="I70" s="56">
        <f t="shared" si="9"/>
        <v>351934.2848058478</v>
      </c>
      <c r="J70" s="56">
        <f t="shared" si="9"/>
        <v>910643.17740922165</v>
      </c>
      <c r="K70" s="56">
        <f t="shared" si="9"/>
        <v>1116007.2337330705</v>
      </c>
      <c r="L70" s="1"/>
      <c r="M70" s="4" t="str">
        <f t="shared" si="8"/>
        <v>$million</v>
      </c>
    </row>
    <row r="71" spans="1:13" ht="15.5" thickTop="1" x14ac:dyDescent="0.4">
      <c r="A71" s="65" t="s">
        <v>145</v>
      </c>
      <c r="B71" s="2" t="s">
        <v>125</v>
      </c>
      <c r="C71" s="58"/>
      <c r="D71" s="58"/>
      <c r="E71" s="58"/>
      <c r="F71" s="58"/>
      <c r="G71" s="58"/>
      <c r="H71" s="58"/>
      <c r="I71" s="58"/>
      <c r="J71" s="58"/>
      <c r="K71" s="58"/>
      <c r="L71" s="1"/>
      <c r="M71" s="1"/>
    </row>
    <row r="72" spans="1:13" x14ac:dyDescent="0.25">
      <c r="A72" t="str">
        <f t="array" ref="A72:A79">R_CODE&amp;" "&amp;I_1_NAME</f>
        <v>EU Economic</v>
      </c>
      <c r="B72" s="38">
        <f t="array" ref="B72:K79">acp_1_b+aci_1_b</f>
        <v>686.61330406607351</v>
      </c>
      <c r="C72" s="38">
        <v>18359.979948162454</v>
      </c>
      <c r="D72" s="38">
        <v>40474.760124755652</v>
      </c>
      <c r="E72" s="38">
        <v>45077.902080847118</v>
      </c>
      <c r="F72" s="38">
        <v>49238.89955018695</v>
      </c>
      <c r="G72" s="38">
        <v>53403.653352870839</v>
      </c>
      <c r="H72" s="38">
        <v>62619.298431440991</v>
      </c>
      <c r="I72" s="38">
        <v>74452.742263519962</v>
      </c>
      <c r="J72" s="38">
        <v>192649.26637961669</v>
      </c>
      <c r="K72" s="38">
        <v>236094.6418823346</v>
      </c>
      <c r="L72" s="1"/>
      <c r="M72" s="4" t="str">
        <f t="shared" ref="M72:M80" si="10">CURRENCY_NAME</f>
        <v>$million</v>
      </c>
    </row>
    <row r="73" spans="1:13" x14ac:dyDescent="0.25">
      <c r="A73" t="str">
        <v>US Economic</v>
      </c>
      <c r="B73" s="38">
        <v>566.46391758409152</v>
      </c>
      <c r="C73" s="38">
        <v>15477.776162875512</v>
      </c>
      <c r="D73" s="38">
        <v>34729.962655012212</v>
      </c>
      <c r="E73" s="38">
        <v>40334.598881595892</v>
      </c>
      <c r="F73" s="38">
        <v>46041.095755558039</v>
      </c>
      <c r="G73" s="38">
        <v>51913.67845975134</v>
      </c>
      <c r="H73" s="38">
        <v>65560.882794158315</v>
      </c>
      <c r="I73" s="38">
        <v>81683.306696638727</v>
      </c>
      <c r="J73" s="38">
        <v>211358.6233650262</v>
      </c>
      <c r="K73" s="38">
        <v>259023.24690808606</v>
      </c>
      <c r="L73" s="1"/>
      <c r="M73" s="4" t="str">
        <f t="shared" si="10"/>
        <v>$million</v>
      </c>
    </row>
    <row r="74" spans="1:13" x14ac:dyDescent="0.25">
      <c r="A74" t="str">
        <v>OT Economic</v>
      </c>
      <c r="B74" s="38">
        <v>224.55475416219468</v>
      </c>
      <c r="C74" s="38">
        <v>7231.2989646514261</v>
      </c>
      <c r="D74" s="38">
        <v>19372.601422097043</v>
      </c>
      <c r="E74" s="38">
        <v>26455.178634914573</v>
      </c>
      <c r="F74" s="38">
        <v>34816.143875641406</v>
      </c>
      <c r="G74" s="38">
        <v>44644.798134213321</v>
      </c>
      <c r="H74" s="38">
        <v>66928.989253758729</v>
      </c>
      <c r="I74" s="38">
        <v>92233.71226270769</v>
      </c>
      <c r="J74" s="38">
        <v>238658.19394520219</v>
      </c>
      <c r="K74" s="38">
        <v>292479.29094496131</v>
      </c>
      <c r="L74" s="1"/>
      <c r="M74" s="4" t="str">
        <f t="shared" si="10"/>
        <v>$million</v>
      </c>
    </row>
    <row r="75" spans="1:13" x14ac:dyDescent="0.25">
      <c r="A75" t="str">
        <v>EE Economic</v>
      </c>
      <c r="B75" s="38">
        <v>44.910950832438935</v>
      </c>
      <c r="C75" s="38">
        <v>1446.2597929302847</v>
      </c>
      <c r="D75" s="38">
        <v>3874.5202844194087</v>
      </c>
      <c r="E75" s="38">
        <v>5291.0357269829128</v>
      </c>
      <c r="F75" s="38">
        <v>6963.2287751282802</v>
      </c>
      <c r="G75" s="38">
        <v>8928.9596268426612</v>
      </c>
      <c r="H75" s="38">
        <v>13385.797850751744</v>
      </c>
      <c r="I75" s="38">
        <v>18446.74245254153</v>
      </c>
      <c r="J75" s="38">
        <v>47731.638789040408</v>
      </c>
      <c r="K75" s="38">
        <v>58495.858188992235</v>
      </c>
      <c r="L75" s="1"/>
      <c r="M75" s="4" t="str">
        <f t="shared" si="10"/>
        <v>$million</v>
      </c>
    </row>
    <row r="76" spans="1:13" x14ac:dyDescent="0.25">
      <c r="A76" t="str">
        <v>CA Economic</v>
      </c>
      <c r="B76" s="38">
        <v>0</v>
      </c>
      <c r="C76" s="38">
        <v>1928.3463905737133</v>
      </c>
      <c r="D76" s="38">
        <v>5405.5117434495041</v>
      </c>
      <c r="E76" s="38">
        <v>11072.631057925719</v>
      </c>
      <c r="F76" s="38">
        <v>14572.054920311908</v>
      </c>
      <c r="G76" s="38">
        <v>18685.769815340005</v>
      </c>
      <c r="H76" s="38">
        <v>28012.663052242464</v>
      </c>
      <c r="I76" s="38">
        <v>38603.778907771455</v>
      </c>
      <c r="J76" s="38">
        <v>99888.727533237383</v>
      </c>
      <c r="K76" s="38">
        <v>122415.17343009725</v>
      </c>
      <c r="L76" s="1"/>
      <c r="M76" s="4" t="str">
        <f t="shared" si="10"/>
        <v>$million</v>
      </c>
    </row>
    <row r="77" spans="1:13" x14ac:dyDescent="0.25">
      <c r="A77" t="str">
        <v>IA Economic</v>
      </c>
      <c r="B77" s="38">
        <v>0</v>
      </c>
      <c r="C77" s="38">
        <v>1606.9553254780944</v>
      </c>
      <c r="D77" s="38">
        <v>4504.5931195412531</v>
      </c>
      <c r="E77" s="38">
        <v>9227.1925482714323</v>
      </c>
      <c r="F77" s="38">
        <v>12143.379100259921</v>
      </c>
      <c r="G77" s="38">
        <v>15571.474846116671</v>
      </c>
      <c r="H77" s="38">
        <v>23343.885876868717</v>
      </c>
      <c r="I77" s="38">
        <v>32169.815756476219</v>
      </c>
      <c r="J77" s="38">
        <v>83240.606277697821</v>
      </c>
      <c r="K77" s="38">
        <v>102012.64452508099</v>
      </c>
      <c r="L77" s="1"/>
      <c r="M77" s="4" t="str">
        <f t="shared" si="10"/>
        <v>$million</v>
      </c>
    </row>
    <row r="78" spans="1:13" x14ac:dyDescent="0.25">
      <c r="A78" t="str">
        <v>AF Economic</v>
      </c>
      <c r="B78" s="38">
        <v>0</v>
      </c>
      <c r="C78" s="38">
        <v>843.65154587599943</v>
      </c>
      <c r="D78" s="38">
        <v>2364.9113877591576</v>
      </c>
      <c r="E78" s="38">
        <v>4844.2760878425015</v>
      </c>
      <c r="F78" s="38">
        <v>6375.2740276364584</v>
      </c>
      <c r="G78" s="38">
        <v>8175.0242942112518</v>
      </c>
      <c r="H78" s="38">
        <v>12255.540085356075</v>
      </c>
      <c r="I78" s="38">
        <v>16889.153272150008</v>
      </c>
      <c r="J78" s="38">
        <v>43701.318295791345</v>
      </c>
      <c r="K78" s="38">
        <v>53556.63837566752</v>
      </c>
      <c r="L78" s="1"/>
      <c r="M78" s="4" t="str">
        <f t="shared" si="10"/>
        <v>$million</v>
      </c>
    </row>
    <row r="79" spans="1:13" x14ac:dyDescent="0.25">
      <c r="A79" t="str">
        <v>LA Economic</v>
      </c>
      <c r="B79" s="38">
        <v>0</v>
      </c>
      <c r="C79" s="38">
        <v>964.17319528685641</v>
      </c>
      <c r="D79" s="38">
        <v>2702.7558717247512</v>
      </c>
      <c r="E79" s="38">
        <v>5536.3155289628594</v>
      </c>
      <c r="F79" s="38">
        <v>7286.0274601559522</v>
      </c>
      <c r="G79" s="38">
        <v>9342.8849076700008</v>
      </c>
      <c r="H79" s="38">
        <v>14006.331526121228</v>
      </c>
      <c r="I79" s="38">
        <v>19301.889453885724</v>
      </c>
      <c r="J79" s="38">
        <v>49944.363766618691</v>
      </c>
      <c r="K79" s="38">
        <v>61207.586715048623</v>
      </c>
      <c r="L79" s="1"/>
      <c r="M79" s="4" t="str">
        <f t="shared" si="10"/>
        <v>$million</v>
      </c>
    </row>
    <row r="80" spans="1:13" ht="13.5" thickBot="1" x14ac:dyDescent="0.35">
      <c r="A80" s="2" t="str">
        <f>"Global "&amp;I_1_NAME</f>
        <v>Global Economic</v>
      </c>
      <c r="B80" s="56">
        <f t="shared" ref="B80:K80" si="11">SUM(B72:B79)</f>
        <v>1522.5429266447986</v>
      </c>
      <c r="C80" s="56">
        <f t="shared" si="11"/>
        <v>47858.441325834341</v>
      </c>
      <c r="D80" s="56">
        <f t="shared" si="11"/>
        <v>113429.61660875898</v>
      </c>
      <c r="E80" s="56">
        <f t="shared" si="11"/>
        <v>147839.130547343</v>
      </c>
      <c r="F80" s="56">
        <f t="shared" si="11"/>
        <v>177436.10346487889</v>
      </c>
      <c r="G80" s="56">
        <f t="shared" si="11"/>
        <v>210666.24343701606</v>
      </c>
      <c r="H80" s="56">
        <f t="shared" si="11"/>
        <v>286113.38887069828</v>
      </c>
      <c r="I80" s="56">
        <f t="shared" si="11"/>
        <v>373781.14106569131</v>
      </c>
      <c r="J80" s="56">
        <f t="shared" si="11"/>
        <v>967172.73835223075</v>
      </c>
      <c r="K80" s="56">
        <f t="shared" si="11"/>
        <v>1185285.0809702687</v>
      </c>
      <c r="L80" s="1"/>
      <c r="M80" s="4" t="str">
        <f t="shared" si="10"/>
        <v>$million</v>
      </c>
    </row>
    <row r="81" spans="1:13" s="2" customFormat="1" ht="15.5" thickTop="1" x14ac:dyDescent="0.4">
      <c r="A81" s="2" t="s">
        <v>434</v>
      </c>
      <c r="B81" s="2" t="s">
        <v>441</v>
      </c>
    </row>
    <row r="82" spans="1:13" s="4" customFormat="1" x14ac:dyDescent="0.25">
      <c r="A82" t="str">
        <f t="array" ref="A82:A89">R_CODE&amp;" "&amp;I_2_NAME</f>
        <v>EU Non-econ</v>
      </c>
      <c r="B82" s="37">
        <f t="array" ref="B82:K89">atl_2_b*CP_2*GDP/100*AUTOFAC</f>
        <v>0</v>
      </c>
      <c r="C82" s="37">
        <v>0</v>
      </c>
      <c r="D82" s="37">
        <v>0</v>
      </c>
      <c r="E82" s="37">
        <v>0</v>
      </c>
      <c r="F82" s="37">
        <v>0</v>
      </c>
      <c r="G82" s="37">
        <v>0</v>
      </c>
      <c r="H82" s="37">
        <v>0</v>
      </c>
      <c r="I82" s="37">
        <v>0</v>
      </c>
      <c r="J82" s="37">
        <v>0</v>
      </c>
      <c r="K82" s="37">
        <v>0</v>
      </c>
      <c r="M82" s="4" t="str">
        <f t="shared" ref="M82:M90" si="12">CURRENCY_NAME</f>
        <v>$million</v>
      </c>
    </row>
    <row r="83" spans="1:13" s="4" customFormat="1" x14ac:dyDescent="0.25">
      <c r="A83" t="str">
        <v>US Non-econ</v>
      </c>
      <c r="B83" s="38">
        <v>0</v>
      </c>
      <c r="C83" s="38">
        <v>0</v>
      </c>
      <c r="D83" s="38">
        <v>0</v>
      </c>
      <c r="E83" s="38">
        <v>0</v>
      </c>
      <c r="F83" s="38">
        <v>0</v>
      </c>
      <c r="G83" s="38">
        <v>0</v>
      </c>
      <c r="H83" s="38">
        <v>0</v>
      </c>
      <c r="I83" s="38">
        <v>0</v>
      </c>
      <c r="J83" s="38">
        <v>0</v>
      </c>
      <c r="K83" s="38">
        <v>0</v>
      </c>
      <c r="M83" s="4" t="str">
        <f t="shared" si="12"/>
        <v>$million</v>
      </c>
    </row>
    <row r="84" spans="1:13" s="4" customFormat="1" x14ac:dyDescent="0.25">
      <c r="A84" t="str">
        <v>OT Non-econ</v>
      </c>
      <c r="B84" s="38">
        <v>0</v>
      </c>
      <c r="C84" s="38">
        <v>0</v>
      </c>
      <c r="D84" s="38">
        <v>0</v>
      </c>
      <c r="E84" s="38">
        <v>0</v>
      </c>
      <c r="F84" s="38">
        <v>0</v>
      </c>
      <c r="G84" s="38">
        <v>0</v>
      </c>
      <c r="H84" s="38">
        <v>0</v>
      </c>
      <c r="I84" s="38">
        <v>0</v>
      </c>
      <c r="J84" s="38">
        <v>0</v>
      </c>
      <c r="K84" s="38">
        <v>0</v>
      </c>
      <c r="M84" s="4" t="str">
        <f t="shared" si="12"/>
        <v>$million</v>
      </c>
    </row>
    <row r="85" spans="1:13" s="4" customFormat="1" x14ac:dyDescent="0.25">
      <c r="A85" t="str">
        <v>EE Non-econ</v>
      </c>
      <c r="B85" s="38">
        <v>0</v>
      </c>
      <c r="C85" s="38">
        <v>0</v>
      </c>
      <c r="D85" s="38">
        <v>0</v>
      </c>
      <c r="E85" s="38">
        <v>0</v>
      </c>
      <c r="F85" s="38">
        <v>0</v>
      </c>
      <c r="G85" s="38">
        <v>0</v>
      </c>
      <c r="H85" s="38">
        <v>0</v>
      </c>
      <c r="I85" s="38">
        <v>0</v>
      </c>
      <c r="J85" s="38">
        <v>0</v>
      </c>
      <c r="K85" s="38">
        <v>0</v>
      </c>
      <c r="M85" s="4" t="str">
        <f t="shared" si="12"/>
        <v>$million</v>
      </c>
    </row>
    <row r="86" spans="1:13" s="4" customFormat="1" x14ac:dyDescent="0.25">
      <c r="A86" t="str">
        <v>CA Non-econ</v>
      </c>
      <c r="B86" s="38">
        <v>0</v>
      </c>
      <c r="C86" s="38">
        <v>0</v>
      </c>
      <c r="D86" s="38">
        <v>0</v>
      </c>
      <c r="E86" s="38">
        <v>0</v>
      </c>
      <c r="F86" s="38">
        <v>0</v>
      </c>
      <c r="G86" s="38">
        <v>0</v>
      </c>
      <c r="H86" s="38">
        <v>0</v>
      </c>
      <c r="I86" s="38">
        <v>0</v>
      </c>
      <c r="J86" s="38">
        <v>0</v>
      </c>
      <c r="K86" s="38">
        <v>0</v>
      </c>
      <c r="M86" s="4" t="str">
        <f t="shared" si="12"/>
        <v>$million</v>
      </c>
    </row>
    <row r="87" spans="1:13" s="4" customFormat="1" x14ac:dyDescent="0.25">
      <c r="A87" t="str">
        <v>IA Non-econ</v>
      </c>
      <c r="B87" s="38">
        <v>0</v>
      </c>
      <c r="C87" s="38">
        <v>0</v>
      </c>
      <c r="D87" s="38">
        <v>0</v>
      </c>
      <c r="E87" s="38">
        <v>0</v>
      </c>
      <c r="F87" s="38">
        <v>0</v>
      </c>
      <c r="G87" s="38">
        <v>0</v>
      </c>
      <c r="H87" s="38">
        <v>0</v>
      </c>
      <c r="I87" s="38">
        <v>0</v>
      </c>
      <c r="J87" s="38">
        <v>0</v>
      </c>
      <c r="K87" s="38">
        <v>0</v>
      </c>
      <c r="M87" s="4" t="str">
        <f t="shared" si="12"/>
        <v>$million</v>
      </c>
    </row>
    <row r="88" spans="1:13" s="4" customFormat="1" x14ac:dyDescent="0.25">
      <c r="A88" t="str">
        <v>AF Non-econ</v>
      </c>
      <c r="B88" s="38">
        <v>0</v>
      </c>
      <c r="C88" s="38">
        <v>0</v>
      </c>
      <c r="D88" s="38">
        <v>0</v>
      </c>
      <c r="E88" s="38">
        <v>0</v>
      </c>
      <c r="F88" s="38">
        <v>0</v>
      </c>
      <c r="G88" s="38">
        <v>0</v>
      </c>
      <c r="H88" s="38">
        <v>0</v>
      </c>
      <c r="I88" s="38">
        <v>0</v>
      </c>
      <c r="J88" s="38">
        <v>0</v>
      </c>
      <c r="K88" s="38">
        <v>0</v>
      </c>
      <c r="M88" s="4" t="str">
        <f t="shared" si="12"/>
        <v>$million</v>
      </c>
    </row>
    <row r="89" spans="1:13" s="4" customFormat="1" x14ac:dyDescent="0.25">
      <c r="A89" t="str">
        <v>LA Non-econ</v>
      </c>
      <c r="B89" s="38">
        <v>0</v>
      </c>
      <c r="C89" s="38">
        <v>0</v>
      </c>
      <c r="D89" s="38">
        <v>0</v>
      </c>
      <c r="E89" s="38">
        <v>0</v>
      </c>
      <c r="F89" s="38">
        <v>0</v>
      </c>
      <c r="G89" s="38">
        <v>0</v>
      </c>
      <c r="H89" s="38">
        <v>0</v>
      </c>
      <c r="I89" s="38">
        <v>0</v>
      </c>
      <c r="J89" s="38">
        <v>0</v>
      </c>
      <c r="K89" s="38">
        <v>0</v>
      </c>
      <c r="M89" s="4" t="str">
        <f t="shared" si="12"/>
        <v>$million</v>
      </c>
    </row>
    <row r="90" spans="1:13" ht="13.5" thickBot="1" x14ac:dyDescent="0.35">
      <c r="A90" s="2" t="str">
        <f>"Global "&amp;I_2_NAME</f>
        <v>Global Non-econ</v>
      </c>
      <c r="B90" s="56">
        <f>SUM(B82:B89)</f>
        <v>0</v>
      </c>
      <c r="C90" s="56">
        <f t="shared" ref="C90:K90" si="13">SUM(C82:C89)</f>
        <v>0</v>
      </c>
      <c r="D90" s="56">
        <f t="shared" si="13"/>
        <v>0</v>
      </c>
      <c r="E90" s="56">
        <f t="shared" si="13"/>
        <v>0</v>
      </c>
      <c r="F90" s="56">
        <f t="shared" si="13"/>
        <v>0</v>
      </c>
      <c r="G90" s="56">
        <f t="shared" si="13"/>
        <v>0</v>
      </c>
      <c r="H90" s="56">
        <f t="shared" si="13"/>
        <v>0</v>
      </c>
      <c r="I90" s="56">
        <f t="shared" si="13"/>
        <v>0</v>
      </c>
      <c r="J90" s="56">
        <f t="shared" si="13"/>
        <v>0</v>
      </c>
      <c r="K90" s="56">
        <f t="shared" si="13"/>
        <v>0</v>
      </c>
      <c r="L90" s="1"/>
      <c r="M90" s="4" t="str">
        <f t="shared" si="12"/>
        <v>$million</v>
      </c>
    </row>
    <row r="91" spans="1:13" s="2" customFormat="1" ht="15.5" thickTop="1" x14ac:dyDescent="0.4">
      <c r="A91" s="2" t="s">
        <v>436</v>
      </c>
      <c r="B91" s="2" t="s">
        <v>442</v>
      </c>
    </row>
    <row r="92" spans="1:13" x14ac:dyDescent="0.25">
      <c r="A92" t="str">
        <f t="array" ref="A92:A99">R_CODE&amp;" "&amp;I_2_NAME</f>
        <v>EU Non-econ</v>
      </c>
      <c r="B92" s="37">
        <f t="array" ref="B92:K99">imp_2_b*CI_2*GDP/100*impmax_2_b*AUTOFAC</f>
        <v>0</v>
      </c>
      <c r="C92" s="37">
        <v>5926.3226416940497</v>
      </c>
      <c r="D92" s="37">
        <v>13670.283221567035</v>
      </c>
      <c r="E92" s="37">
        <v>22837.480194317752</v>
      </c>
      <c r="F92" s="37">
        <v>33260.713604953518</v>
      </c>
      <c r="G92" s="37">
        <v>36073.991008219215</v>
      </c>
      <c r="H92" s="37">
        <v>42299.128743696019</v>
      </c>
      <c r="I92" s="37">
        <v>50292.580869040838</v>
      </c>
      <c r="J92" s="37">
        <v>130133.94153388432</v>
      </c>
      <c r="K92" s="37">
        <v>159481.14882844861</v>
      </c>
      <c r="M92" s="4" t="str">
        <f t="shared" ref="M92:M100" si="14">CURRENCY_NAME</f>
        <v>$million</v>
      </c>
    </row>
    <row r="93" spans="1:13" x14ac:dyDescent="0.25">
      <c r="A93" t="str">
        <v>US Non-econ</v>
      </c>
      <c r="B93" s="38">
        <v>0</v>
      </c>
      <c r="C93" s="38">
        <v>4995.9910400829158</v>
      </c>
      <c r="D93" s="38">
        <v>11729.987387326841</v>
      </c>
      <c r="E93" s="38">
        <v>20434.415990614059</v>
      </c>
      <c r="F93" s="38">
        <v>31100.607730337524</v>
      </c>
      <c r="G93" s="38">
        <v>35067.517901562802</v>
      </c>
      <c r="H93" s="38">
        <v>44286.159240456567</v>
      </c>
      <c r="I93" s="38">
        <v>55176.803201568859</v>
      </c>
      <c r="J93" s="38">
        <v>142772.05022659129</v>
      </c>
      <c r="K93" s="38">
        <v>174969.34560151646</v>
      </c>
      <c r="M93" s="4" t="str">
        <f t="shared" si="14"/>
        <v>$million</v>
      </c>
    </row>
    <row r="94" spans="1:13" x14ac:dyDescent="0.25">
      <c r="A94" t="str">
        <v>OT Non-econ</v>
      </c>
      <c r="B94" s="38">
        <v>0</v>
      </c>
      <c r="C94" s="38">
        <v>2334.1534633517726</v>
      </c>
      <c r="D94" s="38">
        <v>6543.0640567680884</v>
      </c>
      <c r="E94" s="38">
        <v>13402.789176577535</v>
      </c>
      <c r="F94" s="38">
        <v>23518.189903823073</v>
      </c>
      <c r="G94" s="38">
        <v>30157.413310578224</v>
      </c>
      <c r="H94" s="38">
        <v>45210.310623804937</v>
      </c>
      <c r="I94" s="38">
        <v>62303.567226655505</v>
      </c>
      <c r="J94" s="38">
        <v>161212.81975841156</v>
      </c>
      <c r="K94" s="38">
        <v>197568.79256785297</v>
      </c>
      <c r="M94" s="4" t="str">
        <f t="shared" si="14"/>
        <v>$million</v>
      </c>
    </row>
    <row r="95" spans="1:13" x14ac:dyDescent="0.25">
      <c r="A95" t="str">
        <v>EE Non-econ</v>
      </c>
      <c r="B95" s="38">
        <v>0</v>
      </c>
      <c r="C95" s="38">
        <v>466.83069267035438</v>
      </c>
      <c r="D95" s="38">
        <v>1308.6128113536172</v>
      </c>
      <c r="E95" s="38">
        <v>2680.5578353155065</v>
      </c>
      <c r="F95" s="38">
        <v>4703.6379807646135</v>
      </c>
      <c r="G95" s="38">
        <v>6031.4826621156444</v>
      </c>
      <c r="H95" s="38">
        <v>9042.0621247609834</v>
      </c>
      <c r="I95" s="38">
        <v>12460.713445331095</v>
      </c>
      <c r="J95" s="38">
        <v>32242.563951682299</v>
      </c>
      <c r="K95" s="38">
        <v>39513.758513570574</v>
      </c>
      <c r="M95" s="4" t="str">
        <f t="shared" si="14"/>
        <v>$million</v>
      </c>
    </row>
    <row r="96" spans="1:13" x14ac:dyDescent="0.25">
      <c r="A96" t="str">
        <v>CA Non-econ</v>
      </c>
      <c r="B96" s="38">
        <v>0</v>
      </c>
      <c r="C96" s="38">
        <v>1867.3227706814175</v>
      </c>
      <c r="D96" s="38">
        <v>5234.4512454144688</v>
      </c>
      <c r="E96" s="38">
        <v>10722.231341262026</v>
      </c>
      <c r="F96" s="38">
        <v>18814.551923058454</v>
      </c>
      <c r="G96" s="38">
        <v>24125.930648462578</v>
      </c>
      <c r="H96" s="38">
        <v>36168.248499043933</v>
      </c>
      <c r="I96" s="38">
        <v>49842.853781324382</v>
      </c>
      <c r="J96" s="38">
        <v>128970.2558067292</v>
      </c>
      <c r="K96" s="38">
        <v>158055.0340542823</v>
      </c>
      <c r="M96" s="4" t="str">
        <f t="shared" si="14"/>
        <v>$million</v>
      </c>
    </row>
    <row r="97" spans="1:13" x14ac:dyDescent="0.25">
      <c r="A97" t="str">
        <v>IA Non-econ</v>
      </c>
      <c r="B97" s="38">
        <v>0</v>
      </c>
      <c r="C97" s="38">
        <v>1556.1023089011815</v>
      </c>
      <c r="D97" s="38">
        <v>4362.0427045120568</v>
      </c>
      <c r="E97" s="38">
        <v>8935.1927843850208</v>
      </c>
      <c r="F97" s="38">
        <v>15678.793269215375</v>
      </c>
      <c r="G97" s="38">
        <v>20104.942207052147</v>
      </c>
      <c r="H97" s="38">
        <v>30140.20708253661</v>
      </c>
      <c r="I97" s="38">
        <v>41535.711484436986</v>
      </c>
      <c r="J97" s="38">
        <v>107475.21317227432</v>
      </c>
      <c r="K97" s="38">
        <v>131712.52837856853</v>
      </c>
      <c r="M97" s="4" t="str">
        <f t="shared" si="14"/>
        <v>$million</v>
      </c>
    </row>
    <row r="98" spans="1:13" x14ac:dyDescent="0.25">
      <c r="A98" t="str">
        <v>AF Non-econ</v>
      </c>
      <c r="B98" s="38">
        <v>0</v>
      </c>
      <c r="C98" s="38">
        <v>816.95371217312015</v>
      </c>
      <c r="D98" s="38">
        <v>2290.0724198688299</v>
      </c>
      <c r="E98" s="38">
        <v>4690.9762118021345</v>
      </c>
      <c r="F98" s="38">
        <v>8231.3664663380714</v>
      </c>
      <c r="G98" s="38">
        <v>10555.094658702375</v>
      </c>
      <c r="H98" s="38">
        <v>15823.608718331716</v>
      </c>
      <c r="I98" s="38">
        <v>21806.248529329416</v>
      </c>
      <c r="J98" s="38">
        <v>56424.486915444002</v>
      </c>
      <c r="K98" s="38">
        <v>69149.077398748486</v>
      </c>
      <c r="M98" s="4" t="str">
        <f t="shared" si="14"/>
        <v>$million</v>
      </c>
    </row>
    <row r="99" spans="1:13" x14ac:dyDescent="0.25">
      <c r="A99" t="str">
        <v>LA Non-econ</v>
      </c>
      <c r="B99" s="38">
        <v>0</v>
      </c>
      <c r="C99" s="38">
        <v>933.66138534070842</v>
      </c>
      <c r="D99" s="38">
        <v>2617.225622707233</v>
      </c>
      <c r="E99" s="38">
        <v>5361.1156706310103</v>
      </c>
      <c r="F99" s="38">
        <v>9407.2759615292234</v>
      </c>
      <c r="G99" s="38">
        <v>12062.965324231285</v>
      </c>
      <c r="H99" s="38">
        <v>18084.124249521963</v>
      </c>
      <c r="I99" s="38">
        <v>24921.426890662191</v>
      </c>
      <c r="J99" s="38">
        <v>64485.127903364591</v>
      </c>
      <c r="K99" s="38">
        <v>79027.517027141119</v>
      </c>
      <c r="M99" s="4" t="str">
        <f t="shared" si="14"/>
        <v>$million</v>
      </c>
    </row>
    <row r="100" spans="1:13" ht="13.5" thickBot="1" x14ac:dyDescent="0.35">
      <c r="A100" s="2" t="str">
        <f>"Global "&amp;I_2_NAME</f>
        <v>Global Non-econ</v>
      </c>
      <c r="B100" s="56">
        <f t="shared" ref="B100:K100" si="15">SUM(B92:B99)</f>
        <v>0</v>
      </c>
      <c r="C100" s="56">
        <f t="shared" si="15"/>
        <v>18897.338014895518</v>
      </c>
      <c r="D100" s="56">
        <f t="shared" si="15"/>
        <v>47755.739469518179</v>
      </c>
      <c r="E100" s="56">
        <f t="shared" si="15"/>
        <v>89064.759204905058</v>
      </c>
      <c r="F100" s="56">
        <f t="shared" si="15"/>
        <v>144715.13684001984</v>
      </c>
      <c r="G100" s="56">
        <f t="shared" si="15"/>
        <v>174179.33772092426</v>
      </c>
      <c r="H100" s="56">
        <f t="shared" si="15"/>
        <v>241053.84928215275</v>
      </c>
      <c r="I100" s="56">
        <f t="shared" si="15"/>
        <v>318339.90542834922</v>
      </c>
      <c r="J100" s="56">
        <f t="shared" si="15"/>
        <v>823716.45926838159</v>
      </c>
      <c r="K100" s="56">
        <f t="shared" si="15"/>
        <v>1009477.2023701291</v>
      </c>
      <c r="L100" s="1"/>
      <c r="M100" s="4" t="str">
        <f t="shared" si="14"/>
        <v>$million</v>
      </c>
    </row>
    <row r="101" spans="1:13" ht="15.5" thickTop="1" x14ac:dyDescent="0.4">
      <c r="A101" s="65" t="s">
        <v>145</v>
      </c>
      <c r="B101" s="2" t="s">
        <v>126</v>
      </c>
      <c r="C101" s="58"/>
      <c r="D101" s="58"/>
      <c r="E101" s="58"/>
      <c r="F101" s="58"/>
      <c r="G101" s="58"/>
      <c r="H101" s="58"/>
      <c r="I101" s="58"/>
      <c r="J101" s="58"/>
      <c r="K101" s="58"/>
      <c r="L101" s="1"/>
      <c r="M101" s="1"/>
    </row>
    <row r="102" spans="1:13" x14ac:dyDescent="0.25">
      <c r="A102" t="str">
        <f t="array" ref="A102:A109">R_CODE&amp;" "&amp;I_2_NAME</f>
        <v>EU Non-econ</v>
      </c>
      <c r="B102" s="38">
        <f t="array" ref="B102:K109">acp_2_b+aci_2_b</f>
        <v>0</v>
      </c>
      <c r="C102" s="38">
        <v>5926.3226416940497</v>
      </c>
      <c r="D102" s="38">
        <v>13670.283221567035</v>
      </c>
      <c r="E102" s="38">
        <v>22837.480194317752</v>
      </c>
      <c r="F102" s="38">
        <v>33260.713604953518</v>
      </c>
      <c r="G102" s="38">
        <v>36073.991008219215</v>
      </c>
      <c r="H102" s="38">
        <v>42299.128743696019</v>
      </c>
      <c r="I102" s="38">
        <v>50292.580869040838</v>
      </c>
      <c r="J102" s="38">
        <v>130133.94153388432</v>
      </c>
      <c r="K102" s="38">
        <v>159481.14882844861</v>
      </c>
      <c r="L102" s="1"/>
      <c r="M102" s="4" t="str">
        <f t="shared" ref="M102:M110" si="16">CURRENCY_NAME</f>
        <v>$million</v>
      </c>
    </row>
    <row r="103" spans="1:13" x14ac:dyDescent="0.25">
      <c r="A103" t="str">
        <v>US Non-econ</v>
      </c>
      <c r="B103" s="38">
        <v>0</v>
      </c>
      <c r="C103" s="38">
        <v>4995.9910400829158</v>
      </c>
      <c r="D103" s="38">
        <v>11729.987387326841</v>
      </c>
      <c r="E103" s="38">
        <v>20434.415990614059</v>
      </c>
      <c r="F103" s="38">
        <v>31100.607730337524</v>
      </c>
      <c r="G103" s="38">
        <v>35067.517901562802</v>
      </c>
      <c r="H103" s="38">
        <v>44286.159240456567</v>
      </c>
      <c r="I103" s="38">
        <v>55176.803201568859</v>
      </c>
      <c r="J103" s="38">
        <v>142772.05022659129</v>
      </c>
      <c r="K103" s="38">
        <v>174969.34560151646</v>
      </c>
      <c r="L103" s="1"/>
      <c r="M103" s="4" t="str">
        <f t="shared" si="16"/>
        <v>$million</v>
      </c>
    </row>
    <row r="104" spans="1:13" x14ac:dyDescent="0.25">
      <c r="A104" t="str">
        <v>OT Non-econ</v>
      </c>
      <c r="B104" s="38">
        <v>0</v>
      </c>
      <c r="C104" s="38">
        <v>2334.1534633517726</v>
      </c>
      <c r="D104" s="38">
        <v>6543.0640567680884</v>
      </c>
      <c r="E104" s="38">
        <v>13402.789176577535</v>
      </c>
      <c r="F104" s="38">
        <v>23518.189903823073</v>
      </c>
      <c r="G104" s="38">
        <v>30157.413310578224</v>
      </c>
      <c r="H104" s="38">
        <v>45210.310623804937</v>
      </c>
      <c r="I104" s="38">
        <v>62303.567226655505</v>
      </c>
      <c r="J104" s="38">
        <v>161212.81975841156</v>
      </c>
      <c r="K104" s="38">
        <v>197568.79256785297</v>
      </c>
      <c r="L104" s="1"/>
      <c r="M104" s="4" t="str">
        <f t="shared" si="16"/>
        <v>$million</v>
      </c>
    </row>
    <row r="105" spans="1:13" x14ac:dyDescent="0.25">
      <c r="A105" t="str">
        <v>EE Non-econ</v>
      </c>
      <c r="B105" s="38">
        <v>0</v>
      </c>
      <c r="C105" s="38">
        <v>466.83069267035438</v>
      </c>
      <c r="D105" s="38">
        <v>1308.6128113536172</v>
      </c>
      <c r="E105" s="38">
        <v>2680.5578353155065</v>
      </c>
      <c r="F105" s="38">
        <v>4703.6379807646135</v>
      </c>
      <c r="G105" s="38">
        <v>6031.4826621156444</v>
      </c>
      <c r="H105" s="38">
        <v>9042.0621247609834</v>
      </c>
      <c r="I105" s="38">
        <v>12460.713445331095</v>
      </c>
      <c r="J105" s="38">
        <v>32242.563951682299</v>
      </c>
      <c r="K105" s="38">
        <v>39513.758513570574</v>
      </c>
      <c r="L105" s="1"/>
      <c r="M105" s="4" t="str">
        <f t="shared" si="16"/>
        <v>$million</v>
      </c>
    </row>
    <row r="106" spans="1:13" x14ac:dyDescent="0.25">
      <c r="A106" t="str">
        <v>CA Non-econ</v>
      </c>
      <c r="B106" s="38">
        <v>0</v>
      </c>
      <c r="C106" s="38">
        <v>1867.3227706814175</v>
      </c>
      <c r="D106" s="38">
        <v>5234.4512454144688</v>
      </c>
      <c r="E106" s="38">
        <v>10722.231341262026</v>
      </c>
      <c r="F106" s="38">
        <v>18814.551923058454</v>
      </c>
      <c r="G106" s="38">
        <v>24125.930648462578</v>
      </c>
      <c r="H106" s="38">
        <v>36168.248499043933</v>
      </c>
      <c r="I106" s="38">
        <v>49842.853781324382</v>
      </c>
      <c r="J106" s="38">
        <v>128970.2558067292</v>
      </c>
      <c r="K106" s="38">
        <v>158055.0340542823</v>
      </c>
      <c r="L106" s="1"/>
      <c r="M106" s="4" t="str">
        <f t="shared" si="16"/>
        <v>$million</v>
      </c>
    </row>
    <row r="107" spans="1:13" x14ac:dyDescent="0.25">
      <c r="A107" t="str">
        <v>IA Non-econ</v>
      </c>
      <c r="B107" s="38">
        <v>0</v>
      </c>
      <c r="C107" s="38">
        <v>1556.1023089011815</v>
      </c>
      <c r="D107" s="38">
        <v>4362.0427045120568</v>
      </c>
      <c r="E107" s="38">
        <v>8935.1927843850208</v>
      </c>
      <c r="F107" s="38">
        <v>15678.793269215375</v>
      </c>
      <c r="G107" s="38">
        <v>20104.942207052147</v>
      </c>
      <c r="H107" s="38">
        <v>30140.20708253661</v>
      </c>
      <c r="I107" s="38">
        <v>41535.711484436986</v>
      </c>
      <c r="J107" s="38">
        <v>107475.21317227432</v>
      </c>
      <c r="K107" s="38">
        <v>131712.52837856853</v>
      </c>
      <c r="L107" s="1"/>
      <c r="M107" s="4" t="str">
        <f t="shared" si="16"/>
        <v>$million</v>
      </c>
    </row>
    <row r="108" spans="1:13" x14ac:dyDescent="0.25">
      <c r="A108" t="str">
        <v>AF Non-econ</v>
      </c>
      <c r="B108" s="38">
        <v>0</v>
      </c>
      <c r="C108" s="38">
        <v>816.95371217312015</v>
      </c>
      <c r="D108" s="38">
        <v>2290.0724198688299</v>
      </c>
      <c r="E108" s="38">
        <v>4690.9762118021345</v>
      </c>
      <c r="F108" s="38">
        <v>8231.3664663380714</v>
      </c>
      <c r="G108" s="38">
        <v>10555.094658702375</v>
      </c>
      <c r="H108" s="38">
        <v>15823.608718331716</v>
      </c>
      <c r="I108" s="38">
        <v>21806.248529329416</v>
      </c>
      <c r="J108" s="38">
        <v>56424.486915444002</v>
      </c>
      <c r="K108" s="38">
        <v>69149.077398748486</v>
      </c>
      <c r="L108" s="1"/>
      <c r="M108" s="4" t="str">
        <f t="shared" si="16"/>
        <v>$million</v>
      </c>
    </row>
    <row r="109" spans="1:13" x14ac:dyDescent="0.25">
      <c r="A109" t="str">
        <v>LA Non-econ</v>
      </c>
      <c r="B109" s="38">
        <v>0</v>
      </c>
      <c r="C109" s="38">
        <v>933.66138534070842</v>
      </c>
      <c r="D109" s="38">
        <v>2617.225622707233</v>
      </c>
      <c r="E109" s="38">
        <v>5361.1156706310103</v>
      </c>
      <c r="F109" s="38">
        <v>9407.2759615292234</v>
      </c>
      <c r="G109" s="38">
        <v>12062.965324231285</v>
      </c>
      <c r="H109" s="38">
        <v>18084.124249521963</v>
      </c>
      <c r="I109" s="38">
        <v>24921.426890662191</v>
      </c>
      <c r="J109" s="38">
        <v>64485.127903364591</v>
      </c>
      <c r="K109" s="38">
        <v>79027.517027141119</v>
      </c>
      <c r="L109" s="1"/>
      <c r="M109" s="4" t="str">
        <f t="shared" si="16"/>
        <v>$million</v>
      </c>
    </row>
    <row r="110" spans="1:13" ht="13.5" thickBot="1" x14ac:dyDescent="0.35">
      <c r="A110" s="2" t="str">
        <f>"Global "&amp;I_2_NAME</f>
        <v>Global Non-econ</v>
      </c>
      <c r="B110" s="56">
        <f t="shared" ref="B110:K110" si="17">SUM(B102:B109)</f>
        <v>0</v>
      </c>
      <c r="C110" s="56">
        <f t="shared" si="17"/>
        <v>18897.338014895518</v>
      </c>
      <c r="D110" s="56">
        <f t="shared" si="17"/>
        <v>47755.739469518179</v>
      </c>
      <c r="E110" s="56">
        <f t="shared" si="17"/>
        <v>89064.759204905058</v>
      </c>
      <c r="F110" s="56">
        <f t="shared" si="17"/>
        <v>144715.13684001984</v>
      </c>
      <c r="G110" s="56">
        <f t="shared" si="17"/>
        <v>174179.33772092426</v>
      </c>
      <c r="H110" s="56">
        <f t="shared" si="17"/>
        <v>241053.84928215275</v>
      </c>
      <c r="I110" s="56">
        <f t="shared" si="17"/>
        <v>318339.90542834922</v>
      </c>
      <c r="J110" s="56">
        <f t="shared" si="17"/>
        <v>823716.45926838159</v>
      </c>
      <c r="K110" s="56">
        <f t="shared" si="17"/>
        <v>1009477.2023701291</v>
      </c>
      <c r="L110" s="1"/>
      <c r="M110" s="4" t="str">
        <f t="shared" si="16"/>
        <v>$million</v>
      </c>
    </row>
    <row r="111" spans="1:13" ht="15.5" thickTop="1" x14ac:dyDescent="0.4">
      <c r="A111" s="65" t="s">
        <v>140</v>
      </c>
      <c r="B111" s="2" t="s">
        <v>444</v>
      </c>
      <c r="C111" s="58"/>
      <c r="D111" s="58"/>
      <c r="E111" s="58"/>
      <c r="F111" s="58"/>
      <c r="G111" s="58"/>
      <c r="H111" s="58"/>
      <c r="I111" s="58"/>
      <c r="J111" s="58"/>
      <c r="K111" s="58"/>
      <c r="L111" s="1"/>
      <c r="M111" s="1"/>
    </row>
    <row r="112" spans="1:13" x14ac:dyDescent="0.25">
      <c r="A112" t="str">
        <f t="array" ref="A112:A119">R_CODE</f>
        <v>EU</v>
      </c>
      <c r="B112" s="38">
        <f t="array" ref="B112:K119">ac_s_b+ac_1_b+ac_2_b</f>
        <v>1029.9199559519789</v>
      </c>
      <c r="C112" s="38">
        <v>25099.719422866146</v>
      </c>
      <c r="D112" s="38">
        <v>57428.59176753222</v>
      </c>
      <c r="E112" s="38">
        <v>74184.494486344352</v>
      </c>
      <c r="F112" s="38">
        <v>92200.654624963863</v>
      </c>
      <c r="G112" s="38">
        <v>103093.80763635912</v>
      </c>
      <c r="H112" s="38">
        <v>120884.27479217958</v>
      </c>
      <c r="I112" s="38">
        <v>143728.30709159956</v>
      </c>
      <c r="J112" s="38">
        <v>371902.39173699223</v>
      </c>
      <c r="K112" s="38">
        <v>455772.10670146125</v>
      </c>
      <c r="L112" s="1"/>
      <c r="M112" s="4" t="str">
        <f t="shared" ref="M112:M120" si="18">CURRENCY_NAME</f>
        <v>$million</v>
      </c>
    </row>
    <row r="113" spans="1:13" x14ac:dyDescent="0.25">
      <c r="A113" t="str">
        <v>US</v>
      </c>
      <c r="B113" s="38">
        <v>849.69587625475219</v>
      </c>
      <c r="C113" s="38">
        <v>21159.491463223669</v>
      </c>
      <c r="D113" s="38">
        <v>49277.447013118683</v>
      </c>
      <c r="E113" s="38">
        <v>66378.462399917233</v>
      </c>
      <c r="F113" s="38">
        <v>86212.714075511438</v>
      </c>
      <c r="G113" s="38">
        <v>100217.46537566601</v>
      </c>
      <c r="H113" s="38">
        <v>126562.89626086981</v>
      </c>
      <c r="I113" s="38">
        <v>157686.64836545876</v>
      </c>
      <c r="J113" s="38">
        <v>408020.12393237004</v>
      </c>
      <c r="K113" s="38">
        <v>500034.94355788035</v>
      </c>
      <c r="L113" s="1"/>
      <c r="M113" s="4" t="str">
        <f t="shared" si="18"/>
        <v>$million</v>
      </c>
    </row>
    <row r="114" spans="1:13" x14ac:dyDescent="0.25">
      <c r="A114" t="str">
        <v>OT</v>
      </c>
      <c r="B114" s="38">
        <v>336.83213119517313</v>
      </c>
      <c r="C114" s="38">
        <v>9885.8264327123579</v>
      </c>
      <c r="D114" s="38">
        <v>27487.283806390238</v>
      </c>
      <c r="E114" s="38">
        <v>43537.164840928504</v>
      </c>
      <c r="F114" s="38">
        <v>65193.805835956708</v>
      </c>
      <c r="G114" s="38">
        <v>86185.156667099975</v>
      </c>
      <c r="H114" s="38">
        <v>129203.97594955974</v>
      </c>
      <c r="I114" s="38">
        <v>178053.8220254124</v>
      </c>
      <c r="J114" s="38">
        <v>460720.95058464579</v>
      </c>
      <c r="K114" s="38">
        <v>564620.61797645944</v>
      </c>
      <c r="L114" s="1"/>
      <c r="M114" s="4" t="str">
        <f t="shared" si="18"/>
        <v>$million</v>
      </c>
    </row>
    <row r="115" spans="1:13" x14ac:dyDescent="0.25">
      <c r="A115" t="str">
        <v>EE</v>
      </c>
      <c r="B115" s="38">
        <v>67.366426239034624</v>
      </c>
      <c r="C115" s="38">
        <v>1977.165286542471</v>
      </c>
      <c r="D115" s="38">
        <v>5497.4567612780465</v>
      </c>
      <c r="E115" s="38">
        <v>8707.432968185698</v>
      </c>
      <c r="F115" s="38">
        <v>13038.761167191338</v>
      </c>
      <c r="G115" s="38">
        <v>17237.031333419989</v>
      </c>
      <c r="H115" s="38">
        <v>25840.795189911943</v>
      </c>
      <c r="I115" s="38">
        <v>35610.764405082467</v>
      </c>
      <c r="J115" s="38">
        <v>92144.190116929109</v>
      </c>
      <c r="K115" s="38">
        <v>112924.12359529184</v>
      </c>
      <c r="L115" s="1"/>
      <c r="M115" s="4" t="str">
        <f t="shared" si="18"/>
        <v>$million</v>
      </c>
    </row>
    <row r="116" spans="1:13" x14ac:dyDescent="0.25">
      <c r="A116" t="str">
        <v>CA</v>
      </c>
      <c r="B116" s="38">
        <v>47.905014200737476</v>
      </c>
      <c r="C116" s="38">
        <v>3932.3620699310386</v>
      </c>
      <c r="D116" s="38">
        <v>11376.37843372846</v>
      </c>
      <c r="E116" s="38">
        <v>23413.7090920872</v>
      </c>
      <c r="F116" s="38">
        <v>36324.07487690085</v>
      </c>
      <c r="G116" s="38">
        <v>47613.233721115917</v>
      </c>
      <c r="H116" s="38">
        <v>71379.102185146941</v>
      </c>
      <c r="I116" s="38">
        <v>98366.33790410214</v>
      </c>
      <c r="J116" s="38">
        <v>254526.59307835737</v>
      </c>
      <c r="K116" s="38">
        <v>311926.25838477409</v>
      </c>
      <c r="L116" s="1"/>
      <c r="M116" s="4" t="str">
        <f t="shared" si="18"/>
        <v>$million</v>
      </c>
    </row>
    <row r="117" spans="1:13" x14ac:dyDescent="0.25">
      <c r="A117" t="str">
        <v>IA</v>
      </c>
      <c r="B117" s="38">
        <v>39.920845167281229</v>
      </c>
      <c r="C117" s="38">
        <v>3276.968391609199</v>
      </c>
      <c r="D117" s="38">
        <v>9480.3153614403818</v>
      </c>
      <c r="E117" s="38">
        <v>19511.424243406</v>
      </c>
      <c r="F117" s="38">
        <v>30270.062397417372</v>
      </c>
      <c r="G117" s="38">
        <v>39677.694767596593</v>
      </c>
      <c r="H117" s="38">
        <v>59482.585154289118</v>
      </c>
      <c r="I117" s="38">
        <v>81971.948253418464</v>
      </c>
      <c r="J117" s="38">
        <v>212105.49423196446</v>
      </c>
      <c r="K117" s="38">
        <v>259938.54865397833</v>
      </c>
      <c r="L117" s="1"/>
      <c r="M117" s="4" t="str">
        <f t="shared" si="18"/>
        <v>$million</v>
      </c>
    </row>
    <row r="118" spans="1:13" x14ac:dyDescent="0.25">
      <c r="A118" t="str">
        <v>AF</v>
      </c>
      <c r="B118" s="38">
        <v>20.958443712822639</v>
      </c>
      <c r="C118" s="38">
        <v>1720.4084055948292</v>
      </c>
      <c r="D118" s="38">
        <v>4977.1655647562002</v>
      </c>
      <c r="E118" s="38">
        <v>10243.497727788148</v>
      </c>
      <c r="F118" s="38">
        <v>15891.782758644118</v>
      </c>
      <c r="G118" s="38">
        <v>20830.78975298821</v>
      </c>
      <c r="H118" s="38">
        <v>31228.357206001783</v>
      </c>
      <c r="I118" s="38">
        <v>43035.272833044684</v>
      </c>
      <c r="J118" s="38">
        <v>111355.38447178132</v>
      </c>
      <c r="K118" s="38">
        <v>136467.73804333864</v>
      </c>
      <c r="L118" s="1"/>
      <c r="M118" s="4" t="str">
        <f t="shared" si="18"/>
        <v>$million</v>
      </c>
    </row>
    <row r="119" spans="1:13" x14ac:dyDescent="0.25">
      <c r="A119" t="str">
        <v>LA</v>
      </c>
      <c r="B119" s="38">
        <v>23.952507100368734</v>
      </c>
      <c r="C119" s="38">
        <v>1966.1810349655188</v>
      </c>
      <c r="D119" s="38">
        <v>5688.189216864228</v>
      </c>
      <c r="E119" s="38">
        <v>11706.854546043596</v>
      </c>
      <c r="F119" s="38">
        <v>18162.037438450418</v>
      </c>
      <c r="G119" s="38">
        <v>23806.616860557951</v>
      </c>
      <c r="H119" s="38">
        <v>35689.551092573471</v>
      </c>
      <c r="I119" s="38">
        <v>49183.16895205107</v>
      </c>
      <c r="J119" s="38">
        <v>127263.29653917867</v>
      </c>
      <c r="K119" s="38">
        <v>155963.12919238704</v>
      </c>
      <c r="L119" s="1"/>
      <c r="M119" s="4" t="str">
        <f t="shared" si="18"/>
        <v>$million</v>
      </c>
    </row>
    <row r="120" spans="1:13" ht="13.5" thickBot="1" x14ac:dyDescent="0.35">
      <c r="A120" s="2" t="s">
        <v>257</v>
      </c>
      <c r="B120" s="56">
        <f t="shared" ref="B120:K120" si="19">SUM(B112:B119)</f>
        <v>2416.5511998221496</v>
      </c>
      <c r="C120" s="56">
        <f t="shared" si="19"/>
        <v>69018.122507445223</v>
      </c>
      <c r="D120" s="56">
        <f t="shared" si="19"/>
        <v>171212.82792510846</v>
      </c>
      <c r="E120" s="56">
        <f t="shared" si="19"/>
        <v>257683.04030470073</v>
      </c>
      <c r="F120" s="56">
        <f t="shared" si="19"/>
        <v>357293.89317503618</v>
      </c>
      <c r="G120" s="56">
        <f t="shared" si="19"/>
        <v>438661.7961148037</v>
      </c>
      <c r="H120" s="56">
        <f t="shared" si="19"/>
        <v>600271.5378305323</v>
      </c>
      <c r="I120" s="56">
        <f t="shared" si="19"/>
        <v>787636.26983016951</v>
      </c>
      <c r="J120" s="56">
        <f t="shared" si="19"/>
        <v>2038038.4246922189</v>
      </c>
      <c r="K120" s="56">
        <f t="shared" si="19"/>
        <v>2497647.466105571</v>
      </c>
      <c r="L120" s="1"/>
      <c r="M120" s="4" t="str">
        <f t="shared" si="18"/>
        <v>$million</v>
      </c>
    </row>
    <row r="121" spans="1:13" ht="15.5" thickTop="1" x14ac:dyDescent="0.4">
      <c r="A121" s="65" t="s">
        <v>446</v>
      </c>
      <c r="B121" s="2" t="s">
        <v>448</v>
      </c>
      <c r="C121" s="58"/>
      <c r="D121" s="58"/>
      <c r="E121" s="58"/>
      <c r="F121" s="58"/>
      <c r="G121" s="58"/>
      <c r="H121" s="58"/>
      <c r="I121" s="58"/>
      <c r="J121" s="58"/>
      <c r="K121" s="58"/>
      <c r="L121" s="1"/>
      <c r="M121" s="1"/>
    </row>
    <row r="122" spans="1:13" x14ac:dyDescent="0.25">
      <c r="A122" t="str">
        <f t="array" ref="A122:A129">R_CODE</f>
        <v>EU</v>
      </c>
      <c r="B122" s="38">
        <f t="array" ref="B122:K129">act_b/POP</f>
        <v>1.8532981101919785</v>
      </c>
      <c r="C122" s="38">
        <v>44.81885413998328</v>
      </c>
      <c r="D122" s="38">
        <v>102.93098888803969</v>
      </c>
      <c r="E122" s="38">
        <v>134.9458108204617</v>
      </c>
      <c r="F122" s="38">
        <v>171.75808125156641</v>
      </c>
      <c r="G122" s="38">
        <v>197.18539878234532</v>
      </c>
      <c r="H122" s="38">
        <v>242.20181490470111</v>
      </c>
      <c r="I122" s="38">
        <v>294.6139419114221</v>
      </c>
      <c r="J122" s="38">
        <v>797.7363869375954</v>
      </c>
      <c r="K122" s="38">
        <v>977.63822375223219</v>
      </c>
      <c r="L122" s="1"/>
      <c r="M122" s="1" t="str">
        <f t="shared" ref="M122:M130" si="20">CURRENCY_NAME&amp;"/"&amp;POP_UNIT_NAME</f>
        <v>$million/million</v>
      </c>
    </row>
    <row r="123" spans="1:13" x14ac:dyDescent="0.25">
      <c r="A123" t="str">
        <v>US</v>
      </c>
      <c r="B123" s="38">
        <v>2.6863491936601078</v>
      </c>
      <c r="C123" s="38">
        <v>61.637938014239616</v>
      </c>
      <c r="D123" s="38">
        <v>134.44841968457575</v>
      </c>
      <c r="E123" s="38">
        <v>172.44457847303045</v>
      </c>
      <c r="F123" s="38">
        <v>214.87583042161026</v>
      </c>
      <c r="G123" s="38">
        <v>242.47166462738224</v>
      </c>
      <c r="H123" s="38">
        <v>292.25021417856999</v>
      </c>
      <c r="I123" s="38">
        <v>353.07594659580701</v>
      </c>
      <c r="J123" s="38">
        <v>854.73004146962137</v>
      </c>
      <c r="K123" s="38">
        <v>1047.4848248277287</v>
      </c>
      <c r="L123" s="1"/>
      <c r="M123" s="1" t="str">
        <f t="shared" si="20"/>
        <v>$million/million</v>
      </c>
    </row>
    <row r="124" spans="1:13" x14ac:dyDescent="0.25">
      <c r="A124" t="str">
        <v>OT</v>
      </c>
      <c r="B124" s="38">
        <v>1.5236789846639922</v>
      </c>
      <c r="C124" s="38">
        <v>39.98770611757805</v>
      </c>
      <c r="D124" s="38">
        <v>102.1152386491259</v>
      </c>
      <c r="E124" s="38">
        <v>151.84906522451638</v>
      </c>
      <c r="F124" s="38">
        <v>217.45207672867934</v>
      </c>
      <c r="G124" s="38">
        <v>278.8863384042694</v>
      </c>
      <c r="H124" s="38">
        <v>406.70342836157943</v>
      </c>
      <c r="I124" s="38">
        <v>564.35090358790501</v>
      </c>
      <c r="J124" s="38">
        <v>1494.0596413388821</v>
      </c>
      <c r="K124" s="38">
        <v>1830.9930922741078</v>
      </c>
      <c r="L124" s="1"/>
      <c r="M124" s="1" t="str">
        <f t="shared" si="20"/>
        <v>$million/million</v>
      </c>
    </row>
    <row r="125" spans="1:13" x14ac:dyDescent="0.25">
      <c r="A125" t="str">
        <v>EE</v>
      </c>
      <c r="B125" s="38">
        <v>0.10157859897759948</v>
      </c>
      <c r="C125" s="38">
        <v>2.6658470745052028</v>
      </c>
      <c r="D125" s="38">
        <v>6.8076825766083937</v>
      </c>
      <c r="E125" s="38">
        <v>10.123271014967758</v>
      </c>
      <c r="F125" s="38">
        <v>14.496805115245291</v>
      </c>
      <c r="G125" s="38">
        <v>18.592422560284625</v>
      </c>
      <c r="H125" s="38">
        <v>27.113561890771965</v>
      </c>
      <c r="I125" s="38">
        <v>37.623393572527</v>
      </c>
      <c r="J125" s="38">
        <v>99.603976089258794</v>
      </c>
      <c r="K125" s="38">
        <v>122.06620615160718</v>
      </c>
      <c r="L125" s="1"/>
      <c r="M125" s="1" t="str">
        <f t="shared" si="20"/>
        <v>$million/million</v>
      </c>
    </row>
    <row r="126" spans="1:13" x14ac:dyDescent="0.25">
      <c r="A126" t="str">
        <v>CA</v>
      </c>
      <c r="B126" s="38">
        <v>3.3338617090815023E-2</v>
      </c>
      <c r="C126" s="38">
        <v>2.447110904307999</v>
      </c>
      <c r="D126" s="38">
        <v>6.5020365103846469</v>
      </c>
      <c r="E126" s="38">
        <v>12.563447811020465</v>
      </c>
      <c r="F126" s="38">
        <v>18.639679068485748</v>
      </c>
      <c r="G126" s="38">
        <v>23.703314915813941</v>
      </c>
      <c r="H126" s="38">
        <v>34.566840007133571</v>
      </c>
      <c r="I126" s="38">
        <v>47.965731370380659</v>
      </c>
      <c r="J126" s="38">
        <v>126.98422728160929</v>
      </c>
      <c r="K126" s="38">
        <v>155.62112552082161</v>
      </c>
      <c r="L126" s="1"/>
      <c r="M126" s="1" t="str">
        <f t="shared" si="20"/>
        <v>$million/million</v>
      </c>
    </row>
    <row r="127" spans="1:13" x14ac:dyDescent="0.25">
      <c r="A127" t="str">
        <v>IA</v>
      </c>
      <c r="B127" s="38">
        <v>1.8058417590858137E-2</v>
      </c>
      <c r="C127" s="38">
        <v>1.3255184065001662</v>
      </c>
      <c r="D127" s="38">
        <v>3.5219364431250164</v>
      </c>
      <c r="E127" s="38">
        <v>6.8052008976360847</v>
      </c>
      <c r="F127" s="38">
        <v>10.096492828763111</v>
      </c>
      <c r="G127" s="38">
        <v>12.839295579399215</v>
      </c>
      <c r="H127" s="38">
        <v>18.723705003864019</v>
      </c>
      <c r="I127" s="38">
        <v>25.981437825622862</v>
      </c>
      <c r="J127" s="38">
        <v>68.783123110871685</v>
      </c>
      <c r="K127" s="38">
        <v>84.294776323778336</v>
      </c>
      <c r="L127" s="1"/>
      <c r="M127" s="1" t="str">
        <f t="shared" si="20"/>
        <v>$million/million</v>
      </c>
    </row>
    <row r="128" spans="1:13" x14ac:dyDescent="0.25">
      <c r="A128" t="str">
        <v>AF</v>
      </c>
      <c r="B128" s="38">
        <v>2.3701673088001297E-2</v>
      </c>
      <c r="C128" s="38">
        <v>1.7397429085314677</v>
      </c>
      <c r="D128" s="38">
        <v>4.6225415816015838</v>
      </c>
      <c r="E128" s="38">
        <v>8.9318261781473591</v>
      </c>
      <c r="F128" s="38">
        <v>13.251646837751577</v>
      </c>
      <c r="G128" s="38">
        <v>16.851575447961466</v>
      </c>
      <c r="H128" s="38">
        <v>24.57486281757151</v>
      </c>
      <c r="I128" s="38">
        <v>34.100637146129991</v>
      </c>
      <c r="J128" s="38">
        <v>90.277849083019049</v>
      </c>
      <c r="K128" s="38">
        <v>110.63689392495907</v>
      </c>
      <c r="L128" s="1"/>
      <c r="M128" s="1" t="str">
        <f t="shared" si="20"/>
        <v>$million/million</v>
      </c>
    </row>
    <row r="129" spans="1:14" x14ac:dyDescent="0.25">
      <c r="A129" t="str">
        <v>LA</v>
      </c>
      <c r="B129" s="38">
        <v>4.3340202218059516E-2</v>
      </c>
      <c r="C129" s="38">
        <v>3.1812441756003982</v>
      </c>
      <c r="D129" s="38">
        <v>8.4526474635000373</v>
      </c>
      <c r="E129" s="38">
        <v>16.332482154326598</v>
      </c>
      <c r="F129" s="38">
        <v>24.231582789031457</v>
      </c>
      <c r="G129" s="38">
        <v>30.814309390558112</v>
      </c>
      <c r="H129" s="38">
        <v>44.936892009273642</v>
      </c>
      <c r="I129" s="38">
        <v>62.355450781494859</v>
      </c>
      <c r="J129" s="38">
        <v>165.07949546609206</v>
      </c>
      <c r="K129" s="38">
        <v>202.30746317706809</v>
      </c>
      <c r="L129" s="1"/>
      <c r="M129" s="1" t="str">
        <f t="shared" si="20"/>
        <v>$million/million</v>
      </c>
    </row>
    <row r="130" spans="1:14" ht="13.5" thickBot="1" x14ac:dyDescent="0.35">
      <c r="A130" s="2" t="s">
        <v>447</v>
      </c>
      <c r="B130" s="50">
        <f t="array" ref="B130:K130">act_g_b/POP_G</f>
        <v>0.35325668757283135</v>
      </c>
      <c r="C130" s="50">
        <v>9.1073392328410065</v>
      </c>
      <c r="D130" s="50">
        <v>20.899280979281208</v>
      </c>
      <c r="E130" s="50">
        <v>29.700932869810291</v>
      </c>
      <c r="F130" s="50">
        <v>39.555015186376664</v>
      </c>
      <c r="G130" s="50">
        <v>47.26938012449039</v>
      </c>
      <c r="H130" s="50">
        <v>63.122090269814457</v>
      </c>
      <c r="I130" s="50">
        <v>83.321174071125142</v>
      </c>
      <c r="J130" s="50">
        <v>219.86464218918758</v>
      </c>
      <c r="K130" s="50">
        <v>269.44750393161172</v>
      </c>
      <c r="L130" s="1"/>
      <c r="M130" s="1" t="str">
        <f t="shared" si="20"/>
        <v>$million/million</v>
      </c>
      <c r="N130" s="92"/>
    </row>
    <row r="131" spans="1:14" ht="15.5" thickTop="1" x14ac:dyDescent="0.4">
      <c r="A131" s="65" t="s">
        <v>457</v>
      </c>
      <c r="B131" s="2" t="s">
        <v>458</v>
      </c>
      <c r="C131" s="58"/>
      <c r="D131" s="58"/>
      <c r="E131" s="58"/>
      <c r="F131" s="58"/>
      <c r="G131" s="58"/>
      <c r="H131" s="58"/>
      <c r="I131" s="58"/>
      <c r="J131" s="58"/>
      <c r="K131" s="58"/>
      <c r="L131" s="1"/>
      <c r="M131" s="1"/>
    </row>
    <row r="132" spans="1:14" x14ac:dyDescent="0.25">
      <c r="A132" t="str">
        <f t="array" ref="A132:A139">R_CODE</f>
        <v>EU</v>
      </c>
      <c r="B132" s="39">
        <f t="array" ref="B132:K139" xml:space="preserve"> (((CONS_PER_CAP_FOCUS_0)^EMUC)/(1-EMUC))*( (CONS_PER_CAP)^(1-EMUC) - (CONS_PER_CAP-act_per_cap_b) ^(1-EMUC))</f>
        <v>1.8532981101925543</v>
      </c>
      <c r="C132" s="39">
        <v>44.818854139983159</v>
      </c>
      <c r="D132" s="39">
        <v>102.93098888803797</v>
      </c>
      <c r="E132" s="39">
        <v>134.94581082046352</v>
      </c>
      <c r="F132" s="39">
        <v>171.75808125156618</v>
      </c>
      <c r="G132" s="39">
        <v>197.18539878234878</v>
      </c>
      <c r="H132" s="39">
        <v>242.20181490469986</v>
      </c>
      <c r="I132" s="39">
        <v>294.61394191141881</v>
      </c>
      <c r="J132" s="39">
        <v>797.73638693758403</v>
      </c>
      <c r="K132" s="39">
        <v>977.63822375220479</v>
      </c>
      <c r="L132" s="1"/>
      <c r="M132" s="1" t="str">
        <f t="shared" ref="M132:M139" si="21">CURRENCY_NAME&amp;"/"&amp;POP_UNIT_NAME</f>
        <v>$million/million</v>
      </c>
    </row>
    <row r="133" spans="1:14" x14ac:dyDescent="0.25">
      <c r="A133" t="str">
        <v>US</v>
      </c>
      <c r="B133" s="35">
        <v>2.6863491936601349</v>
      </c>
      <c r="C133" s="35">
        <v>61.637938014238898</v>
      </c>
      <c r="D133" s="35">
        <v>134.44841968457331</v>
      </c>
      <c r="E133" s="35">
        <v>172.44457847302692</v>
      </c>
      <c r="F133" s="35">
        <v>214.87583042160986</v>
      </c>
      <c r="G133" s="35">
        <v>242.47166462738096</v>
      </c>
      <c r="H133" s="35">
        <v>292.25021417856624</v>
      </c>
      <c r="I133" s="35">
        <v>353.07594659581082</v>
      </c>
      <c r="J133" s="35">
        <v>854.73004146962194</v>
      </c>
      <c r="K133" s="35">
        <v>1047.4848248277558</v>
      </c>
      <c r="L133" s="1"/>
      <c r="M133" s="1" t="str">
        <f t="shared" si="21"/>
        <v>$million/million</v>
      </c>
    </row>
    <row r="134" spans="1:14" x14ac:dyDescent="0.25">
      <c r="A134" t="str">
        <v>OT</v>
      </c>
      <c r="B134" s="35">
        <v>1.5236789846640022</v>
      </c>
      <c r="C134" s="35">
        <v>39.987706117579364</v>
      </c>
      <c r="D134" s="35">
        <v>102.1152386491267</v>
      </c>
      <c r="E134" s="35">
        <v>151.84906522451638</v>
      </c>
      <c r="F134" s="35">
        <v>217.45207672868128</v>
      </c>
      <c r="G134" s="35">
        <v>278.88633840426337</v>
      </c>
      <c r="H134" s="35">
        <v>406.70342836157943</v>
      </c>
      <c r="I134" s="35">
        <v>564.35090358791058</v>
      </c>
      <c r="J134" s="35">
        <v>1494.0596413388848</v>
      </c>
      <c r="K134" s="35">
        <v>1830.9930922740605</v>
      </c>
      <c r="L134" s="1"/>
      <c r="M134" s="1" t="str">
        <f t="shared" si="21"/>
        <v>$million/million</v>
      </c>
    </row>
    <row r="135" spans="1:14" x14ac:dyDescent="0.25">
      <c r="A135" t="str">
        <v>EE</v>
      </c>
      <c r="B135" s="35">
        <v>0.10157859897753951</v>
      </c>
      <c r="C135" s="35">
        <v>2.665847074505109</v>
      </c>
      <c r="D135" s="35">
        <v>6.8076825766083857</v>
      </c>
      <c r="E135" s="35">
        <v>10.123271014967941</v>
      </c>
      <c r="F135" s="35">
        <v>14.496805115245479</v>
      </c>
      <c r="G135" s="35">
        <v>18.592422560284831</v>
      </c>
      <c r="H135" s="35">
        <v>27.113561890771962</v>
      </c>
      <c r="I135" s="35">
        <v>37.623393572528585</v>
      </c>
      <c r="J135" s="35">
        <v>99.603976089259959</v>
      </c>
      <c r="K135" s="35">
        <v>122.066206151605</v>
      </c>
      <c r="L135" s="1"/>
      <c r="M135" s="1" t="str">
        <f t="shared" si="21"/>
        <v>$million/million</v>
      </c>
    </row>
    <row r="136" spans="1:14" x14ac:dyDescent="0.25">
      <c r="A136" t="str">
        <v>CA</v>
      </c>
      <c r="B136" s="35">
        <v>3.3338617090976186E-2</v>
      </c>
      <c r="C136" s="35">
        <v>2.4471109043079196</v>
      </c>
      <c r="D136" s="35">
        <v>6.5020365103846416</v>
      </c>
      <c r="E136" s="35">
        <v>12.563447811020524</v>
      </c>
      <c r="F136" s="35">
        <v>18.639679068485748</v>
      </c>
      <c r="G136" s="35">
        <v>23.70331491581419</v>
      </c>
      <c r="H136" s="35">
        <v>34.566840007133578</v>
      </c>
      <c r="I136" s="35">
        <v>47.965731370379217</v>
      </c>
      <c r="J136" s="35">
        <v>126.98422728160949</v>
      </c>
      <c r="K136" s="35">
        <v>155.62112552081817</v>
      </c>
      <c r="L136" s="1"/>
      <c r="M136" s="1" t="str">
        <f t="shared" si="21"/>
        <v>$million/million</v>
      </c>
    </row>
    <row r="137" spans="1:14" x14ac:dyDescent="0.25">
      <c r="A137" t="str">
        <v>IA</v>
      </c>
      <c r="B137" s="35">
        <v>1.8058417590964382E-2</v>
      </c>
      <c r="C137" s="35">
        <v>1.3255184065001231</v>
      </c>
      <c r="D137" s="35">
        <v>3.5219364431250142</v>
      </c>
      <c r="E137" s="35">
        <v>6.8052008976360412</v>
      </c>
      <c r="F137" s="35">
        <v>10.096492828763076</v>
      </c>
      <c r="G137" s="35">
        <v>12.839295579398822</v>
      </c>
      <c r="H137" s="35">
        <v>18.72370500386387</v>
      </c>
      <c r="I137" s="35">
        <v>25.981437825623289</v>
      </c>
      <c r="J137" s="35">
        <v>68.783123110872111</v>
      </c>
      <c r="K137" s="35">
        <v>84.294776323775295</v>
      </c>
      <c r="L137" s="1"/>
      <c r="M137" s="1" t="str">
        <f t="shared" si="21"/>
        <v>$million/million</v>
      </c>
    </row>
    <row r="138" spans="1:14" x14ac:dyDescent="0.25">
      <c r="A138" t="str">
        <v>AF</v>
      </c>
      <c r="B138" s="35">
        <v>2.3701673087998643E-2</v>
      </c>
      <c r="C138" s="35">
        <v>1.7397429085312979</v>
      </c>
      <c r="D138" s="35">
        <v>4.6225415816015811</v>
      </c>
      <c r="E138" s="35">
        <v>8.9318261781472756</v>
      </c>
      <c r="F138" s="35">
        <v>13.25164683775165</v>
      </c>
      <c r="G138" s="35">
        <v>16.851575447961295</v>
      </c>
      <c r="H138" s="35">
        <v>24.574862817571557</v>
      </c>
      <c r="I138" s="35">
        <v>34.100637146129884</v>
      </c>
      <c r="J138" s="35">
        <v>90.277849083016918</v>
      </c>
      <c r="K138" s="35">
        <v>110.63689392496599</v>
      </c>
      <c r="L138" s="1"/>
      <c r="M138" s="1" t="str">
        <f t="shared" si="21"/>
        <v>$million/million</v>
      </c>
    </row>
    <row r="139" spans="1:14" x14ac:dyDescent="0.25">
      <c r="A139" t="str">
        <v>LA</v>
      </c>
      <c r="B139" s="35">
        <v>4.3340202218132617E-2</v>
      </c>
      <c r="C139" s="35">
        <v>3.1812441756001135</v>
      </c>
      <c r="D139" s="35">
        <v>8.4526474635003979</v>
      </c>
      <c r="E139" s="35">
        <v>16.332482154326499</v>
      </c>
      <c r="F139" s="35">
        <v>24.231582789030654</v>
      </c>
      <c r="G139" s="35">
        <v>30.814309390558265</v>
      </c>
      <c r="H139" s="35">
        <v>44.936892009274743</v>
      </c>
      <c r="I139" s="35">
        <v>62.355450781495165</v>
      </c>
      <c r="J139" s="35">
        <v>165.07949546609598</v>
      </c>
      <c r="K139" s="35">
        <v>202.30746317707235</v>
      </c>
      <c r="L139" s="1"/>
      <c r="M139" s="1" t="str">
        <f t="shared" si="21"/>
        <v>$million/million</v>
      </c>
    </row>
    <row r="140" spans="1:14" ht="15" x14ac:dyDescent="0.4">
      <c r="A140" s="65" t="s">
        <v>449</v>
      </c>
      <c r="B140" s="2" t="s">
        <v>450</v>
      </c>
      <c r="C140" s="58"/>
      <c r="D140" s="58"/>
      <c r="E140" s="58"/>
      <c r="F140" s="58"/>
      <c r="G140" s="58"/>
      <c r="H140" s="58"/>
      <c r="I140" s="58"/>
      <c r="J140" s="58"/>
      <c r="K140" s="58"/>
      <c r="L140" s="1"/>
      <c r="M140" s="1"/>
    </row>
    <row r="141" spans="1:14" x14ac:dyDescent="0.25">
      <c r="A141" t="str">
        <f t="array" ref="A141:A148">R_CODE</f>
        <v>EU</v>
      </c>
      <c r="B141" s="39">
        <f t="array" ref="B141:K148">IF(EQUITY_COSTS=0,act_per_cap_b,(1-EQUITY_PROP)*act_per_cap_b+EQUITY_PROP*eact_per_cap_b)</f>
        <v>1.8532981101925543</v>
      </c>
      <c r="C141" s="39">
        <v>44.818854139983159</v>
      </c>
      <c r="D141" s="39">
        <v>102.93098888803797</v>
      </c>
      <c r="E141" s="39">
        <v>134.94581082046352</v>
      </c>
      <c r="F141" s="39">
        <v>171.75808125156618</v>
      </c>
      <c r="G141" s="39">
        <v>197.18539878234878</v>
      </c>
      <c r="H141" s="39">
        <v>242.20181490469986</v>
      </c>
      <c r="I141" s="39">
        <v>294.61394191141881</v>
      </c>
      <c r="J141" s="39">
        <v>797.73638693758403</v>
      </c>
      <c r="K141" s="39">
        <v>977.63822375220479</v>
      </c>
      <c r="L141" s="1"/>
      <c r="M141" s="1" t="str">
        <f t="shared" ref="M141:M148" si="22">CURRENCY_NAME&amp;"/"&amp;POP_UNIT_NAME</f>
        <v>$million/million</v>
      </c>
    </row>
    <row r="142" spans="1:14" x14ac:dyDescent="0.25">
      <c r="A142" t="str">
        <v>US</v>
      </c>
      <c r="B142" s="35">
        <v>2.6863491936601349</v>
      </c>
      <c r="C142" s="35">
        <v>61.637938014238898</v>
      </c>
      <c r="D142" s="35">
        <v>134.44841968457331</v>
      </c>
      <c r="E142" s="35">
        <v>172.44457847302692</v>
      </c>
      <c r="F142" s="35">
        <v>214.87583042160986</v>
      </c>
      <c r="G142" s="35">
        <v>242.47166462738096</v>
      </c>
      <c r="H142" s="35">
        <v>292.25021417856624</v>
      </c>
      <c r="I142" s="35">
        <v>353.07594659581082</v>
      </c>
      <c r="J142" s="35">
        <v>854.73004146962194</v>
      </c>
      <c r="K142" s="35">
        <v>1047.4848248277558</v>
      </c>
      <c r="L142" s="1"/>
      <c r="M142" s="1" t="str">
        <f t="shared" si="22"/>
        <v>$million/million</v>
      </c>
    </row>
    <row r="143" spans="1:14" x14ac:dyDescent="0.25">
      <c r="A143" t="str">
        <v>OT</v>
      </c>
      <c r="B143" s="35">
        <v>1.5236789846640022</v>
      </c>
      <c r="C143" s="35">
        <v>39.987706117579364</v>
      </c>
      <c r="D143" s="35">
        <v>102.1152386491267</v>
      </c>
      <c r="E143" s="35">
        <v>151.84906522451638</v>
      </c>
      <c r="F143" s="35">
        <v>217.45207672868128</v>
      </c>
      <c r="G143" s="35">
        <v>278.88633840426337</v>
      </c>
      <c r="H143" s="35">
        <v>406.70342836157943</v>
      </c>
      <c r="I143" s="35">
        <v>564.35090358791058</v>
      </c>
      <c r="J143" s="35">
        <v>1494.0596413388848</v>
      </c>
      <c r="K143" s="35">
        <v>1830.9930922740605</v>
      </c>
      <c r="L143" s="1"/>
      <c r="M143" s="1" t="str">
        <f t="shared" si="22"/>
        <v>$million/million</v>
      </c>
    </row>
    <row r="144" spans="1:14" x14ac:dyDescent="0.25">
      <c r="A144" t="str">
        <v>EE</v>
      </c>
      <c r="B144" s="35">
        <v>0.10157859897753951</v>
      </c>
      <c r="C144" s="35">
        <v>2.665847074505109</v>
      </c>
      <c r="D144" s="35">
        <v>6.8076825766083857</v>
      </c>
      <c r="E144" s="35">
        <v>10.123271014967941</v>
      </c>
      <c r="F144" s="35">
        <v>14.496805115245479</v>
      </c>
      <c r="G144" s="35">
        <v>18.592422560284831</v>
      </c>
      <c r="H144" s="35">
        <v>27.113561890771962</v>
      </c>
      <c r="I144" s="35">
        <v>37.623393572528585</v>
      </c>
      <c r="J144" s="35">
        <v>99.603976089259959</v>
      </c>
      <c r="K144" s="35">
        <v>122.066206151605</v>
      </c>
      <c r="L144" s="1"/>
      <c r="M144" s="1" t="str">
        <f t="shared" si="22"/>
        <v>$million/million</v>
      </c>
    </row>
    <row r="145" spans="1:13" x14ac:dyDescent="0.25">
      <c r="A145" t="str">
        <v>CA</v>
      </c>
      <c r="B145" s="35">
        <v>3.3338617090976186E-2</v>
      </c>
      <c r="C145" s="35">
        <v>2.4471109043079196</v>
      </c>
      <c r="D145" s="35">
        <v>6.5020365103846416</v>
      </c>
      <c r="E145" s="35">
        <v>12.563447811020524</v>
      </c>
      <c r="F145" s="35">
        <v>18.639679068485748</v>
      </c>
      <c r="G145" s="35">
        <v>23.70331491581419</v>
      </c>
      <c r="H145" s="35">
        <v>34.566840007133578</v>
      </c>
      <c r="I145" s="35">
        <v>47.965731370379217</v>
      </c>
      <c r="J145" s="35">
        <v>126.98422728160949</v>
      </c>
      <c r="K145" s="35">
        <v>155.62112552081817</v>
      </c>
      <c r="L145" s="1"/>
      <c r="M145" s="1" t="str">
        <f t="shared" si="22"/>
        <v>$million/million</v>
      </c>
    </row>
    <row r="146" spans="1:13" x14ac:dyDescent="0.25">
      <c r="A146" t="str">
        <v>IA</v>
      </c>
      <c r="B146" s="35">
        <v>1.8058417590964382E-2</v>
      </c>
      <c r="C146" s="35">
        <v>1.3255184065001231</v>
      </c>
      <c r="D146" s="35">
        <v>3.5219364431250142</v>
      </c>
      <c r="E146" s="35">
        <v>6.8052008976360412</v>
      </c>
      <c r="F146" s="35">
        <v>10.096492828763076</v>
      </c>
      <c r="G146" s="35">
        <v>12.839295579398822</v>
      </c>
      <c r="H146" s="35">
        <v>18.72370500386387</v>
      </c>
      <c r="I146" s="35">
        <v>25.981437825623289</v>
      </c>
      <c r="J146" s="35">
        <v>68.783123110872111</v>
      </c>
      <c r="K146" s="35">
        <v>84.294776323775295</v>
      </c>
      <c r="L146" s="1"/>
      <c r="M146" s="1" t="str">
        <f t="shared" si="22"/>
        <v>$million/million</v>
      </c>
    </row>
    <row r="147" spans="1:13" x14ac:dyDescent="0.25">
      <c r="A147" t="str">
        <v>AF</v>
      </c>
      <c r="B147" s="35">
        <v>2.3701673087998643E-2</v>
      </c>
      <c r="C147" s="35">
        <v>1.7397429085312979</v>
      </c>
      <c r="D147" s="35">
        <v>4.6225415816015811</v>
      </c>
      <c r="E147" s="35">
        <v>8.9318261781472756</v>
      </c>
      <c r="F147" s="35">
        <v>13.25164683775165</v>
      </c>
      <c r="G147" s="35">
        <v>16.851575447961295</v>
      </c>
      <c r="H147" s="35">
        <v>24.574862817571557</v>
      </c>
      <c r="I147" s="35">
        <v>34.100637146129884</v>
      </c>
      <c r="J147" s="35">
        <v>90.277849083016918</v>
      </c>
      <c r="K147" s="35">
        <v>110.63689392496599</v>
      </c>
      <c r="L147" s="1"/>
      <c r="M147" s="1" t="str">
        <f t="shared" si="22"/>
        <v>$million/million</v>
      </c>
    </row>
    <row r="148" spans="1:13" x14ac:dyDescent="0.25">
      <c r="A148" t="str">
        <v>LA</v>
      </c>
      <c r="B148" s="35">
        <v>4.3340202218132617E-2</v>
      </c>
      <c r="C148" s="35">
        <v>3.1812441756001135</v>
      </c>
      <c r="D148" s="35">
        <v>8.4526474635003979</v>
      </c>
      <c r="E148" s="35">
        <v>16.332482154326499</v>
      </c>
      <c r="F148" s="35">
        <v>24.231582789030654</v>
      </c>
      <c r="G148" s="35">
        <v>30.814309390558265</v>
      </c>
      <c r="H148" s="35">
        <v>44.936892009274743</v>
      </c>
      <c r="I148" s="35">
        <v>62.355450781495165</v>
      </c>
      <c r="J148" s="35">
        <v>165.07949546609598</v>
      </c>
      <c r="K148" s="35">
        <v>202.30746317707235</v>
      </c>
      <c r="L148" s="1"/>
      <c r="M148" s="1" t="str">
        <f t="shared" si="22"/>
        <v>$million/million</v>
      </c>
    </row>
    <row r="149" spans="1:13" ht="15" x14ac:dyDescent="0.4">
      <c r="A149" s="65" t="s">
        <v>445</v>
      </c>
      <c r="B149" s="2" t="s">
        <v>451</v>
      </c>
      <c r="C149" s="58"/>
      <c r="D149" s="58"/>
      <c r="E149" s="58"/>
      <c r="F149" s="58"/>
      <c r="G149" s="58"/>
      <c r="H149" s="58"/>
      <c r="I149" s="58"/>
      <c r="J149" s="58"/>
      <c r="K149" s="58"/>
      <c r="L149" s="1"/>
      <c r="M149" s="1"/>
    </row>
    <row r="150" spans="1:13" x14ac:dyDescent="0.25">
      <c r="A150" t="str">
        <f t="array" ref="A150:A157">R_CODE</f>
        <v>EU</v>
      </c>
      <c r="B150" s="39">
        <f t="array" ref="B150:K157">IF(EQUITY_COSTS=0,act_per_cap_b,wact_per_cap_b)*POP</f>
        <v>1029.9199559522988</v>
      </c>
      <c r="C150" s="39">
        <v>25099.719422866077</v>
      </c>
      <c r="D150" s="39">
        <v>57428.591767531259</v>
      </c>
      <c r="E150" s="39">
        <v>74184.494486345342</v>
      </c>
      <c r="F150" s="39">
        <v>92200.654624963747</v>
      </c>
      <c r="G150" s="39">
        <v>103093.80763636093</v>
      </c>
      <c r="H150" s="39">
        <v>120884.27479217896</v>
      </c>
      <c r="I150" s="39">
        <v>143728.30709159793</v>
      </c>
      <c r="J150" s="39">
        <v>371902.39173698693</v>
      </c>
      <c r="K150" s="39">
        <v>455772.10670144844</v>
      </c>
      <c r="L150" s="1"/>
      <c r="M150" s="4" t="str">
        <f t="shared" ref="M150:M158" si="23">CURRENCY_NAME</f>
        <v>$million</v>
      </c>
    </row>
    <row r="151" spans="1:13" x14ac:dyDescent="0.25">
      <c r="A151" t="str">
        <v>US</v>
      </c>
      <c r="B151" s="35">
        <v>849.69587625476072</v>
      </c>
      <c r="C151" s="35">
        <v>21159.491463223425</v>
      </c>
      <c r="D151" s="35">
        <v>49277.447013117788</v>
      </c>
      <c r="E151" s="35">
        <v>66378.462399915879</v>
      </c>
      <c r="F151" s="35">
        <v>86212.714075511278</v>
      </c>
      <c r="G151" s="35">
        <v>100217.46537566549</v>
      </c>
      <c r="H151" s="35">
        <v>126562.89626086818</v>
      </c>
      <c r="I151" s="35">
        <v>157686.64836546045</v>
      </c>
      <c r="J151" s="35">
        <v>408020.12393237033</v>
      </c>
      <c r="K151" s="35">
        <v>500034.94355789322</v>
      </c>
      <c r="L151" s="1"/>
      <c r="M151" s="4" t="str">
        <f t="shared" si="23"/>
        <v>$million</v>
      </c>
    </row>
    <row r="152" spans="1:13" x14ac:dyDescent="0.25">
      <c r="A152" t="str">
        <v>OT</v>
      </c>
      <c r="B152" s="35">
        <v>336.83213119517535</v>
      </c>
      <c r="C152" s="35">
        <v>9885.8264327126835</v>
      </c>
      <c r="D152" s="35">
        <v>27487.283806390453</v>
      </c>
      <c r="E152" s="35">
        <v>43537.164840928504</v>
      </c>
      <c r="F152" s="35">
        <v>65193.805835957282</v>
      </c>
      <c r="G152" s="35">
        <v>86185.156667098112</v>
      </c>
      <c r="H152" s="35">
        <v>129203.97594955974</v>
      </c>
      <c r="I152" s="35">
        <v>178053.82202541418</v>
      </c>
      <c r="J152" s="35">
        <v>460720.95058464661</v>
      </c>
      <c r="K152" s="35">
        <v>564620.61797644489</v>
      </c>
      <c r="L152" s="1"/>
      <c r="M152" s="4" t="str">
        <f t="shared" si="23"/>
        <v>$million</v>
      </c>
    </row>
    <row r="153" spans="1:13" x14ac:dyDescent="0.25">
      <c r="A153" t="str">
        <v>EE</v>
      </c>
      <c r="B153" s="35">
        <v>67.366426238994862</v>
      </c>
      <c r="C153" s="35">
        <v>1977.1652865424014</v>
      </c>
      <c r="D153" s="35">
        <v>5497.4567612780402</v>
      </c>
      <c r="E153" s="35">
        <v>8707.4329681858544</v>
      </c>
      <c r="F153" s="35">
        <v>13038.761167191507</v>
      </c>
      <c r="G153" s="35">
        <v>17237.031333420178</v>
      </c>
      <c r="H153" s="35">
        <v>25840.79518991194</v>
      </c>
      <c r="I153" s="35">
        <v>35610.764405083966</v>
      </c>
      <c r="J153" s="35">
        <v>92144.190116930185</v>
      </c>
      <c r="K153" s="35">
        <v>112924.12359528983</v>
      </c>
      <c r="L153" s="1"/>
      <c r="M153" s="4" t="str">
        <f t="shared" si="23"/>
        <v>$million</v>
      </c>
    </row>
    <row r="154" spans="1:13" x14ac:dyDescent="0.25">
      <c r="A154" t="str">
        <v>CA</v>
      </c>
      <c r="B154" s="35">
        <v>47.905014200969056</v>
      </c>
      <c r="C154" s="35">
        <v>3932.3620699309108</v>
      </c>
      <c r="D154" s="35">
        <v>11376.378433728451</v>
      </c>
      <c r="E154" s="35">
        <v>23413.709092087309</v>
      </c>
      <c r="F154" s="35">
        <v>36324.07487690085</v>
      </c>
      <c r="G154" s="35">
        <v>47613.233721116419</v>
      </c>
      <c r="H154" s="35">
        <v>71379.102185146956</v>
      </c>
      <c r="I154" s="35">
        <v>98366.337904099171</v>
      </c>
      <c r="J154" s="35">
        <v>254526.59307835778</v>
      </c>
      <c r="K154" s="35">
        <v>311926.25838476716</v>
      </c>
      <c r="L154" s="1"/>
      <c r="M154" s="4" t="str">
        <f t="shared" si="23"/>
        <v>$million</v>
      </c>
    </row>
    <row r="155" spans="1:13" x14ac:dyDescent="0.25">
      <c r="A155" t="str">
        <v>IA</v>
      </c>
      <c r="B155" s="35">
        <v>39.920845167516106</v>
      </c>
      <c r="C155" s="35">
        <v>3276.9683916090926</v>
      </c>
      <c r="D155" s="35">
        <v>9480.3153614403745</v>
      </c>
      <c r="E155" s="35">
        <v>19511.424243405876</v>
      </c>
      <c r="F155" s="35">
        <v>30270.062397417267</v>
      </c>
      <c r="G155" s="35">
        <v>39677.694767595378</v>
      </c>
      <c r="H155" s="35">
        <v>59482.585154288645</v>
      </c>
      <c r="I155" s="35">
        <v>81971.948253419803</v>
      </c>
      <c r="J155" s="35">
        <v>212105.49423196577</v>
      </c>
      <c r="K155" s="35">
        <v>259938.54865396893</v>
      </c>
      <c r="L155" s="1"/>
      <c r="M155" s="4" t="str">
        <f t="shared" si="23"/>
        <v>$million</v>
      </c>
    </row>
    <row r="156" spans="1:13" x14ac:dyDescent="0.25">
      <c r="A156" t="str">
        <v>AF</v>
      </c>
      <c r="B156" s="35">
        <v>20.958443712820291</v>
      </c>
      <c r="C156" s="35">
        <v>1720.4084055946612</v>
      </c>
      <c r="D156" s="35">
        <v>4977.1655647561975</v>
      </c>
      <c r="E156" s="35">
        <v>10243.497727788053</v>
      </c>
      <c r="F156" s="35">
        <v>15891.782758644205</v>
      </c>
      <c r="G156" s="35">
        <v>20830.789752988003</v>
      </c>
      <c r="H156" s="35">
        <v>31228.357206001841</v>
      </c>
      <c r="I156" s="35">
        <v>43035.272833044546</v>
      </c>
      <c r="J156" s="35">
        <v>111355.38447177869</v>
      </c>
      <c r="K156" s="35">
        <v>136467.7380433472</v>
      </c>
      <c r="L156" s="1"/>
      <c r="M156" s="4" t="str">
        <f t="shared" si="23"/>
        <v>$million</v>
      </c>
    </row>
    <row r="157" spans="1:13" x14ac:dyDescent="0.25">
      <c r="A157" t="str">
        <v>LA</v>
      </c>
      <c r="B157" s="35">
        <v>23.952507100409132</v>
      </c>
      <c r="C157" s="35">
        <v>1966.1810349653431</v>
      </c>
      <c r="D157" s="35">
        <v>5688.1892168644699</v>
      </c>
      <c r="E157" s="35">
        <v>11706.854546043525</v>
      </c>
      <c r="F157" s="35">
        <v>18162.037438449814</v>
      </c>
      <c r="G157" s="35">
        <v>23806.616860558071</v>
      </c>
      <c r="H157" s="35">
        <v>35689.551092574344</v>
      </c>
      <c r="I157" s="35">
        <v>49183.16895205131</v>
      </c>
      <c r="J157" s="35">
        <v>127263.2965391817</v>
      </c>
      <c r="K157" s="35">
        <v>155963.12919239033</v>
      </c>
      <c r="L157" s="1"/>
      <c r="M157" s="4" t="str">
        <f t="shared" si="23"/>
        <v>$million</v>
      </c>
    </row>
    <row r="158" spans="1:13" ht="13.5" thickBot="1" x14ac:dyDescent="0.35">
      <c r="A158" s="2" t="s">
        <v>257</v>
      </c>
      <c r="B158" s="56">
        <f t="shared" ref="B158:K158" si="24">SUM(B150:B157)</f>
        <v>2416.5511998229445</v>
      </c>
      <c r="C158" s="56">
        <f t="shared" si="24"/>
        <v>69018.122507444597</v>
      </c>
      <c r="D158" s="56">
        <f t="shared" si="24"/>
        <v>171212.82792510703</v>
      </c>
      <c r="E158" s="56">
        <f t="shared" si="24"/>
        <v>257683.04030470038</v>
      </c>
      <c r="F158" s="56">
        <f t="shared" si="24"/>
        <v>357293.89317503595</v>
      </c>
      <c r="G158" s="56">
        <f t="shared" si="24"/>
        <v>438661.79611480259</v>
      </c>
      <c r="H158" s="56">
        <f t="shared" si="24"/>
        <v>600271.53783053067</v>
      </c>
      <c r="I158" s="56">
        <f t="shared" si="24"/>
        <v>787636.26983017137</v>
      </c>
      <c r="J158" s="56">
        <f t="shared" si="24"/>
        <v>2038038.4246922182</v>
      </c>
      <c r="K158" s="56">
        <f t="shared" si="24"/>
        <v>2497647.4661055505</v>
      </c>
      <c r="L158" s="1"/>
      <c r="M158" s="4" t="str">
        <f t="shared" si="23"/>
        <v>$million</v>
      </c>
    </row>
    <row r="159" spans="1:13" s="2" customFormat="1" ht="15.5" thickTop="1" x14ac:dyDescent="0.4">
      <c r="A159" s="2" t="s">
        <v>127</v>
      </c>
      <c r="B159" s="2" t="s">
        <v>452</v>
      </c>
    </row>
    <row r="160" spans="1:13" x14ac:dyDescent="0.25">
      <c r="A160" t="str">
        <f t="array" ref="A160:A167">R_CODE</f>
        <v>EU</v>
      </c>
      <c r="B160" s="37">
        <f t="array" ref="B160:K167">IF(EQUITY_COSTS=0,act_b*DFC,wact_b*DF)</f>
        <v>766.35717205480876</v>
      </c>
      <c r="C160" s="37">
        <v>13897.106081320775</v>
      </c>
      <c r="D160" s="37">
        <v>23659.819425867092</v>
      </c>
      <c r="E160" s="37">
        <v>22741.76426413592</v>
      </c>
      <c r="F160" s="37">
        <v>21031.622081204154</v>
      </c>
      <c r="G160" s="37">
        <v>17498.430531677699</v>
      </c>
      <c r="H160" s="37">
        <v>11360.353172613906</v>
      </c>
      <c r="I160" s="37">
        <v>7478.5919848388003</v>
      </c>
      <c r="J160" s="37">
        <v>1006.8946430961465</v>
      </c>
      <c r="K160" s="37">
        <v>64.206697334240303</v>
      </c>
      <c r="L160" s="1"/>
      <c r="M160" s="4" t="str">
        <f t="shared" ref="M160:M168" si="25">CURRENCY_NAME</f>
        <v>$million</v>
      </c>
    </row>
    <row r="161" spans="1:16" x14ac:dyDescent="0.25">
      <c r="A161" t="str">
        <v>US</v>
      </c>
      <c r="B161" s="38">
        <v>632.25353103400823</v>
      </c>
      <c r="C161" s="38">
        <v>11715.497394099546</v>
      </c>
      <c r="D161" s="38">
        <v>20301.655712151201</v>
      </c>
      <c r="E161" s="38">
        <v>20348.771728741136</v>
      </c>
      <c r="F161" s="38">
        <v>19665.730448513896</v>
      </c>
      <c r="G161" s="38">
        <v>17010.220071825053</v>
      </c>
      <c r="H161" s="38">
        <v>11894.013531074945</v>
      </c>
      <c r="I161" s="38">
        <v>8204.8841209162529</v>
      </c>
      <c r="J161" s="38">
        <v>1104.6803843990197</v>
      </c>
      <c r="K161" s="38">
        <v>70.442205228228701</v>
      </c>
      <c r="L161" s="1"/>
      <c r="M161" s="4" t="str">
        <f t="shared" si="25"/>
        <v>$million</v>
      </c>
    </row>
    <row r="162" spans="1:16" x14ac:dyDescent="0.25">
      <c r="A162" t="str">
        <v>OT</v>
      </c>
      <c r="B162" s="38">
        <v>250.63473916402538</v>
      </c>
      <c r="C162" s="38">
        <v>5473.5424058874005</v>
      </c>
      <c r="D162" s="38">
        <v>11324.396983288865</v>
      </c>
      <c r="E162" s="38">
        <v>13346.615709883501</v>
      </c>
      <c r="F162" s="38">
        <v>14871.168669620436</v>
      </c>
      <c r="G162" s="38">
        <v>14628.472954655626</v>
      </c>
      <c r="H162" s="38">
        <v>12142.21453217401</v>
      </c>
      <c r="I162" s="38">
        <v>9264.6460061660255</v>
      </c>
      <c r="J162" s="38">
        <v>1247.3634679766137</v>
      </c>
      <c r="K162" s="38">
        <v>79.540684026177814</v>
      </c>
      <c r="L162" s="1"/>
      <c r="M162" s="4" t="str">
        <f t="shared" si="25"/>
        <v>$million</v>
      </c>
    </row>
    <row r="163" spans="1:16" x14ac:dyDescent="0.25">
      <c r="A163" t="str">
        <v>EE</v>
      </c>
      <c r="B163" s="38">
        <v>50.126947832775159</v>
      </c>
      <c r="C163" s="38">
        <v>1094.7084811774052</v>
      </c>
      <c r="D163" s="38">
        <v>2264.8793966577523</v>
      </c>
      <c r="E163" s="38">
        <v>2669.3231419767471</v>
      </c>
      <c r="F163" s="38">
        <v>2974.2337339240989</v>
      </c>
      <c r="G163" s="38">
        <v>2925.6945909312194</v>
      </c>
      <c r="H163" s="38">
        <v>2428.4429064348014</v>
      </c>
      <c r="I163" s="38">
        <v>1852.9292012332637</v>
      </c>
      <c r="J163" s="38">
        <v>249.47269359532507</v>
      </c>
      <c r="K163" s="38">
        <v>15.908136805235683</v>
      </c>
      <c r="L163" s="1"/>
      <c r="M163" s="4" t="str">
        <f t="shared" si="25"/>
        <v>$million</v>
      </c>
    </row>
    <row r="164" spans="1:16" x14ac:dyDescent="0.25">
      <c r="A164" t="str">
        <v>CA</v>
      </c>
      <c r="B164" s="38">
        <v>35.645829559982282</v>
      </c>
      <c r="C164" s="38">
        <v>2177.2535348027345</v>
      </c>
      <c r="D164" s="38">
        <v>4686.9172859384325</v>
      </c>
      <c r="E164" s="38">
        <v>7177.6326900672429</v>
      </c>
      <c r="F164" s="38">
        <v>8285.7786462342192</v>
      </c>
      <c r="G164" s="38">
        <v>8081.5412851589881</v>
      </c>
      <c r="H164" s="38">
        <v>6708.0007830748054</v>
      </c>
      <c r="I164" s="38">
        <v>5118.2799068155537</v>
      </c>
      <c r="J164" s="38">
        <v>689.10947815940904</v>
      </c>
      <c r="K164" s="38">
        <v>43.942476005517982</v>
      </c>
      <c r="L164" s="1"/>
      <c r="M164" s="4" t="str">
        <f t="shared" si="25"/>
        <v>$million</v>
      </c>
    </row>
    <row r="165" spans="1:16" x14ac:dyDescent="0.25">
      <c r="A165" t="str">
        <v>IA</v>
      </c>
      <c r="B165" s="38">
        <v>29.704857966683072</v>
      </c>
      <c r="C165" s="38">
        <v>1814.3779456689454</v>
      </c>
      <c r="D165" s="38">
        <v>3905.7644049486935</v>
      </c>
      <c r="E165" s="38">
        <v>5981.36057505597</v>
      </c>
      <c r="F165" s="38">
        <v>6904.8155385284917</v>
      </c>
      <c r="G165" s="38">
        <v>6734.6177376322121</v>
      </c>
      <c r="H165" s="38">
        <v>5590.0006525622921</v>
      </c>
      <c r="I165" s="38">
        <v>4265.2332556798274</v>
      </c>
      <c r="J165" s="38">
        <v>574.25789846617681</v>
      </c>
      <c r="K165" s="38">
        <v>36.618730004597793</v>
      </c>
      <c r="L165" s="1"/>
      <c r="M165" s="4" t="str">
        <f t="shared" si="25"/>
        <v>$million</v>
      </c>
    </row>
    <row r="166" spans="1:16" x14ac:dyDescent="0.25">
      <c r="A166" t="str">
        <v>AF</v>
      </c>
      <c r="B166" s="38">
        <v>15.595050432415105</v>
      </c>
      <c r="C166" s="38">
        <v>952.54842147613408</v>
      </c>
      <c r="D166" s="38">
        <v>2050.5263125980646</v>
      </c>
      <c r="E166" s="38">
        <v>3140.2143019043747</v>
      </c>
      <c r="F166" s="38">
        <v>3625.0281577274905</v>
      </c>
      <c r="G166" s="38">
        <v>3535.6743122569842</v>
      </c>
      <c r="H166" s="38">
        <v>2934.7503425952318</v>
      </c>
      <c r="I166" s="38">
        <v>2239.2474592318649</v>
      </c>
      <c r="J166" s="38">
        <v>301.48539669473377</v>
      </c>
      <c r="K166" s="38">
        <v>19.224833252415745</v>
      </c>
      <c r="L166" s="1"/>
      <c r="M166" s="4" t="str">
        <f t="shared" si="25"/>
        <v>$million</v>
      </c>
    </row>
    <row r="167" spans="1:16" x14ac:dyDescent="0.25">
      <c r="A167" t="str">
        <v>LA</v>
      </c>
      <c r="B167" s="38">
        <v>17.822914779935036</v>
      </c>
      <c r="C167" s="38">
        <v>1088.626767401305</v>
      </c>
      <c r="D167" s="38">
        <v>2343.4586429693172</v>
      </c>
      <c r="E167" s="38">
        <v>3588.8163450335819</v>
      </c>
      <c r="F167" s="38">
        <v>4142.8893231169704</v>
      </c>
      <c r="G167" s="38">
        <v>4040.7706425794704</v>
      </c>
      <c r="H167" s="38">
        <v>3354.0003915374841</v>
      </c>
      <c r="I167" s="38">
        <v>2559.1399534078664</v>
      </c>
      <c r="J167" s="38">
        <v>344.55473907971214</v>
      </c>
      <c r="K167" s="38">
        <v>21.971238002759943</v>
      </c>
      <c r="L167" s="1"/>
      <c r="M167" s="4" t="str">
        <f t="shared" si="25"/>
        <v>$million</v>
      </c>
      <c r="P167" s="12"/>
    </row>
    <row r="168" spans="1:16" ht="13" x14ac:dyDescent="0.3">
      <c r="A168" s="2" t="s">
        <v>257</v>
      </c>
      <c r="B168" s="54">
        <f>SUM(B160:B167)</f>
        <v>1798.1410428246329</v>
      </c>
      <c r="C168" s="54">
        <f t="shared" ref="C168:K168" si="26">SUM(C160:C167)</f>
        <v>38213.661031834243</v>
      </c>
      <c r="D168" s="54">
        <f t="shared" si="26"/>
        <v>70537.418164419418</v>
      </c>
      <c r="E168" s="54">
        <f t="shared" si="26"/>
        <v>78994.498756798479</v>
      </c>
      <c r="F168" s="54">
        <f t="shared" si="26"/>
        <v>81501.266598869741</v>
      </c>
      <c r="G168" s="54">
        <f t="shared" si="26"/>
        <v>74455.422126717269</v>
      </c>
      <c r="H168" s="54">
        <f t="shared" si="26"/>
        <v>56411.776312067479</v>
      </c>
      <c r="I168" s="54">
        <f t="shared" si="26"/>
        <v>40982.951888289448</v>
      </c>
      <c r="J168" s="54">
        <f t="shared" si="26"/>
        <v>5517.8187014671366</v>
      </c>
      <c r="K168" s="54">
        <f t="shared" si="26"/>
        <v>351.85500065917398</v>
      </c>
      <c r="L168" s="58"/>
      <c r="M168" s="4" t="str">
        <f t="shared" si="25"/>
        <v>$million</v>
      </c>
    </row>
    <row r="169" spans="1:16" s="2" customFormat="1" ht="15" x14ac:dyDescent="0.4">
      <c r="A169" s="2" t="s">
        <v>128</v>
      </c>
      <c r="B169" s="2" t="s">
        <v>453</v>
      </c>
      <c r="L169" s="2" t="s">
        <v>145</v>
      </c>
    </row>
    <row r="170" spans="1:16" s="4" customFormat="1" x14ac:dyDescent="0.25">
      <c r="A170" t="str">
        <f t="array" ref="A170:A177">R_CODE</f>
        <v>EU</v>
      </c>
      <c r="B170" s="37">
        <f t="array" ref="B170:K177">wacdt_b*YAGG</f>
        <v>11495.357580822132</v>
      </c>
      <c r="C170" s="37">
        <v>138971.06081320776</v>
      </c>
      <c r="D170" s="37">
        <v>236598.1942586709</v>
      </c>
      <c r="E170" s="37">
        <v>227417.64264135918</v>
      </c>
      <c r="F170" s="37">
        <v>210316.22081204155</v>
      </c>
      <c r="G170" s="37">
        <v>262476.45797516551</v>
      </c>
      <c r="H170" s="37">
        <v>227207.06345227812</v>
      </c>
      <c r="I170" s="37">
        <v>448715.51909032802</v>
      </c>
      <c r="J170" s="37">
        <v>100689.46430961465</v>
      </c>
      <c r="K170" s="37">
        <v>3210.3348667120154</v>
      </c>
      <c r="L170" s="55">
        <f>SUM(B170:K170)</f>
        <v>1867097.3158002</v>
      </c>
      <c r="M170" s="4" t="str">
        <f t="shared" ref="M170:M179" si="27">CURRENCY_NAME</f>
        <v>$million</v>
      </c>
    </row>
    <row r="171" spans="1:16" s="4" customFormat="1" x14ac:dyDescent="0.25">
      <c r="A171" t="str">
        <v>US</v>
      </c>
      <c r="B171" s="38">
        <v>9483.8029655101236</v>
      </c>
      <c r="C171" s="38">
        <v>117154.97394099546</v>
      </c>
      <c r="D171" s="38">
        <v>203016.55712151201</v>
      </c>
      <c r="E171" s="38">
        <v>203487.71728741136</v>
      </c>
      <c r="F171" s="38">
        <v>196657.30448513897</v>
      </c>
      <c r="G171" s="38">
        <v>255153.3010773758</v>
      </c>
      <c r="H171" s="38">
        <v>237880.2706214989</v>
      </c>
      <c r="I171" s="38">
        <v>492293.04725497519</v>
      </c>
      <c r="J171" s="38">
        <v>110468.03843990197</v>
      </c>
      <c r="K171" s="38">
        <v>3522.1102614114352</v>
      </c>
      <c r="L171" s="54">
        <f t="shared" ref="L171:L178" si="28">SUM(B171:K171)</f>
        <v>1829117.1234557312</v>
      </c>
      <c r="M171" s="4" t="str">
        <f t="shared" si="27"/>
        <v>$million</v>
      </c>
    </row>
    <row r="172" spans="1:16" s="4" customFormat="1" x14ac:dyDescent="0.25">
      <c r="A172" t="str">
        <v>OT</v>
      </c>
      <c r="B172" s="38">
        <v>3759.5210874603808</v>
      </c>
      <c r="C172" s="38">
        <v>54735.424058874007</v>
      </c>
      <c r="D172" s="38">
        <v>113243.96983288866</v>
      </c>
      <c r="E172" s="38">
        <v>133466.15709883501</v>
      </c>
      <c r="F172" s="38">
        <v>148711.68669620436</v>
      </c>
      <c r="G172" s="38">
        <v>219427.0943198344</v>
      </c>
      <c r="H172" s="38">
        <v>242844.2906434802</v>
      </c>
      <c r="I172" s="38">
        <v>555878.7603699615</v>
      </c>
      <c r="J172" s="38">
        <v>124736.34679766138</v>
      </c>
      <c r="K172" s="38">
        <v>3977.0342013088907</v>
      </c>
      <c r="L172" s="54">
        <f t="shared" si="28"/>
        <v>1600780.2851065088</v>
      </c>
      <c r="M172" s="4" t="str">
        <f t="shared" si="27"/>
        <v>$million</v>
      </c>
    </row>
    <row r="173" spans="1:16" s="4" customFormat="1" x14ac:dyDescent="0.25">
      <c r="A173" t="str">
        <v>EE</v>
      </c>
      <c r="B173" s="38">
        <v>751.90421749162738</v>
      </c>
      <c r="C173" s="38">
        <v>10947.084811774053</v>
      </c>
      <c r="D173" s="38">
        <v>22648.793966577523</v>
      </c>
      <c r="E173" s="38">
        <v>26693.231419767471</v>
      </c>
      <c r="F173" s="38">
        <v>29742.337339240989</v>
      </c>
      <c r="G173" s="38">
        <v>43885.418863968291</v>
      </c>
      <c r="H173" s="38">
        <v>48568.858128696025</v>
      </c>
      <c r="I173" s="38">
        <v>111175.75207399583</v>
      </c>
      <c r="J173" s="38">
        <v>24947.269359532507</v>
      </c>
      <c r="K173" s="38">
        <v>795.40684026178417</v>
      </c>
      <c r="L173" s="54">
        <f t="shared" si="28"/>
        <v>320156.05702130607</v>
      </c>
      <c r="M173" s="4" t="str">
        <f t="shared" si="27"/>
        <v>$million</v>
      </c>
    </row>
    <row r="174" spans="1:16" s="4" customFormat="1" x14ac:dyDescent="0.25">
      <c r="A174" t="str">
        <v>CA</v>
      </c>
      <c r="B174" s="38">
        <v>534.68744339973421</v>
      </c>
      <c r="C174" s="38">
        <v>21772.535348027344</v>
      </c>
      <c r="D174" s="38">
        <v>46869.172859384329</v>
      </c>
      <c r="E174" s="38">
        <v>71776.326900672429</v>
      </c>
      <c r="F174" s="38">
        <v>82857.786462342192</v>
      </c>
      <c r="G174" s="38">
        <v>121223.11927738482</v>
      </c>
      <c r="H174" s="38">
        <v>134160.01566149612</v>
      </c>
      <c r="I174" s="38">
        <v>307096.7944089332</v>
      </c>
      <c r="J174" s="38">
        <v>68910.947815940905</v>
      </c>
      <c r="K174" s="38">
        <v>2197.1238002758992</v>
      </c>
      <c r="L174" s="54">
        <f t="shared" si="28"/>
        <v>857398.50997785688</v>
      </c>
      <c r="M174" s="4" t="str">
        <f t="shared" si="27"/>
        <v>$million</v>
      </c>
    </row>
    <row r="175" spans="1:16" s="4" customFormat="1" x14ac:dyDescent="0.25">
      <c r="A175" t="str">
        <v>IA</v>
      </c>
      <c r="B175" s="38">
        <v>445.5728695002461</v>
      </c>
      <c r="C175" s="38">
        <v>18143.779456689452</v>
      </c>
      <c r="D175" s="38">
        <v>39057.644049486931</v>
      </c>
      <c r="E175" s="38">
        <v>59813.605750559698</v>
      </c>
      <c r="F175" s="38">
        <v>69048.155385284917</v>
      </c>
      <c r="G175" s="38">
        <v>101019.26606448318</v>
      </c>
      <c r="H175" s="38">
        <v>111800.01305124584</v>
      </c>
      <c r="I175" s="38">
        <v>255913.99534078964</v>
      </c>
      <c r="J175" s="38">
        <v>57425.789846617685</v>
      </c>
      <c r="K175" s="38">
        <v>1830.9365002298896</v>
      </c>
      <c r="L175" s="54">
        <f t="shared" si="28"/>
        <v>714498.75831488753</v>
      </c>
      <c r="M175" s="4" t="str">
        <f t="shared" si="27"/>
        <v>$million</v>
      </c>
    </row>
    <row r="176" spans="1:16" s="4" customFormat="1" x14ac:dyDescent="0.25">
      <c r="A176" t="str">
        <v>AF</v>
      </c>
      <c r="B176" s="38">
        <v>233.92575648622659</v>
      </c>
      <c r="C176" s="38">
        <v>9525.4842147613417</v>
      </c>
      <c r="D176" s="38">
        <v>20505.263125980644</v>
      </c>
      <c r="E176" s="38">
        <v>31402.143019043746</v>
      </c>
      <c r="F176" s="38">
        <v>36250.281577274902</v>
      </c>
      <c r="G176" s="38">
        <v>53035.114683854765</v>
      </c>
      <c r="H176" s="38">
        <v>58695.006851904633</v>
      </c>
      <c r="I176" s="38">
        <v>134354.84755391191</v>
      </c>
      <c r="J176" s="38">
        <v>30148.539669473375</v>
      </c>
      <c r="K176" s="38">
        <v>961.24166262078722</v>
      </c>
      <c r="L176" s="54">
        <f t="shared" si="28"/>
        <v>375111.84811531234</v>
      </c>
      <c r="M176" s="4" t="str">
        <f t="shared" si="27"/>
        <v>$million</v>
      </c>
    </row>
    <row r="177" spans="1:13" s="4" customFormat="1" x14ac:dyDescent="0.25">
      <c r="A177" t="str">
        <v>LA</v>
      </c>
      <c r="B177" s="38">
        <v>267.34372169902554</v>
      </c>
      <c r="C177" s="38">
        <v>10886.26767401305</v>
      </c>
      <c r="D177" s="38">
        <v>23434.586429693172</v>
      </c>
      <c r="E177" s="38">
        <v>35888.163450335822</v>
      </c>
      <c r="F177" s="38">
        <v>41428.893231169706</v>
      </c>
      <c r="G177" s="38">
        <v>60611.559638692059</v>
      </c>
      <c r="H177" s="38">
        <v>67080.007830749688</v>
      </c>
      <c r="I177" s="38">
        <v>153548.39720447198</v>
      </c>
      <c r="J177" s="38">
        <v>34455.473907971216</v>
      </c>
      <c r="K177" s="38">
        <v>1098.5619001379971</v>
      </c>
      <c r="L177" s="54">
        <f t="shared" si="28"/>
        <v>428699.25498893374</v>
      </c>
      <c r="M177" s="4" t="str">
        <f t="shared" si="27"/>
        <v>$million</v>
      </c>
    </row>
    <row r="178" spans="1:13" s="2" customFormat="1" ht="13" x14ac:dyDescent="0.3">
      <c r="A178" s="2" t="s">
        <v>257</v>
      </c>
      <c r="B178" s="54">
        <f>SUM(B170:B177)</f>
        <v>26972.115642369496</v>
      </c>
      <c r="C178" s="54">
        <f t="shared" ref="C178:K178" si="29">SUM(C170:C177)</f>
        <v>382136.61031834246</v>
      </c>
      <c r="D178" s="54">
        <f t="shared" si="29"/>
        <v>705374.18164419418</v>
      </c>
      <c r="E178" s="54">
        <f t="shared" si="29"/>
        <v>789944.98756798473</v>
      </c>
      <c r="F178" s="54">
        <f t="shared" si="29"/>
        <v>815012.66598869755</v>
      </c>
      <c r="G178" s="54">
        <f t="shared" si="29"/>
        <v>1116831.3319007589</v>
      </c>
      <c r="H178" s="54">
        <f t="shared" si="29"/>
        <v>1128235.5262413495</v>
      </c>
      <c r="I178" s="54">
        <f t="shared" si="29"/>
        <v>2458977.1132973675</v>
      </c>
      <c r="J178" s="54">
        <f t="shared" si="29"/>
        <v>551781.87014671369</v>
      </c>
      <c r="K178" s="54">
        <f t="shared" si="29"/>
        <v>17592.750032958698</v>
      </c>
      <c r="L178" s="54">
        <f t="shared" si="28"/>
        <v>7992859.1527807368</v>
      </c>
      <c r="M178" s="4" t="str">
        <f t="shared" si="27"/>
        <v>$million</v>
      </c>
    </row>
    <row r="179" spans="1:13" ht="13.5" thickBot="1" x14ac:dyDescent="0.35">
      <c r="A179" s="2" t="s">
        <v>140</v>
      </c>
      <c r="L179" s="56">
        <f>SUM(L170:L177)</f>
        <v>7992859.1527807368</v>
      </c>
      <c r="M179" s="4" t="str">
        <f t="shared" si="27"/>
        <v>$million</v>
      </c>
    </row>
    <row r="180" spans="1:13" ht="13" thickTop="1" x14ac:dyDescent="0.25"/>
  </sheetData>
  <pageMargins left="0.75" right="0.75" top="1" bottom="1" header="0.5" footer="0.5"/>
  <pageSetup paperSize="9" orientation="portrait" horizontalDpi="360" verticalDpi="360" r:id="rId1"/>
  <headerFooter alignWithMargins="0"/>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180"/>
  <sheetViews>
    <sheetView workbookViewId="0"/>
  </sheetViews>
  <sheetFormatPr defaultRowHeight="12.5" x14ac:dyDescent="0.25"/>
  <cols>
    <col min="1" max="1" width="25.54296875" bestFit="1" customWidth="1"/>
    <col min="2" max="2" width="9.453125" bestFit="1" customWidth="1"/>
    <col min="3" max="4" width="9.26953125" bestFit="1" customWidth="1"/>
    <col min="5" max="5" width="9.453125" bestFit="1" customWidth="1"/>
    <col min="6" max="13" width="9" bestFit="1" customWidth="1"/>
  </cols>
  <sheetData>
    <row r="1" spans="1:13" ht="13" x14ac:dyDescent="0.3">
      <c r="A1" s="2" t="str">
        <f>MODEL_NAME</f>
        <v>PAGE09</v>
      </c>
      <c r="B1" t="s">
        <v>44</v>
      </c>
      <c r="C1" s="71">
        <f>VERSION</f>
        <v>1.7</v>
      </c>
    </row>
    <row r="2" spans="1:13" ht="13" x14ac:dyDescent="0.3">
      <c r="A2" s="2" t="s">
        <v>120</v>
      </c>
      <c r="B2" s="3" t="s">
        <v>430</v>
      </c>
      <c r="C2" s="3" t="s">
        <v>430</v>
      </c>
      <c r="D2" s="3" t="str">
        <f>I_1_NAME</f>
        <v>Economic</v>
      </c>
      <c r="E2" s="3" t="str">
        <f>I_1_NAME</f>
        <v>Economic</v>
      </c>
      <c r="F2" s="3" t="str">
        <f>I_2_NAME</f>
        <v>Non-econ</v>
      </c>
      <c r="G2" s="3" t="str">
        <f>I_2_NAME</f>
        <v>Non-econ</v>
      </c>
    </row>
    <row r="3" spans="1:13" x14ac:dyDescent="0.25">
      <c r="B3" s="3" t="s">
        <v>58</v>
      </c>
      <c r="C3" s="3" t="s">
        <v>431</v>
      </c>
      <c r="D3" s="3" t="s">
        <v>58</v>
      </c>
      <c r="E3" s="3" t="s">
        <v>431</v>
      </c>
      <c r="F3" s="3" t="s">
        <v>58</v>
      </c>
      <c r="G3" s="3" t="s">
        <v>431</v>
      </c>
    </row>
    <row r="4" spans="1:13" ht="15.5" x14ac:dyDescent="0.4">
      <c r="B4" s="3" t="s">
        <v>432</v>
      </c>
      <c r="C4" s="3" t="s">
        <v>433</v>
      </c>
      <c r="D4" s="3" t="s">
        <v>121</v>
      </c>
      <c r="E4" s="3" t="s">
        <v>122</v>
      </c>
      <c r="F4" s="3" t="s">
        <v>123</v>
      </c>
      <c r="G4" s="3" t="s">
        <v>124</v>
      </c>
    </row>
    <row r="5" spans="1:13" x14ac:dyDescent="0.25">
      <c r="A5" t="str">
        <f t="array" ref="A5:A12">R_CODE</f>
        <v>EU</v>
      </c>
      <c r="B5" s="19">
        <f>'Adaptive costs A'!B5-'Adaptive costs B'!B5</f>
        <v>0</v>
      </c>
      <c r="C5" s="19">
        <f>'Adaptive costs A'!C5-'Adaptive costs B'!C5</f>
        <v>0</v>
      </c>
      <c r="D5" s="19">
        <f>'Adaptive costs A'!D5-'Adaptive costs B'!D5</f>
        <v>0</v>
      </c>
      <c r="E5" s="19">
        <f>'Adaptive costs A'!E5-'Adaptive costs B'!E5</f>
        <v>0</v>
      </c>
      <c r="F5" s="19">
        <f>'Adaptive costs A'!F5-'Adaptive costs B'!F5</f>
        <v>0</v>
      </c>
      <c r="G5" s="19">
        <f>'Adaptive costs A'!G5-'Adaptive costs B'!G5</f>
        <v>0</v>
      </c>
    </row>
    <row r="6" spans="1:13" x14ac:dyDescent="0.25">
      <c r="A6" t="str">
        <v>US</v>
      </c>
      <c r="B6" s="21">
        <f>'Adaptive costs A'!B6-'Adaptive costs B'!B6</f>
        <v>0</v>
      </c>
      <c r="C6" s="21">
        <f>'Adaptive costs A'!C6-'Adaptive costs B'!C6</f>
        <v>0</v>
      </c>
      <c r="D6" s="21">
        <f>'Adaptive costs A'!D6-'Adaptive costs B'!D6</f>
        <v>0</v>
      </c>
      <c r="E6" s="21">
        <f>'Adaptive costs A'!E6-'Adaptive costs B'!E6</f>
        <v>0</v>
      </c>
      <c r="F6" s="21">
        <f>'Adaptive costs A'!F6-'Adaptive costs B'!F6</f>
        <v>0</v>
      </c>
      <c r="G6" s="21">
        <f>'Adaptive costs A'!G6-'Adaptive costs B'!G6</f>
        <v>0</v>
      </c>
    </row>
    <row r="7" spans="1:13" x14ac:dyDescent="0.25">
      <c r="A7" t="str">
        <v>OT</v>
      </c>
      <c r="B7" s="21">
        <f>'Adaptive costs A'!B7-'Adaptive costs B'!B7</f>
        <v>0</v>
      </c>
      <c r="C7" s="21">
        <f>'Adaptive costs A'!C7-'Adaptive costs B'!C7</f>
        <v>0</v>
      </c>
      <c r="D7" s="21">
        <f>'Adaptive costs A'!D7-'Adaptive costs B'!D7</f>
        <v>0</v>
      </c>
      <c r="E7" s="21">
        <f>'Adaptive costs A'!E7-'Adaptive costs B'!E7</f>
        <v>0</v>
      </c>
      <c r="F7" s="21">
        <f>'Adaptive costs A'!F7-'Adaptive costs B'!F7</f>
        <v>0</v>
      </c>
      <c r="G7" s="21">
        <f>'Adaptive costs A'!G7-'Adaptive costs B'!G7</f>
        <v>0</v>
      </c>
    </row>
    <row r="8" spans="1:13" x14ac:dyDescent="0.25">
      <c r="A8" t="str">
        <v>EE</v>
      </c>
      <c r="B8" s="21">
        <f>'Adaptive costs A'!B8-'Adaptive costs B'!B8</f>
        <v>0</v>
      </c>
      <c r="C8" s="21">
        <f>'Adaptive costs A'!C8-'Adaptive costs B'!C8</f>
        <v>0</v>
      </c>
      <c r="D8" s="21">
        <f>'Adaptive costs A'!D8-'Adaptive costs B'!D8</f>
        <v>0</v>
      </c>
      <c r="E8" s="21">
        <f>'Adaptive costs A'!E8-'Adaptive costs B'!E8</f>
        <v>0</v>
      </c>
      <c r="F8" s="21">
        <f>'Adaptive costs A'!F8-'Adaptive costs B'!F8</f>
        <v>0</v>
      </c>
      <c r="G8" s="21">
        <f>'Adaptive costs A'!G8-'Adaptive costs B'!G8</f>
        <v>0</v>
      </c>
    </row>
    <row r="9" spans="1:13" x14ac:dyDescent="0.25">
      <c r="A9" t="str">
        <v>CA</v>
      </c>
      <c r="B9" s="21">
        <f>'Adaptive costs A'!B9-'Adaptive costs B'!B9</f>
        <v>0</v>
      </c>
      <c r="C9" s="21">
        <f>'Adaptive costs A'!C9-'Adaptive costs B'!C9</f>
        <v>0</v>
      </c>
      <c r="D9" s="21">
        <f>'Adaptive costs A'!D9-'Adaptive costs B'!D9</f>
        <v>0</v>
      </c>
      <c r="E9" s="21">
        <f>'Adaptive costs A'!E9-'Adaptive costs B'!E9</f>
        <v>0</v>
      </c>
      <c r="F9" s="21">
        <f>'Adaptive costs A'!F9-'Adaptive costs B'!F9</f>
        <v>0</v>
      </c>
      <c r="G9" s="21">
        <f>'Adaptive costs A'!G9-'Adaptive costs B'!G9</f>
        <v>0</v>
      </c>
    </row>
    <row r="10" spans="1:13" x14ac:dyDescent="0.25">
      <c r="A10" t="str">
        <v>IA</v>
      </c>
      <c r="B10" s="21">
        <f>'Adaptive costs A'!B10-'Adaptive costs B'!B10</f>
        <v>0</v>
      </c>
      <c r="C10" s="21">
        <f>'Adaptive costs A'!C10-'Adaptive costs B'!C10</f>
        <v>0</v>
      </c>
      <c r="D10" s="21">
        <f>'Adaptive costs A'!D10-'Adaptive costs B'!D10</f>
        <v>0</v>
      </c>
      <c r="E10" s="21">
        <f>'Adaptive costs A'!E10-'Adaptive costs B'!E10</f>
        <v>0</v>
      </c>
      <c r="F10" s="21">
        <f>'Adaptive costs A'!F10-'Adaptive costs B'!F10</f>
        <v>0</v>
      </c>
      <c r="G10" s="21">
        <f>'Adaptive costs A'!G10-'Adaptive costs B'!G10</f>
        <v>0</v>
      </c>
    </row>
    <row r="11" spans="1:13" x14ac:dyDescent="0.25">
      <c r="A11" t="str">
        <v>AF</v>
      </c>
      <c r="B11" s="21">
        <f>'Adaptive costs A'!B11-'Adaptive costs B'!B11</f>
        <v>0</v>
      </c>
      <c r="C11" s="21">
        <f>'Adaptive costs A'!C11-'Adaptive costs B'!C11</f>
        <v>0</v>
      </c>
      <c r="D11" s="21">
        <f>'Adaptive costs A'!D11-'Adaptive costs B'!D11</f>
        <v>0</v>
      </c>
      <c r="E11" s="21">
        <f>'Adaptive costs A'!E11-'Adaptive costs B'!E11</f>
        <v>0</v>
      </c>
      <c r="F11" s="21">
        <f>'Adaptive costs A'!F11-'Adaptive costs B'!F11</f>
        <v>0</v>
      </c>
      <c r="G11" s="21">
        <f>'Adaptive costs A'!G11-'Adaptive costs B'!G11</f>
        <v>0</v>
      </c>
    </row>
    <row r="12" spans="1:13" ht="13" thickBot="1" x14ac:dyDescent="0.3">
      <c r="A12" t="str">
        <v>LA</v>
      </c>
      <c r="B12" s="23">
        <f>'Adaptive costs A'!B12-'Adaptive costs B'!B12</f>
        <v>0</v>
      </c>
      <c r="C12" s="23">
        <f>'Adaptive costs A'!C12-'Adaptive costs B'!C12</f>
        <v>0</v>
      </c>
      <c r="D12" s="23">
        <f>'Adaptive costs A'!D12-'Adaptive costs B'!D12</f>
        <v>0</v>
      </c>
      <c r="E12" s="23">
        <f>'Adaptive costs A'!E12-'Adaptive costs B'!E12</f>
        <v>0</v>
      </c>
      <c r="F12" s="23">
        <f>'Adaptive costs A'!F12-'Adaptive costs B'!F12</f>
        <v>0</v>
      </c>
      <c r="G12" s="23">
        <f>'Adaptive costs A'!G12-'Adaptive costs B'!G12</f>
        <v>0</v>
      </c>
    </row>
    <row r="13" spans="1:13" ht="13" thickTop="1" x14ac:dyDescent="0.25">
      <c r="B13" t="str">
        <f>'Library data'!$G$54</f>
        <v>%GDP per metre</v>
      </c>
      <c r="C13" t="str">
        <f>'Library data'!$G$55</f>
        <v>%GDP per %reduction per metre</v>
      </c>
      <c r="D13" t="str">
        <f>'Library data'!$G$56</f>
        <v>%GDP per degC</v>
      </c>
      <c r="E13" t="str">
        <f>'Library data'!$G$57</f>
        <v>%GDP per %reduction per degC</v>
      </c>
      <c r="F13" t="str">
        <f>'Library data'!$G$58</f>
        <v>%GDP per degC</v>
      </c>
      <c r="G13" t="str">
        <f>'Library data'!$G$59</f>
        <v>%GDP per %reduction per degC</v>
      </c>
    </row>
    <row r="15" spans="1:13" x14ac:dyDescent="0.25">
      <c r="B15">
        <f t="array" ref="B15:K15">Y</f>
        <v>2010</v>
      </c>
      <c r="C15">
        <v>2020</v>
      </c>
      <c r="D15">
        <v>2030</v>
      </c>
      <c r="E15">
        <v>2040</v>
      </c>
      <c r="F15">
        <v>2050</v>
      </c>
      <c r="G15">
        <v>2060</v>
      </c>
      <c r="H15">
        <v>2080</v>
      </c>
      <c r="I15">
        <v>2100</v>
      </c>
      <c r="J15">
        <v>2200</v>
      </c>
      <c r="K15">
        <v>2300</v>
      </c>
    </row>
    <row r="16" spans="1:13" s="4" customFormat="1" x14ac:dyDescent="0.25">
      <c r="A16" s="4" t="s">
        <v>71</v>
      </c>
      <c r="B16" s="20">
        <f>'Adaptive costs A'!B16-'Adaptive costs B'!B16</f>
        <v>0</v>
      </c>
      <c r="C16" s="20">
        <f>'Adaptive costs A'!C16-'Adaptive costs B'!C16</f>
        <v>0</v>
      </c>
      <c r="D16" s="20">
        <f>'Adaptive costs A'!D16-'Adaptive costs B'!D16</f>
        <v>0</v>
      </c>
      <c r="E16" s="20">
        <f>'Adaptive costs A'!E16-'Adaptive costs B'!E16</f>
        <v>0</v>
      </c>
      <c r="F16" s="20">
        <f>'Adaptive costs A'!F16-'Adaptive costs B'!F16</f>
        <v>0</v>
      </c>
      <c r="G16" s="20">
        <f>'Adaptive costs A'!G16-'Adaptive costs B'!G16</f>
        <v>0</v>
      </c>
      <c r="H16" s="20">
        <f>'Adaptive costs A'!H16-'Adaptive costs B'!H16</f>
        <v>0</v>
      </c>
      <c r="I16" s="20">
        <f>'Adaptive costs A'!I16-'Adaptive costs B'!I16</f>
        <v>0</v>
      </c>
      <c r="J16" s="20">
        <f>'Adaptive costs A'!J16-'Adaptive costs B'!J16</f>
        <v>0</v>
      </c>
      <c r="K16" s="20">
        <f>'Adaptive costs A'!K16-'Adaptive costs B'!K16</f>
        <v>0</v>
      </c>
      <c r="M16" s="4" t="s">
        <v>47</v>
      </c>
    </row>
    <row r="17" spans="1:13" s="4" customFormat="1" x14ac:dyDescent="0.25">
      <c r="A17" s="4" t="s">
        <v>113</v>
      </c>
      <c r="B17" s="22">
        <f>'Adaptive costs A'!B17-'Adaptive costs B'!B17</f>
        <v>0</v>
      </c>
      <c r="C17" s="22">
        <f>'Adaptive costs A'!C17-'Adaptive costs B'!C17</f>
        <v>0</v>
      </c>
      <c r="D17" s="22">
        <f>'Adaptive costs A'!D17-'Adaptive costs B'!D17</f>
        <v>0</v>
      </c>
      <c r="E17" s="22">
        <f>'Adaptive costs A'!E17-'Adaptive costs B'!E17</f>
        <v>0</v>
      </c>
      <c r="F17" s="22">
        <f>'Adaptive costs A'!F17-'Adaptive costs B'!F17</f>
        <v>0</v>
      </c>
      <c r="G17" s="22">
        <f>'Adaptive costs A'!G17-'Adaptive costs B'!G17</f>
        <v>0</v>
      </c>
      <c r="H17" s="22">
        <f>'Adaptive costs A'!H17-'Adaptive costs B'!H17</f>
        <v>0</v>
      </c>
      <c r="I17" s="22">
        <f>'Adaptive costs A'!I17-'Adaptive costs B'!I17</f>
        <v>0</v>
      </c>
      <c r="J17" s="22">
        <f>'Adaptive costs A'!J17-'Adaptive costs B'!J17</f>
        <v>0</v>
      </c>
      <c r="K17" s="22">
        <f>'Adaptive costs A'!K17-'Adaptive costs B'!K17</f>
        <v>0</v>
      </c>
    </row>
    <row r="18" spans="1:13" s="4" customFormat="1" x14ac:dyDescent="0.25">
      <c r="A18" s="4" t="s">
        <v>114</v>
      </c>
      <c r="B18" s="22">
        <f>'Adaptive costs A'!B18-'Adaptive costs B'!B18</f>
        <v>0</v>
      </c>
      <c r="C18" s="22">
        <f>'Adaptive costs A'!C18-'Adaptive costs B'!C18</f>
        <v>0</v>
      </c>
      <c r="D18" s="22">
        <f>'Adaptive costs A'!D18-'Adaptive costs B'!D18</f>
        <v>0</v>
      </c>
      <c r="E18" s="22">
        <f>'Adaptive costs A'!E18-'Adaptive costs B'!E18</f>
        <v>0</v>
      </c>
      <c r="F18" s="22">
        <f>'Adaptive costs A'!F18-'Adaptive costs B'!F18</f>
        <v>0</v>
      </c>
      <c r="G18" s="22">
        <f>'Adaptive costs A'!G18-'Adaptive costs B'!G18</f>
        <v>0</v>
      </c>
      <c r="H18" s="22">
        <f>'Adaptive costs A'!H18-'Adaptive costs B'!H18</f>
        <v>0</v>
      </c>
      <c r="I18" s="22">
        <f>'Adaptive costs A'!I18-'Adaptive costs B'!I18</f>
        <v>0</v>
      </c>
      <c r="J18" s="22">
        <f>'Adaptive costs A'!J18-'Adaptive costs B'!J18</f>
        <v>0</v>
      </c>
      <c r="K18" s="22">
        <f>'Adaptive costs A'!K18-'Adaptive costs B'!K18</f>
        <v>0</v>
      </c>
    </row>
    <row r="19" spans="1:13" s="4" customFormat="1" ht="13" thickBot="1" x14ac:dyDescent="0.3">
      <c r="A19" s="4" t="s">
        <v>112</v>
      </c>
      <c r="B19" s="24">
        <f>'Adaptive costs A'!B19-'Adaptive costs B'!B19</f>
        <v>0</v>
      </c>
      <c r="C19" s="24">
        <f>'Adaptive costs A'!C19-'Adaptive costs B'!C19</f>
        <v>0</v>
      </c>
      <c r="D19" s="24">
        <f>'Adaptive costs A'!D19-'Adaptive costs B'!D19</f>
        <v>0</v>
      </c>
      <c r="E19" s="24">
        <f>'Adaptive costs A'!E19-'Adaptive costs B'!E19</f>
        <v>0</v>
      </c>
      <c r="F19" s="24">
        <f>'Adaptive costs A'!F19-'Adaptive costs B'!F19</f>
        <v>0</v>
      </c>
      <c r="G19" s="24">
        <f>'Adaptive costs A'!G19-'Adaptive costs B'!G19</f>
        <v>0</v>
      </c>
      <c r="H19" s="24">
        <f>'Adaptive costs A'!H19-'Adaptive costs B'!H19</f>
        <v>0</v>
      </c>
      <c r="I19" s="24">
        <f>'Adaptive costs A'!I19-'Adaptive costs B'!I19</f>
        <v>0</v>
      </c>
      <c r="J19" s="24">
        <f>'Adaptive costs A'!J19-'Adaptive costs B'!J19</f>
        <v>0</v>
      </c>
      <c r="K19" s="24">
        <f>'Adaptive costs A'!K19-'Adaptive costs B'!K19</f>
        <v>0</v>
      </c>
      <c r="M19" s="4" t="s">
        <v>47</v>
      </c>
    </row>
    <row r="20" spans="1:13" ht="13" thickTop="1" x14ac:dyDescent="0.25"/>
    <row r="21" spans="1:13" s="2" customFormat="1" ht="15" x14ac:dyDescent="0.4">
      <c r="A21" s="2" t="s">
        <v>434</v>
      </c>
      <c r="B21" s="2" t="s">
        <v>435</v>
      </c>
    </row>
    <row r="22" spans="1:13" s="4" customFormat="1" x14ac:dyDescent="0.25">
      <c r="A22" t="str">
        <f t="array" ref="A22:A29">R_CODE&amp;" sea level"</f>
        <v>EU sea level</v>
      </c>
      <c r="B22" s="93">
        <f>'Adaptive costs A'!B22-'Adaptive costs B'!B22</f>
        <v>0</v>
      </c>
      <c r="C22" s="93">
        <f>'Adaptive costs A'!C22-'Adaptive costs B'!C22</f>
        <v>0</v>
      </c>
      <c r="D22" s="93">
        <f>'Adaptive costs A'!D22-'Adaptive costs B'!D22</f>
        <v>0</v>
      </c>
      <c r="E22" s="93">
        <f>'Adaptive costs A'!E22-'Adaptive costs B'!E22</f>
        <v>0</v>
      </c>
      <c r="F22" s="93">
        <f>'Adaptive costs A'!F22-'Adaptive costs B'!F22</f>
        <v>0</v>
      </c>
      <c r="G22" s="93">
        <f>'Adaptive costs A'!G22-'Adaptive costs B'!G22</f>
        <v>0</v>
      </c>
      <c r="H22" s="93">
        <f>'Adaptive costs A'!H22-'Adaptive costs B'!H22</f>
        <v>0</v>
      </c>
      <c r="I22" s="93">
        <f>'Adaptive costs A'!I22-'Adaptive costs B'!I22</f>
        <v>0</v>
      </c>
      <c r="J22" s="93">
        <f>'Adaptive costs A'!J22-'Adaptive costs B'!J22</f>
        <v>0</v>
      </c>
      <c r="K22" s="93">
        <f>'Adaptive costs A'!K22-'Adaptive costs B'!K22</f>
        <v>0</v>
      </c>
      <c r="M22" s="4" t="str">
        <f t="shared" ref="M22:M30" si="0">CURRENCY_NAME</f>
        <v>$million</v>
      </c>
    </row>
    <row r="23" spans="1:13" s="4" customFormat="1" x14ac:dyDescent="0.25">
      <c r="A23" t="str">
        <v>US sea level</v>
      </c>
      <c r="B23" s="94">
        <f>'Adaptive costs A'!B23-'Adaptive costs B'!B23</f>
        <v>0</v>
      </c>
      <c r="C23" s="94">
        <f>'Adaptive costs A'!C23-'Adaptive costs B'!C23</f>
        <v>0</v>
      </c>
      <c r="D23" s="94">
        <f>'Adaptive costs A'!D23-'Adaptive costs B'!D23</f>
        <v>0</v>
      </c>
      <c r="E23" s="94">
        <f>'Adaptive costs A'!E23-'Adaptive costs B'!E23</f>
        <v>0</v>
      </c>
      <c r="F23" s="94">
        <f>'Adaptive costs A'!F23-'Adaptive costs B'!F23</f>
        <v>0</v>
      </c>
      <c r="G23" s="94">
        <f>'Adaptive costs A'!G23-'Adaptive costs B'!G23</f>
        <v>0</v>
      </c>
      <c r="H23" s="94">
        <f>'Adaptive costs A'!H23-'Adaptive costs B'!H23</f>
        <v>0</v>
      </c>
      <c r="I23" s="94">
        <f>'Adaptive costs A'!I23-'Adaptive costs B'!I23</f>
        <v>0</v>
      </c>
      <c r="J23" s="94">
        <f>'Adaptive costs A'!J23-'Adaptive costs B'!J23</f>
        <v>0</v>
      </c>
      <c r="K23" s="94">
        <f>'Adaptive costs A'!K23-'Adaptive costs B'!K23</f>
        <v>0</v>
      </c>
      <c r="M23" s="4" t="str">
        <f t="shared" si="0"/>
        <v>$million</v>
      </c>
    </row>
    <row r="24" spans="1:13" s="4" customFormat="1" x14ac:dyDescent="0.25">
      <c r="A24" t="str">
        <v>OT sea level</v>
      </c>
      <c r="B24" s="94">
        <f>'Adaptive costs A'!B24-'Adaptive costs B'!B24</f>
        <v>0</v>
      </c>
      <c r="C24" s="94">
        <f>'Adaptive costs A'!C24-'Adaptive costs B'!C24</f>
        <v>0</v>
      </c>
      <c r="D24" s="94">
        <f>'Adaptive costs A'!D24-'Adaptive costs B'!D24</f>
        <v>0</v>
      </c>
      <c r="E24" s="94">
        <f>'Adaptive costs A'!E24-'Adaptive costs B'!E24</f>
        <v>0</v>
      </c>
      <c r="F24" s="94">
        <f>'Adaptive costs A'!F24-'Adaptive costs B'!F24</f>
        <v>0</v>
      </c>
      <c r="G24" s="94">
        <f>'Adaptive costs A'!G24-'Adaptive costs B'!G24</f>
        <v>0</v>
      </c>
      <c r="H24" s="94">
        <f>'Adaptive costs A'!H24-'Adaptive costs B'!H24</f>
        <v>0</v>
      </c>
      <c r="I24" s="94">
        <f>'Adaptive costs A'!I24-'Adaptive costs B'!I24</f>
        <v>0</v>
      </c>
      <c r="J24" s="94">
        <f>'Adaptive costs A'!J24-'Adaptive costs B'!J24</f>
        <v>0</v>
      </c>
      <c r="K24" s="94">
        <f>'Adaptive costs A'!K24-'Adaptive costs B'!K24</f>
        <v>0</v>
      </c>
      <c r="M24" s="4" t="str">
        <f t="shared" si="0"/>
        <v>$million</v>
      </c>
    </row>
    <row r="25" spans="1:13" s="4" customFormat="1" x14ac:dyDescent="0.25">
      <c r="A25" t="str">
        <v>EE sea level</v>
      </c>
      <c r="B25" s="94">
        <f>'Adaptive costs A'!B25-'Adaptive costs B'!B25</f>
        <v>0</v>
      </c>
      <c r="C25" s="94">
        <f>'Adaptive costs A'!C25-'Adaptive costs B'!C25</f>
        <v>0</v>
      </c>
      <c r="D25" s="94">
        <f>'Adaptive costs A'!D25-'Adaptive costs B'!D25</f>
        <v>0</v>
      </c>
      <c r="E25" s="94">
        <f>'Adaptive costs A'!E25-'Adaptive costs B'!E25</f>
        <v>0</v>
      </c>
      <c r="F25" s="94">
        <f>'Adaptive costs A'!F25-'Adaptive costs B'!F25</f>
        <v>0</v>
      </c>
      <c r="G25" s="94">
        <f>'Adaptive costs A'!G25-'Adaptive costs B'!G25</f>
        <v>0</v>
      </c>
      <c r="H25" s="94">
        <f>'Adaptive costs A'!H25-'Adaptive costs B'!H25</f>
        <v>0</v>
      </c>
      <c r="I25" s="94">
        <f>'Adaptive costs A'!I25-'Adaptive costs B'!I25</f>
        <v>0</v>
      </c>
      <c r="J25" s="94">
        <f>'Adaptive costs A'!J25-'Adaptive costs B'!J25</f>
        <v>0</v>
      </c>
      <c r="K25" s="94">
        <f>'Adaptive costs A'!K25-'Adaptive costs B'!K25</f>
        <v>0</v>
      </c>
      <c r="M25" s="4" t="str">
        <f t="shared" si="0"/>
        <v>$million</v>
      </c>
    </row>
    <row r="26" spans="1:13" s="4" customFormat="1" x14ac:dyDescent="0.25">
      <c r="A26" t="str">
        <v>CA sea level</v>
      </c>
      <c r="B26" s="94">
        <f>'Adaptive costs A'!B26-'Adaptive costs B'!B26</f>
        <v>0</v>
      </c>
      <c r="C26" s="94">
        <f>'Adaptive costs A'!C26-'Adaptive costs B'!C26</f>
        <v>0</v>
      </c>
      <c r="D26" s="94">
        <f>'Adaptive costs A'!D26-'Adaptive costs B'!D26</f>
        <v>0</v>
      </c>
      <c r="E26" s="94">
        <f>'Adaptive costs A'!E26-'Adaptive costs B'!E26</f>
        <v>0</v>
      </c>
      <c r="F26" s="94">
        <f>'Adaptive costs A'!F26-'Adaptive costs B'!F26</f>
        <v>0</v>
      </c>
      <c r="G26" s="94">
        <f>'Adaptive costs A'!G26-'Adaptive costs B'!G26</f>
        <v>0</v>
      </c>
      <c r="H26" s="94">
        <f>'Adaptive costs A'!H26-'Adaptive costs B'!H26</f>
        <v>0</v>
      </c>
      <c r="I26" s="94">
        <f>'Adaptive costs A'!I26-'Adaptive costs B'!I26</f>
        <v>0</v>
      </c>
      <c r="J26" s="94">
        <f>'Adaptive costs A'!J26-'Adaptive costs B'!J26</f>
        <v>0</v>
      </c>
      <c r="K26" s="94">
        <f>'Adaptive costs A'!K26-'Adaptive costs B'!K26</f>
        <v>0</v>
      </c>
      <c r="M26" s="4" t="str">
        <f t="shared" si="0"/>
        <v>$million</v>
      </c>
    </row>
    <row r="27" spans="1:13" s="4" customFormat="1" x14ac:dyDescent="0.25">
      <c r="A27" t="str">
        <v>IA sea level</v>
      </c>
      <c r="B27" s="94">
        <f>'Adaptive costs A'!B27-'Adaptive costs B'!B27</f>
        <v>0</v>
      </c>
      <c r="C27" s="94">
        <f>'Adaptive costs A'!C27-'Adaptive costs B'!C27</f>
        <v>0</v>
      </c>
      <c r="D27" s="94">
        <f>'Adaptive costs A'!D27-'Adaptive costs B'!D27</f>
        <v>0</v>
      </c>
      <c r="E27" s="94">
        <f>'Adaptive costs A'!E27-'Adaptive costs B'!E27</f>
        <v>0</v>
      </c>
      <c r="F27" s="94">
        <f>'Adaptive costs A'!F27-'Adaptive costs B'!F27</f>
        <v>0</v>
      </c>
      <c r="G27" s="94">
        <f>'Adaptive costs A'!G27-'Adaptive costs B'!G27</f>
        <v>0</v>
      </c>
      <c r="H27" s="94">
        <f>'Adaptive costs A'!H27-'Adaptive costs B'!H27</f>
        <v>0</v>
      </c>
      <c r="I27" s="94">
        <f>'Adaptive costs A'!I27-'Adaptive costs B'!I27</f>
        <v>0</v>
      </c>
      <c r="J27" s="94">
        <f>'Adaptive costs A'!J27-'Adaptive costs B'!J27</f>
        <v>0</v>
      </c>
      <c r="K27" s="94">
        <f>'Adaptive costs A'!K27-'Adaptive costs B'!K27</f>
        <v>0</v>
      </c>
      <c r="M27" s="4" t="str">
        <f t="shared" si="0"/>
        <v>$million</v>
      </c>
    </row>
    <row r="28" spans="1:13" s="4" customFormat="1" x14ac:dyDescent="0.25">
      <c r="A28" t="str">
        <v>AF sea level</v>
      </c>
      <c r="B28" s="94">
        <f>'Adaptive costs A'!B28-'Adaptive costs B'!B28</f>
        <v>0</v>
      </c>
      <c r="C28" s="94">
        <f>'Adaptive costs A'!C28-'Adaptive costs B'!C28</f>
        <v>0</v>
      </c>
      <c r="D28" s="94">
        <f>'Adaptive costs A'!D28-'Adaptive costs B'!D28</f>
        <v>0</v>
      </c>
      <c r="E28" s="94">
        <f>'Adaptive costs A'!E28-'Adaptive costs B'!E28</f>
        <v>0</v>
      </c>
      <c r="F28" s="94">
        <f>'Adaptive costs A'!F28-'Adaptive costs B'!F28</f>
        <v>0</v>
      </c>
      <c r="G28" s="94">
        <f>'Adaptive costs A'!G28-'Adaptive costs B'!G28</f>
        <v>0</v>
      </c>
      <c r="H28" s="94">
        <f>'Adaptive costs A'!H28-'Adaptive costs B'!H28</f>
        <v>0</v>
      </c>
      <c r="I28" s="94">
        <f>'Adaptive costs A'!I28-'Adaptive costs B'!I28</f>
        <v>0</v>
      </c>
      <c r="J28" s="94">
        <f>'Adaptive costs A'!J28-'Adaptive costs B'!J28</f>
        <v>0</v>
      </c>
      <c r="K28" s="94">
        <f>'Adaptive costs A'!K28-'Adaptive costs B'!K28</f>
        <v>0</v>
      </c>
      <c r="M28" s="4" t="str">
        <f t="shared" si="0"/>
        <v>$million</v>
      </c>
    </row>
    <row r="29" spans="1:13" s="4" customFormat="1" x14ac:dyDescent="0.25">
      <c r="A29" t="str">
        <v>LA sea level</v>
      </c>
      <c r="B29" s="94">
        <f>'Adaptive costs A'!B29-'Adaptive costs B'!B29</f>
        <v>0</v>
      </c>
      <c r="C29" s="94">
        <f>'Adaptive costs A'!C29-'Adaptive costs B'!C29</f>
        <v>0</v>
      </c>
      <c r="D29" s="94">
        <f>'Adaptive costs A'!D29-'Adaptive costs B'!D29</f>
        <v>0</v>
      </c>
      <c r="E29" s="94">
        <f>'Adaptive costs A'!E29-'Adaptive costs B'!E29</f>
        <v>0</v>
      </c>
      <c r="F29" s="94">
        <f>'Adaptive costs A'!F29-'Adaptive costs B'!F29</f>
        <v>0</v>
      </c>
      <c r="G29" s="94">
        <f>'Adaptive costs A'!G29-'Adaptive costs B'!G29</f>
        <v>0</v>
      </c>
      <c r="H29" s="94">
        <f>'Adaptive costs A'!H29-'Adaptive costs B'!H29</f>
        <v>0</v>
      </c>
      <c r="I29" s="94">
        <f>'Adaptive costs A'!I29-'Adaptive costs B'!I29</f>
        <v>0</v>
      </c>
      <c r="J29" s="94">
        <f>'Adaptive costs A'!J29-'Adaptive costs B'!J29</f>
        <v>0</v>
      </c>
      <c r="K29" s="94">
        <f>'Adaptive costs A'!K29-'Adaptive costs B'!K29</f>
        <v>0</v>
      </c>
      <c r="M29" s="4" t="str">
        <f t="shared" si="0"/>
        <v>$million</v>
      </c>
    </row>
    <row r="30" spans="1:13" ht="13.5" thickBot="1" x14ac:dyDescent="0.35">
      <c r="A30" s="2" t="s">
        <v>438</v>
      </c>
      <c r="B30" s="102">
        <f>'Adaptive costs A'!B30-'Adaptive costs B'!B30</f>
        <v>0</v>
      </c>
      <c r="C30" s="102">
        <f>'Adaptive costs A'!C30-'Adaptive costs B'!C30</f>
        <v>0</v>
      </c>
      <c r="D30" s="102">
        <f>'Adaptive costs A'!D30-'Adaptive costs B'!D30</f>
        <v>0</v>
      </c>
      <c r="E30" s="102">
        <f>'Adaptive costs A'!E30-'Adaptive costs B'!E30</f>
        <v>0</v>
      </c>
      <c r="F30" s="102">
        <f>'Adaptive costs A'!F30-'Adaptive costs B'!F30</f>
        <v>0</v>
      </c>
      <c r="G30" s="102">
        <f>'Adaptive costs A'!G30-'Adaptive costs B'!G30</f>
        <v>0</v>
      </c>
      <c r="H30" s="102">
        <f>'Adaptive costs A'!H30-'Adaptive costs B'!H30</f>
        <v>0</v>
      </c>
      <c r="I30" s="102">
        <f>'Adaptive costs A'!I30-'Adaptive costs B'!I30</f>
        <v>0</v>
      </c>
      <c r="J30" s="102">
        <f>'Adaptive costs A'!J30-'Adaptive costs B'!J30</f>
        <v>0</v>
      </c>
      <c r="K30" s="102">
        <f>'Adaptive costs A'!K30-'Adaptive costs B'!K30</f>
        <v>0</v>
      </c>
      <c r="L30" s="1"/>
      <c r="M30" s="4" t="str">
        <f t="shared" si="0"/>
        <v>$million</v>
      </c>
    </row>
    <row r="31" spans="1:13" s="2" customFormat="1" ht="15.5" thickTop="1" x14ac:dyDescent="0.4">
      <c r="A31" s="2" t="s">
        <v>436</v>
      </c>
      <c r="B31" s="2" t="s">
        <v>437</v>
      </c>
    </row>
    <row r="32" spans="1:13" x14ac:dyDescent="0.25">
      <c r="A32" t="str">
        <f t="array" ref="A32:A39">R_CODE&amp;" sea level"</f>
        <v>EU sea level</v>
      </c>
      <c r="B32" s="93">
        <f>'Adaptive costs A'!B32-'Adaptive costs B'!B32</f>
        <v>0</v>
      </c>
      <c r="C32" s="93">
        <f>'Adaptive costs A'!C32-'Adaptive costs B'!C32</f>
        <v>0</v>
      </c>
      <c r="D32" s="93">
        <f>'Adaptive costs A'!D32-'Adaptive costs B'!D32</f>
        <v>0</v>
      </c>
      <c r="E32" s="93">
        <f>'Adaptive costs A'!E32-'Adaptive costs B'!E32</f>
        <v>0</v>
      </c>
      <c r="F32" s="93">
        <f>'Adaptive costs A'!F32-'Adaptive costs B'!F32</f>
        <v>0</v>
      </c>
      <c r="G32" s="93">
        <f>'Adaptive costs A'!G32-'Adaptive costs B'!G32</f>
        <v>0</v>
      </c>
      <c r="H32" s="93">
        <f>'Adaptive costs A'!H32-'Adaptive costs B'!H32</f>
        <v>0</v>
      </c>
      <c r="I32" s="93">
        <f>'Adaptive costs A'!I32-'Adaptive costs B'!I32</f>
        <v>0</v>
      </c>
      <c r="J32" s="93">
        <f>'Adaptive costs A'!J32-'Adaptive costs B'!J32</f>
        <v>0</v>
      </c>
      <c r="K32" s="93">
        <f>'Adaptive costs A'!K32-'Adaptive costs B'!K32</f>
        <v>0</v>
      </c>
      <c r="M32" s="4" t="str">
        <f t="shared" ref="M32:M40" si="1">CURRENCY_NAME</f>
        <v>$million</v>
      </c>
    </row>
    <row r="33" spans="1:13" x14ac:dyDescent="0.25">
      <c r="A33" t="str">
        <v>US sea level</v>
      </c>
      <c r="B33" s="94">
        <f>'Adaptive costs A'!B33-'Adaptive costs B'!B33</f>
        <v>0</v>
      </c>
      <c r="C33" s="94">
        <f>'Adaptive costs A'!C33-'Adaptive costs B'!C33</f>
        <v>0</v>
      </c>
      <c r="D33" s="94">
        <f>'Adaptive costs A'!D33-'Adaptive costs B'!D33</f>
        <v>0</v>
      </c>
      <c r="E33" s="94">
        <f>'Adaptive costs A'!E33-'Adaptive costs B'!E33</f>
        <v>0</v>
      </c>
      <c r="F33" s="94">
        <f>'Adaptive costs A'!F33-'Adaptive costs B'!F33</f>
        <v>0</v>
      </c>
      <c r="G33" s="94">
        <f>'Adaptive costs A'!G33-'Adaptive costs B'!G33</f>
        <v>0</v>
      </c>
      <c r="H33" s="94">
        <f>'Adaptive costs A'!H33-'Adaptive costs B'!H33</f>
        <v>0</v>
      </c>
      <c r="I33" s="94">
        <f>'Adaptive costs A'!I33-'Adaptive costs B'!I33</f>
        <v>0</v>
      </c>
      <c r="J33" s="94">
        <f>'Adaptive costs A'!J33-'Adaptive costs B'!J33</f>
        <v>0</v>
      </c>
      <c r="K33" s="94">
        <f>'Adaptive costs A'!K33-'Adaptive costs B'!K33</f>
        <v>0</v>
      </c>
      <c r="M33" s="4" t="str">
        <f t="shared" si="1"/>
        <v>$million</v>
      </c>
    </row>
    <row r="34" spans="1:13" x14ac:dyDescent="0.25">
      <c r="A34" t="str">
        <v>OT sea level</v>
      </c>
      <c r="B34" s="94">
        <f>'Adaptive costs A'!B34-'Adaptive costs B'!B34</f>
        <v>0</v>
      </c>
      <c r="C34" s="94">
        <f>'Adaptive costs A'!C34-'Adaptive costs B'!C34</f>
        <v>0</v>
      </c>
      <c r="D34" s="94">
        <f>'Adaptive costs A'!D34-'Adaptive costs B'!D34</f>
        <v>0</v>
      </c>
      <c r="E34" s="94">
        <f>'Adaptive costs A'!E34-'Adaptive costs B'!E34</f>
        <v>0</v>
      </c>
      <c r="F34" s="94">
        <f>'Adaptive costs A'!F34-'Adaptive costs B'!F34</f>
        <v>0</v>
      </c>
      <c r="G34" s="94">
        <f>'Adaptive costs A'!G34-'Adaptive costs B'!G34</f>
        <v>0</v>
      </c>
      <c r="H34" s="94">
        <f>'Adaptive costs A'!H34-'Adaptive costs B'!H34</f>
        <v>0</v>
      </c>
      <c r="I34" s="94">
        <f>'Adaptive costs A'!I34-'Adaptive costs B'!I34</f>
        <v>0</v>
      </c>
      <c r="J34" s="94">
        <f>'Adaptive costs A'!J34-'Adaptive costs B'!J34</f>
        <v>0</v>
      </c>
      <c r="K34" s="94">
        <f>'Adaptive costs A'!K34-'Adaptive costs B'!K34</f>
        <v>0</v>
      </c>
      <c r="M34" s="4" t="str">
        <f t="shared" si="1"/>
        <v>$million</v>
      </c>
    </row>
    <row r="35" spans="1:13" x14ac:dyDescent="0.25">
      <c r="A35" t="str">
        <v>EE sea level</v>
      </c>
      <c r="B35" s="94">
        <f>'Adaptive costs A'!B35-'Adaptive costs B'!B35</f>
        <v>0</v>
      </c>
      <c r="C35" s="94">
        <f>'Adaptive costs A'!C35-'Adaptive costs B'!C35</f>
        <v>0</v>
      </c>
      <c r="D35" s="94">
        <f>'Adaptive costs A'!D35-'Adaptive costs B'!D35</f>
        <v>0</v>
      </c>
      <c r="E35" s="94">
        <f>'Adaptive costs A'!E35-'Adaptive costs B'!E35</f>
        <v>0</v>
      </c>
      <c r="F35" s="94">
        <f>'Adaptive costs A'!F35-'Adaptive costs B'!F35</f>
        <v>0</v>
      </c>
      <c r="G35" s="94">
        <f>'Adaptive costs A'!G35-'Adaptive costs B'!G35</f>
        <v>0</v>
      </c>
      <c r="H35" s="94">
        <f>'Adaptive costs A'!H35-'Adaptive costs B'!H35</f>
        <v>0</v>
      </c>
      <c r="I35" s="94">
        <f>'Adaptive costs A'!I35-'Adaptive costs B'!I35</f>
        <v>0</v>
      </c>
      <c r="J35" s="94">
        <f>'Adaptive costs A'!J35-'Adaptive costs B'!J35</f>
        <v>0</v>
      </c>
      <c r="K35" s="94">
        <f>'Adaptive costs A'!K35-'Adaptive costs B'!K35</f>
        <v>0</v>
      </c>
      <c r="M35" s="4" t="str">
        <f t="shared" si="1"/>
        <v>$million</v>
      </c>
    </row>
    <row r="36" spans="1:13" x14ac:dyDescent="0.25">
      <c r="A36" t="str">
        <v>CA sea level</v>
      </c>
      <c r="B36" s="94">
        <f>'Adaptive costs A'!B36-'Adaptive costs B'!B36</f>
        <v>0</v>
      </c>
      <c r="C36" s="94">
        <f>'Adaptive costs A'!C36-'Adaptive costs B'!C36</f>
        <v>0</v>
      </c>
      <c r="D36" s="94">
        <f>'Adaptive costs A'!D36-'Adaptive costs B'!D36</f>
        <v>0</v>
      </c>
      <c r="E36" s="94">
        <f>'Adaptive costs A'!E36-'Adaptive costs B'!E36</f>
        <v>0</v>
      </c>
      <c r="F36" s="94">
        <f>'Adaptive costs A'!F36-'Adaptive costs B'!F36</f>
        <v>0</v>
      </c>
      <c r="G36" s="94">
        <f>'Adaptive costs A'!G36-'Adaptive costs B'!G36</f>
        <v>0</v>
      </c>
      <c r="H36" s="94">
        <f>'Adaptive costs A'!H36-'Adaptive costs B'!H36</f>
        <v>0</v>
      </c>
      <c r="I36" s="94">
        <f>'Adaptive costs A'!I36-'Adaptive costs B'!I36</f>
        <v>0</v>
      </c>
      <c r="J36" s="94">
        <f>'Adaptive costs A'!J36-'Adaptive costs B'!J36</f>
        <v>0</v>
      </c>
      <c r="K36" s="94">
        <f>'Adaptive costs A'!K36-'Adaptive costs B'!K36</f>
        <v>0</v>
      </c>
      <c r="M36" s="4" t="str">
        <f t="shared" si="1"/>
        <v>$million</v>
      </c>
    </row>
    <row r="37" spans="1:13" x14ac:dyDescent="0.25">
      <c r="A37" t="str">
        <v>IA sea level</v>
      </c>
      <c r="B37" s="94">
        <f>'Adaptive costs A'!B37-'Adaptive costs B'!B37</f>
        <v>0</v>
      </c>
      <c r="C37" s="94">
        <f>'Adaptive costs A'!C37-'Adaptive costs B'!C37</f>
        <v>0</v>
      </c>
      <c r="D37" s="94">
        <f>'Adaptive costs A'!D37-'Adaptive costs B'!D37</f>
        <v>0</v>
      </c>
      <c r="E37" s="94">
        <f>'Adaptive costs A'!E37-'Adaptive costs B'!E37</f>
        <v>0</v>
      </c>
      <c r="F37" s="94">
        <f>'Adaptive costs A'!F37-'Adaptive costs B'!F37</f>
        <v>0</v>
      </c>
      <c r="G37" s="94">
        <f>'Adaptive costs A'!G37-'Adaptive costs B'!G37</f>
        <v>0</v>
      </c>
      <c r="H37" s="94">
        <f>'Adaptive costs A'!H37-'Adaptive costs B'!H37</f>
        <v>0</v>
      </c>
      <c r="I37" s="94">
        <f>'Adaptive costs A'!I37-'Adaptive costs B'!I37</f>
        <v>0</v>
      </c>
      <c r="J37" s="94">
        <f>'Adaptive costs A'!J37-'Adaptive costs B'!J37</f>
        <v>0</v>
      </c>
      <c r="K37" s="94">
        <f>'Adaptive costs A'!K37-'Adaptive costs B'!K37</f>
        <v>0</v>
      </c>
      <c r="M37" s="4" t="str">
        <f t="shared" si="1"/>
        <v>$million</v>
      </c>
    </row>
    <row r="38" spans="1:13" x14ac:dyDescent="0.25">
      <c r="A38" t="str">
        <v>AF sea level</v>
      </c>
      <c r="B38" s="94">
        <f>'Adaptive costs A'!B38-'Adaptive costs B'!B38</f>
        <v>0</v>
      </c>
      <c r="C38" s="94">
        <f>'Adaptive costs A'!C38-'Adaptive costs B'!C38</f>
        <v>0</v>
      </c>
      <c r="D38" s="94">
        <f>'Adaptive costs A'!D38-'Adaptive costs B'!D38</f>
        <v>0</v>
      </c>
      <c r="E38" s="94">
        <f>'Adaptive costs A'!E38-'Adaptive costs B'!E38</f>
        <v>0</v>
      </c>
      <c r="F38" s="94">
        <f>'Adaptive costs A'!F38-'Adaptive costs B'!F38</f>
        <v>0</v>
      </c>
      <c r="G38" s="94">
        <f>'Adaptive costs A'!G38-'Adaptive costs B'!G38</f>
        <v>0</v>
      </c>
      <c r="H38" s="94">
        <f>'Adaptive costs A'!H38-'Adaptive costs B'!H38</f>
        <v>0</v>
      </c>
      <c r="I38" s="94">
        <f>'Adaptive costs A'!I38-'Adaptive costs B'!I38</f>
        <v>0</v>
      </c>
      <c r="J38" s="94">
        <f>'Adaptive costs A'!J38-'Adaptive costs B'!J38</f>
        <v>0</v>
      </c>
      <c r="K38" s="94">
        <f>'Adaptive costs A'!K38-'Adaptive costs B'!K38</f>
        <v>0</v>
      </c>
      <c r="M38" s="4" t="str">
        <f t="shared" si="1"/>
        <v>$million</v>
      </c>
    </row>
    <row r="39" spans="1:13" x14ac:dyDescent="0.25">
      <c r="A39" t="str">
        <v>LA sea level</v>
      </c>
      <c r="B39" s="94">
        <f>'Adaptive costs A'!B39-'Adaptive costs B'!B39</f>
        <v>0</v>
      </c>
      <c r="C39" s="94">
        <f>'Adaptive costs A'!C39-'Adaptive costs B'!C39</f>
        <v>0</v>
      </c>
      <c r="D39" s="94">
        <f>'Adaptive costs A'!D39-'Adaptive costs B'!D39</f>
        <v>0</v>
      </c>
      <c r="E39" s="94">
        <f>'Adaptive costs A'!E39-'Adaptive costs B'!E39</f>
        <v>0</v>
      </c>
      <c r="F39" s="94">
        <f>'Adaptive costs A'!F39-'Adaptive costs B'!F39</f>
        <v>0</v>
      </c>
      <c r="G39" s="94">
        <f>'Adaptive costs A'!G39-'Adaptive costs B'!G39</f>
        <v>0</v>
      </c>
      <c r="H39" s="94">
        <f>'Adaptive costs A'!H39-'Adaptive costs B'!H39</f>
        <v>0</v>
      </c>
      <c r="I39" s="94">
        <f>'Adaptive costs A'!I39-'Adaptive costs B'!I39</f>
        <v>0</v>
      </c>
      <c r="J39" s="94">
        <f>'Adaptive costs A'!J39-'Adaptive costs B'!J39</f>
        <v>0</v>
      </c>
      <c r="K39" s="94">
        <f>'Adaptive costs A'!K39-'Adaptive costs B'!K39</f>
        <v>0</v>
      </c>
      <c r="M39" s="4" t="str">
        <f t="shared" si="1"/>
        <v>$million</v>
      </c>
    </row>
    <row r="40" spans="1:13" ht="13.5" thickBot="1" x14ac:dyDescent="0.35">
      <c r="A40" s="2" t="s">
        <v>438</v>
      </c>
      <c r="B40" s="102">
        <f>'Adaptive costs A'!B40-'Adaptive costs B'!B40</f>
        <v>0</v>
      </c>
      <c r="C40" s="102">
        <f>'Adaptive costs A'!C40-'Adaptive costs B'!C40</f>
        <v>0</v>
      </c>
      <c r="D40" s="102">
        <f>'Adaptive costs A'!D40-'Adaptive costs B'!D40</f>
        <v>0</v>
      </c>
      <c r="E40" s="102">
        <f>'Adaptive costs A'!E40-'Adaptive costs B'!E40</f>
        <v>0</v>
      </c>
      <c r="F40" s="102">
        <f>'Adaptive costs A'!F40-'Adaptive costs B'!F40</f>
        <v>0</v>
      </c>
      <c r="G40" s="102">
        <f>'Adaptive costs A'!G40-'Adaptive costs B'!G40</f>
        <v>0</v>
      </c>
      <c r="H40" s="102">
        <f>'Adaptive costs A'!H40-'Adaptive costs B'!H40</f>
        <v>0</v>
      </c>
      <c r="I40" s="102">
        <f>'Adaptive costs A'!I40-'Adaptive costs B'!I40</f>
        <v>0</v>
      </c>
      <c r="J40" s="102">
        <f>'Adaptive costs A'!J40-'Adaptive costs B'!J40</f>
        <v>0</v>
      </c>
      <c r="K40" s="102">
        <f>'Adaptive costs A'!K40-'Adaptive costs B'!K40</f>
        <v>0</v>
      </c>
      <c r="L40" s="1"/>
      <c r="M40" s="4" t="str">
        <f t="shared" si="1"/>
        <v>$million</v>
      </c>
    </row>
    <row r="41" spans="1:13" ht="15.5" thickTop="1" x14ac:dyDescent="0.4">
      <c r="A41" s="65" t="s">
        <v>145</v>
      </c>
      <c r="B41" s="2" t="s">
        <v>443</v>
      </c>
      <c r="C41" s="58"/>
      <c r="D41" s="58"/>
      <c r="E41" s="58"/>
      <c r="F41" s="58"/>
      <c r="G41" s="58"/>
      <c r="H41" s="58"/>
      <c r="I41" s="58"/>
      <c r="J41" s="58"/>
      <c r="K41" s="58"/>
      <c r="L41" s="1"/>
      <c r="M41" s="1"/>
    </row>
    <row r="42" spans="1:13" x14ac:dyDescent="0.25">
      <c r="A42" t="str">
        <f t="array" ref="A42:A49">R_CODE&amp;" sea level"</f>
        <v>EU sea level</v>
      </c>
      <c r="B42" s="93">
        <f>'Adaptive costs A'!B42-'Adaptive costs B'!B42</f>
        <v>0</v>
      </c>
      <c r="C42" s="93">
        <f>'Adaptive costs A'!C42-'Adaptive costs B'!C42</f>
        <v>0</v>
      </c>
      <c r="D42" s="93">
        <f>'Adaptive costs A'!D42-'Adaptive costs B'!D42</f>
        <v>0</v>
      </c>
      <c r="E42" s="93">
        <f>'Adaptive costs A'!E42-'Adaptive costs B'!E42</f>
        <v>0</v>
      </c>
      <c r="F42" s="93">
        <f>'Adaptive costs A'!F42-'Adaptive costs B'!F42</f>
        <v>0</v>
      </c>
      <c r="G42" s="93">
        <f>'Adaptive costs A'!G42-'Adaptive costs B'!G42</f>
        <v>0</v>
      </c>
      <c r="H42" s="93">
        <f>'Adaptive costs A'!H42-'Adaptive costs B'!H42</f>
        <v>0</v>
      </c>
      <c r="I42" s="93">
        <f>'Adaptive costs A'!I42-'Adaptive costs B'!I42</f>
        <v>0</v>
      </c>
      <c r="J42" s="93">
        <f>'Adaptive costs A'!J42-'Adaptive costs B'!J42</f>
        <v>0</v>
      </c>
      <c r="K42" s="93">
        <f>'Adaptive costs A'!K42-'Adaptive costs B'!K42</f>
        <v>0</v>
      </c>
      <c r="L42" s="1"/>
      <c r="M42" s="4" t="str">
        <f t="shared" ref="M42:M50" si="2">CURRENCY_NAME</f>
        <v>$million</v>
      </c>
    </row>
    <row r="43" spans="1:13" x14ac:dyDescent="0.25">
      <c r="A43" t="str">
        <v>US sea level</v>
      </c>
      <c r="B43" s="94">
        <f>'Adaptive costs A'!B43-'Adaptive costs B'!B43</f>
        <v>0</v>
      </c>
      <c r="C43" s="94">
        <f>'Adaptive costs A'!C43-'Adaptive costs B'!C43</f>
        <v>0</v>
      </c>
      <c r="D43" s="94">
        <f>'Adaptive costs A'!D43-'Adaptive costs B'!D43</f>
        <v>0</v>
      </c>
      <c r="E43" s="94">
        <f>'Adaptive costs A'!E43-'Adaptive costs B'!E43</f>
        <v>0</v>
      </c>
      <c r="F43" s="94">
        <f>'Adaptive costs A'!F43-'Adaptive costs B'!F43</f>
        <v>0</v>
      </c>
      <c r="G43" s="94">
        <f>'Adaptive costs A'!G43-'Adaptive costs B'!G43</f>
        <v>0</v>
      </c>
      <c r="H43" s="94">
        <f>'Adaptive costs A'!H43-'Adaptive costs B'!H43</f>
        <v>0</v>
      </c>
      <c r="I43" s="94">
        <f>'Adaptive costs A'!I43-'Adaptive costs B'!I43</f>
        <v>0</v>
      </c>
      <c r="J43" s="94">
        <f>'Adaptive costs A'!J43-'Adaptive costs B'!J43</f>
        <v>0</v>
      </c>
      <c r="K43" s="94">
        <f>'Adaptive costs A'!K43-'Adaptive costs B'!K43</f>
        <v>0</v>
      </c>
      <c r="L43" s="1"/>
      <c r="M43" s="4" t="str">
        <f t="shared" si="2"/>
        <v>$million</v>
      </c>
    </row>
    <row r="44" spans="1:13" x14ac:dyDescent="0.25">
      <c r="A44" t="str">
        <v>OT sea level</v>
      </c>
      <c r="B44" s="94">
        <f>'Adaptive costs A'!B44-'Adaptive costs B'!B44</f>
        <v>0</v>
      </c>
      <c r="C44" s="94">
        <f>'Adaptive costs A'!C44-'Adaptive costs B'!C44</f>
        <v>0</v>
      </c>
      <c r="D44" s="94">
        <f>'Adaptive costs A'!D44-'Adaptive costs B'!D44</f>
        <v>0</v>
      </c>
      <c r="E44" s="94">
        <f>'Adaptive costs A'!E44-'Adaptive costs B'!E44</f>
        <v>0</v>
      </c>
      <c r="F44" s="94">
        <f>'Adaptive costs A'!F44-'Adaptive costs B'!F44</f>
        <v>0</v>
      </c>
      <c r="G44" s="94">
        <f>'Adaptive costs A'!G44-'Adaptive costs B'!G44</f>
        <v>0</v>
      </c>
      <c r="H44" s="94">
        <f>'Adaptive costs A'!H44-'Adaptive costs B'!H44</f>
        <v>0</v>
      </c>
      <c r="I44" s="94">
        <f>'Adaptive costs A'!I44-'Adaptive costs B'!I44</f>
        <v>0</v>
      </c>
      <c r="J44" s="94">
        <f>'Adaptive costs A'!J44-'Adaptive costs B'!J44</f>
        <v>0</v>
      </c>
      <c r="K44" s="94">
        <f>'Adaptive costs A'!K44-'Adaptive costs B'!K44</f>
        <v>0</v>
      </c>
      <c r="L44" s="1"/>
      <c r="M44" s="4" t="str">
        <f t="shared" si="2"/>
        <v>$million</v>
      </c>
    </row>
    <row r="45" spans="1:13" x14ac:dyDescent="0.25">
      <c r="A45" t="str">
        <v>EE sea level</v>
      </c>
      <c r="B45" s="94">
        <f>'Adaptive costs A'!B45-'Adaptive costs B'!B45</f>
        <v>0</v>
      </c>
      <c r="C45" s="94">
        <f>'Adaptive costs A'!C45-'Adaptive costs B'!C45</f>
        <v>0</v>
      </c>
      <c r="D45" s="94">
        <f>'Adaptive costs A'!D45-'Adaptive costs B'!D45</f>
        <v>0</v>
      </c>
      <c r="E45" s="94">
        <f>'Adaptive costs A'!E45-'Adaptive costs B'!E45</f>
        <v>0</v>
      </c>
      <c r="F45" s="94">
        <f>'Adaptive costs A'!F45-'Adaptive costs B'!F45</f>
        <v>0</v>
      </c>
      <c r="G45" s="94">
        <f>'Adaptive costs A'!G45-'Adaptive costs B'!G45</f>
        <v>0</v>
      </c>
      <c r="H45" s="94">
        <f>'Adaptive costs A'!H45-'Adaptive costs B'!H45</f>
        <v>0</v>
      </c>
      <c r="I45" s="94">
        <f>'Adaptive costs A'!I45-'Adaptive costs B'!I45</f>
        <v>0</v>
      </c>
      <c r="J45" s="94">
        <f>'Adaptive costs A'!J45-'Adaptive costs B'!J45</f>
        <v>0</v>
      </c>
      <c r="K45" s="94">
        <f>'Adaptive costs A'!K45-'Adaptive costs B'!K45</f>
        <v>0</v>
      </c>
      <c r="L45" s="1"/>
      <c r="M45" s="4" t="str">
        <f t="shared" si="2"/>
        <v>$million</v>
      </c>
    </row>
    <row r="46" spans="1:13" x14ac:dyDescent="0.25">
      <c r="A46" t="str">
        <v>CA sea level</v>
      </c>
      <c r="B46" s="94">
        <f>'Adaptive costs A'!B46-'Adaptive costs B'!B46</f>
        <v>0</v>
      </c>
      <c r="C46" s="94">
        <f>'Adaptive costs A'!C46-'Adaptive costs B'!C46</f>
        <v>0</v>
      </c>
      <c r="D46" s="94">
        <f>'Adaptive costs A'!D46-'Adaptive costs B'!D46</f>
        <v>0</v>
      </c>
      <c r="E46" s="94">
        <f>'Adaptive costs A'!E46-'Adaptive costs B'!E46</f>
        <v>0</v>
      </c>
      <c r="F46" s="94">
        <f>'Adaptive costs A'!F46-'Adaptive costs B'!F46</f>
        <v>0</v>
      </c>
      <c r="G46" s="94">
        <f>'Adaptive costs A'!G46-'Adaptive costs B'!G46</f>
        <v>0</v>
      </c>
      <c r="H46" s="94">
        <f>'Adaptive costs A'!H46-'Adaptive costs B'!H46</f>
        <v>0</v>
      </c>
      <c r="I46" s="94">
        <f>'Adaptive costs A'!I46-'Adaptive costs B'!I46</f>
        <v>0</v>
      </c>
      <c r="J46" s="94">
        <f>'Adaptive costs A'!J46-'Adaptive costs B'!J46</f>
        <v>0</v>
      </c>
      <c r="K46" s="94">
        <f>'Adaptive costs A'!K46-'Adaptive costs B'!K46</f>
        <v>0</v>
      </c>
      <c r="L46" s="1"/>
      <c r="M46" s="4" t="str">
        <f t="shared" si="2"/>
        <v>$million</v>
      </c>
    </row>
    <row r="47" spans="1:13" x14ac:dyDescent="0.25">
      <c r="A47" t="str">
        <v>IA sea level</v>
      </c>
      <c r="B47" s="94">
        <f>'Adaptive costs A'!B47-'Adaptive costs B'!B47</f>
        <v>0</v>
      </c>
      <c r="C47" s="94">
        <f>'Adaptive costs A'!C47-'Adaptive costs B'!C47</f>
        <v>0</v>
      </c>
      <c r="D47" s="94">
        <f>'Adaptive costs A'!D47-'Adaptive costs B'!D47</f>
        <v>0</v>
      </c>
      <c r="E47" s="94">
        <f>'Adaptive costs A'!E47-'Adaptive costs B'!E47</f>
        <v>0</v>
      </c>
      <c r="F47" s="94">
        <f>'Adaptive costs A'!F47-'Adaptive costs B'!F47</f>
        <v>0</v>
      </c>
      <c r="G47" s="94">
        <f>'Adaptive costs A'!G47-'Adaptive costs B'!G47</f>
        <v>0</v>
      </c>
      <c r="H47" s="94">
        <f>'Adaptive costs A'!H47-'Adaptive costs B'!H47</f>
        <v>0</v>
      </c>
      <c r="I47" s="94">
        <f>'Adaptive costs A'!I47-'Adaptive costs B'!I47</f>
        <v>0</v>
      </c>
      <c r="J47" s="94">
        <f>'Adaptive costs A'!J47-'Adaptive costs B'!J47</f>
        <v>0</v>
      </c>
      <c r="K47" s="94">
        <f>'Adaptive costs A'!K47-'Adaptive costs B'!K47</f>
        <v>0</v>
      </c>
      <c r="L47" s="1"/>
      <c r="M47" s="4" t="str">
        <f t="shared" si="2"/>
        <v>$million</v>
      </c>
    </row>
    <row r="48" spans="1:13" x14ac:dyDescent="0.25">
      <c r="A48" t="str">
        <v>AF sea level</v>
      </c>
      <c r="B48" s="94">
        <f>'Adaptive costs A'!B48-'Adaptive costs B'!B48</f>
        <v>0</v>
      </c>
      <c r="C48" s="94">
        <f>'Adaptive costs A'!C48-'Adaptive costs B'!C48</f>
        <v>0</v>
      </c>
      <c r="D48" s="94">
        <f>'Adaptive costs A'!D48-'Adaptive costs B'!D48</f>
        <v>0</v>
      </c>
      <c r="E48" s="94">
        <f>'Adaptive costs A'!E48-'Adaptive costs B'!E48</f>
        <v>0</v>
      </c>
      <c r="F48" s="94">
        <f>'Adaptive costs A'!F48-'Adaptive costs B'!F48</f>
        <v>0</v>
      </c>
      <c r="G48" s="94">
        <f>'Adaptive costs A'!G48-'Adaptive costs B'!G48</f>
        <v>0</v>
      </c>
      <c r="H48" s="94">
        <f>'Adaptive costs A'!H48-'Adaptive costs B'!H48</f>
        <v>0</v>
      </c>
      <c r="I48" s="94">
        <f>'Adaptive costs A'!I48-'Adaptive costs B'!I48</f>
        <v>0</v>
      </c>
      <c r="J48" s="94">
        <f>'Adaptive costs A'!J48-'Adaptive costs B'!J48</f>
        <v>0</v>
      </c>
      <c r="K48" s="94">
        <f>'Adaptive costs A'!K48-'Adaptive costs B'!K48</f>
        <v>0</v>
      </c>
      <c r="L48" s="1"/>
      <c r="M48" s="4" t="str">
        <f t="shared" si="2"/>
        <v>$million</v>
      </c>
    </row>
    <row r="49" spans="1:13" x14ac:dyDescent="0.25">
      <c r="A49" t="str">
        <v>LA sea level</v>
      </c>
      <c r="B49" s="94">
        <f>'Adaptive costs A'!B49-'Adaptive costs B'!B49</f>
        <v>0</v>
      </c>
      <c r="C49" s="94">
        <f>'Adaptive costs A'!C49-'Adaptive costs B'!C49</f>
        <v>0</v>
      </c>
      <c r="D49" s="94">
        <f>'Adaptive costs A'!D49-'Adaptive costs B'!D49</f>
        <v>0</v>
      </c>
      <c r="E49" s="94">
        <f>'Adaptive costs A'!E49-'Adaptive costs B'!E49</f>
        <v>0</v>
      </c>
      <c r="F49" s="94">
        <f>'Adaptive costs A'!F49-'Adaptive costs B'!F49</f>
        <v>0</v>
      </c>
      <c r="G49" s="94">
        <f>'Adaptive costs A'!G49-'Adaptive costs B'!G49</f>
        <v>0</v>
      </c>
      <c r="H49" s="94">
        <f>'Adaptive costs A'!H49-'Adaptive costs B'!H49</f>
        <v>0</v>
      </c>
      <c r="I49" s="94">
        <f>'Adaptive costs A'!I49-'Adaptive costs B'!I49</f>
        <v>0</v>
      </c>
      <c r="J49" s="94">
        <f>'Adaptive costs A'!J49-'Adaptive costs B'!J49</f>
        <v>0</v>
      </c>
      <c r="K49" s="94">
        <f>'Adaptive costs A'!K49-'Adaptive costs B'!K49</f>
        <v>0</v>
      </c>
      <c r="L49" s="1"/>
      <c r="M49" s="4" t="str">
        <f t="shared" si="2"/>
        <v>$million</v>
      </c>
    </row>
    <row r="50" spans="1:13" ht="13.5" thickBot="1" x14ac:dyDescent="0.35">
      <c r="A50" s="2" t="s">
        <v>438</v>
      </c>
      <c r="B50" s="102">
        <f>'Adaptive costs A'!B50-'Adaptive costs B'!B50</f>
        <v>0</v>
      </c>
      <c r="C50" s="102">
        <f>'Adaptive costs A'!C50-'Adaptive costs B'!C50</f>
        <v>0</v>
      </c>
      <c r="D50" s="102">
        <f>'Adaptive costs A'!D50-'Adaptive costs B'!D50</f>
        <v>0</v>
      </c>
      <c r="E50" s="102">
        <f>'Adaptive costs A'!E50-'Adaptive costs B'!E50</f>
        <v>0</v>
      </c>
      <c r="F50" s="102">
        <f>'Adaptive costs A'!F50-'Adaptive costs B'!F50</f>
        <v>0</v>
      </c>
      <c r="G50" s="102">
        <f>'Adaptive costs A'!G50-'Adaptive costs B'!G50</f>
        <v>0</v>
      </c>
      <c r="H50" s="102">
        <f>'Adaptive costs A'!H50-'Adaptive costs B'!H50</f>
        <v>0</v>
      </c>
      <c r="I50" s="102">
        <f>'Adaptive costs A'!I50-'Adaptive costs B'!I50</f>
        <v>0</v>
      </c>
      <c r="J50" s="102">
        <f>'Adaptive costs A'!J50-'Adaptive costs B'!J50</f>
        <v>0</v>
      </c>
      <c r="K50" s="102">
        <f>'Adaptive costs A'!K50-'Adaptive costs B'!K50</f>
        <v>0</v>
      </c>
      <c r="L50" s="1"/>
      <c r="M50" s="4" t="str">
        <f t="shared" si="2"/>
        <v>$million</v>
      </c>
    </row>
    <row r="51" spans="1:13" s="2" customFormat="1" ht="15.5" thickTop="1" x14ac:dyDescent="0.4">
      <c r="A51" s="2" t="s">
        <v>434</v>
      </c>
      <c r="B51" s="2" t="s">
        <v>439</v>
      </c>
    </row>
    <row r="52" spans="1:13" s="4" customFormat="1" x14ac:dyDescent="0.25">
      <c r="A52" t="str">
        <f t="array" ref="A52:A59">R_CODE&amp;" "&amp;I_1_NAME</f>
        <v>EU Economic</v>
      </c>
      <c r="B52" s="93">
        <f>'Adaptive costs A'!B52-'Adaptive costs B'!B52</f>
        <v>0</v>
      </c>
      <c r="C52" s="93">
        <f>'Adaptive costs A'!C52-'Adaptive costs B'!C52</f>
        <v>0</v>
      </c>
      <c r="D52" s="93">
        <f>'Adaptive costs A'!D52-'Adaptive costs B'!D52</f>
        <v>0</v>
      </c>
      <c r="E52" s="93">
        <f>'Adaptive costs A'!E52-'Adaptive costs B'!E52</f>
        <v>0</v>
      </c>
      <c r="F52" s="93">
        <f>'Adaptive costs A'!F52-'Adaptive costs B'!F52</f>
        <v>0</v>
      </c>
      <c r="G52" s="93">
        <f>'Adaptive costs A'!G52-'Adaptive costs B'!G52</f>
        <v>0</v>
      </c>
      <c r="H52" s="93">
        <f>'Adaptive costs A'!H52-'Adaptive costs B'!H52</f>
        <v>0</v>
      </c>
      <c r="I52" s="93">
        <f>'Adaptive costs A'!I52-'Adaptive costs B'!I52</f>
        <v>0</v>
      </c>
      <c r="J52" s="93">
        <f>'Adaptive costs A'!J52-'Adaptive costs B'!J52</f>
        <v>0</v>
      </c>
      <c r="K52" s="93">
        <f>'Adaptive costs A'!K52-'Adaptive costs B'!K52</f>
        <v>0</v>
      </c>
      <c r="M52" s="4" t="str">
        <f t="shared" ref="M52:M60" si="3">CURRENCY_NAME</f>
        <v>$million</v>
      </c>
    </row>
    <row r="53" spans="1:13" s="4" customFormat="1" x14ac:dyDescent="0.25">
      <c r="A53" t="str">
        <v>US Economic</v>
      </c>
      <c r="B53" s="94">
        <f>'Adaptive costs A'!B53-'Adaptive costs B'!B53</f>
        <v>0</v>
      </c>
      <c r="C53" s="94">
        <f>'Adaptive costs A'!C53-'Adaptive costs B'!C53</f>
        <v>0</v>
      </c>
      <c r="D53" s="94">
        <f>'Adaptive costs A'!D53-'Adaptive costs B'!D53</f>
        <v>0</v>
      </c>
      <c r="E53" s="94">
        <f>'Adaptive costs A'!E53-'Adaptive costs B'!E53</f>
        <v>0</v>
      </c>
      <c r="F53" s="94">
        <f>'Adaptive costs A'!F53-'Adaptive costs B'!F53</f>
        <v>0</v>
      </c>
      <c r="G53" s="94">
        <f>'Adaptive costs A'!G53-'Adaptive costs B'!G53</f>
        <v>0</v>
      </c>
      <c r="H53" s="94">
        <f>'Adaptive costs A'!H53-'Adaptive costs B'!H53</f>
        <v>0</v>
      </c>
      <c r="I53" s="94">
        <f>'Adaptive costs A'!I53-'Adaptive costs B'!I53</f>
        <v>0</v>
      </c>
      <c r="J53" s="94">
        <f>'Adaptive costs A'!J53-'Adaptive costs B'!J53</f>
        <v>0</v>
      </c>
      <c r="K53" s="94">
        <f>'Adaptive costs A'!K53-'Adaptive costs B'!K53</f>
        <v>0</v>
      </c>
      <c r="M53" s="4" t="str">
        <f t="shared" si="3"/>
        <v>$million</v>
      </c>
    </row>
    <row r="54" spans="1:13" s="4" customFormat="1" x14ac:dyDescent="0.25">
      <c r="A54" t="str">
        <v>OT Economic</v>
      </c>
      <c r="B54" s="94">
        <f>'Adaptive costs A'!B54-'Adaptive costs B'!B54</f>
        <v>0</v>
      </c>
      <c r="C54" s="94">
        <f>'Adaptive costs A'!C54-'Adaptive costs B'!C54</f>
        <v>0</v>
      </c>
      <c r="D54" s="94">
        <f>'Adaptive costs A'!D54-'Adaptive costs B'!D54</f>
        <v>0</v>
      </c>
      <c r="E54" s="94">
        <f>'Adaptive costs A'!E54-'Adaptive costs B'!E54</f>
        <v>0</v>
      </c>
      <c r="F54" s="94">
        <f>'Adaptive costs A'!F54-'Adaptive costs B'!F54</f>
        <v>0</v>
      </c>
      <c r="G54" s="94">
        <f>'Adaptive costs A'!G54-'Adaptive costs B'!G54</f>
        <v>0</v>
      </c>
      <c r="H54" s="94">
        <f>'Adaptive costs A'!H54-'Adaptive costs B'!H54</f>
        <v>0</v>
      </c>
      <c r="I54" s="94">
        <f>'Adaptive costs A'!I54-'Adaptive costs B'!I54</f>
        <v>0</v>
      </c>
      <c r="J54" s="94">
        <f>'Adaptive costs A'!J54-'Adaptive costs B'!J54</f>
        <v>0</v>
      </c>
      <c r="K54" s="94">
        <f>'Adaptive costs A'!K54-'Adaptive costs B'!K54</f>
        <v>0</v>
      </c>
      <c r="M54" s="4" t="str">
        <f t="shared" si="3"/>
        <v>$million</v>
      </c>
    </row>
    <row r="55" spans="1:13" s="4" customFormat="1" x14ac:dyDescent="0.25">
      <c r="A55" t="str">
        <v>EE Economic</v>
      </c>
      <c r="B55" s="94">
        <f>'Adaptive costs A'!B55-'Adaptive costs B'!B55</f>
        <v>0</v>
      </c>
      <c r="C55" s="94">
        <f>'Adaptive costs A'!C55-'Adaptive costs B'!C55</f>
        <v>0</v>
      </c>
      <c r="D55" s="94">
        <f>'Adaptive costs A'!D55-'Adaptive costs B'!D55</f>
        <v>0</v>
      </c>
      <c r="E55" s="94">
        <f>'Adaptive costs A'!E55-'Adaptive costs B'!E55</f>
        <v>0</v>
      </c>
      <c r="F55" s="94">
        <f>'Adaptive costs A'!F55-'Adaptive costs B'!F55</f>
        <v>0</v>
      </c>
      <c r="G55" s="94">
        <f>'Adaptive costs A'!G55-'Adaptive costs B'!G55</f>
        <v>0</v>
      </c>
      <c r="H55" s="94">
        <f>'Adaptive costs A'!H55-'Adaptive costs B'!H55</f>
        <v>0</v>
      </c>
      <c r="I55" s="94">
        <f>'Adaptive costs A'!I55-'Adaptive costs B'!I55</f>
        <v>0</v>
      </c>
      <c r="J55" s="94">
        <f>'Adaptive costs A'!J55-'Adaptive costs B'!J55</f>
        <v>0</v>
      </c>
      <c r="K55" s="94">
        <f>'Adaptive costs A'!K55-'Adaptive costs B'!K55</f>
        <v>0</v>
      </c>
      <c r="M55" s="4" t="str">
        <f t="shared" si="3"/>
        <v>$million</v>
      </c>
    </row>
    <row r="56" spans="1:13" s="4" customFormat="1" x14ac:dyDescent="0.25">
      <c r="A56" t="str">
        <v>CA Economic</v>
      </c>
      <c r="B56" s="94">
        <f>'Adaptive costs A'!B56-'Adaptive costs B'!B56</f>
        <v>0</v>
      </c>
      <c r="C56" s="94">
        <f>'Adaptive costs A'!C56-'Adaptive costs B'!C56</f>
        <v>0</v>
      </c>
      <c r="D56" s="94">
        <f>'Adaptive costs A'!D56-'Adaptive costs B'!D56</f>
        <v>0</v>
      </c>
      <c r="E56" s="94">
        <f>'Adaptive costs A'!E56-'Adaptive costs B'!E56</f>
        <v>0</v>
      </c>
      <c r="F56" s="94">
        <f>'Adaptive costs A'!F56-'Adaptive costs B'!F56</f>
        <v>0</v>
      </c>
      <c r="G56" s="94">
        <f>'Adaptive costs A'!G56-'Adaptive costs B'!G56</f>
        <v>0</v>
      </c>
      <c r="H56" s="94">
        <f>'Adaptive costs A'!H56-'Adaptive costs B'!H56</f>
        <v>0</v>
      </c>
      <c r="I56" s="94">
        <f>'Adaptive costs A'!I56-'Adaptive costs B'!I56</f>
        <v>0</v>
      </c>
      <c r="J56" s="94">
        <f>'Adaptive costs A'!J56-'Adaptive costs B'!J56</f>
        <v>0</v>
      </c>
      <c r="K56" s="94">
        <f>'Adaptive costs A'!K56-'Adaptive costs B'!K56</f>
        <v>0</v>
      </c>
      <c r="M56" s="4" t="str">
        <f t="shared" si="3"/>
        <v>$million</v>
      </c>
    </row>
    <row r="57" spans="1:13" s="4" customFormat="1" x14ac:dyDescent="0.25">
      <c r="A57" t="str">
        <v>IA Economic</v>
      </c>
      <c r="B57" s="94">
        <f>'Adaptive costs A'!B57-'Adaptive costs B'!B57</f>
        <v>0</v>
      </c>
      <c r="C57" s="94">
        <f>'Adaptive costs A'!C57-'Adaptive costs B'!C57</f>
        <v>0</v>
      </c>
      <c r="D57" s="94">
        <f>'Adaptive costs A'!D57-'Adaptive costs B'!D57</f>
        <v>0</v>
      </c>
      <c r="E57" s="94">
        <f>'Adaptive costs A'!E57-'Adaptive costs B'!E57</f>
        <v>0</v>
      </c>
      <c r="F57" s="94">
        <f>'Adaptive costs A'!F57-'Adaptive costs B'!F57</f>
        <v>0</v>
      </c>
      <c r="G57" s="94">
        <f>'Adaptive costs A'!G57-'Adaptive costs B'!G57</f>
        <v>0</v>
      </c>
      <c r="H57" s="94">
        <f>'Adaptive costs A'!H57-'Adaptive costs B'!H57</f>
        <v>0</v>
      </c>
      <c r="I57" s="94">
        <f>'Adaptive costs A'!I57-'Adaptive costs B'!I57</f>
        <v>0</v>
      </c>
      <c r="J57" s="94">
        <f>'Adaptive costs A'!J57-'Adaptive costs B'!J57</f>
        <v>0</v>
      </c>
      <c r="K57" s="94">
        <f>'Adaptive costs A'!K57-'Adaptive costs B'!K57</f>
        <v>0</v>
      </c>
      <c r="M57" s="4" t="str">
        <f t="shared" si="3"/>
        <v>$million</v>
      </c>
    </row>
    <row r="58" spans="1:13" s="4" customFormat="1" x14ac:dyDescent="0.25">
      <c r="A58" t="str">
        <v>AF Economic</v>
      </c>
      <c r="B58" s="94">
        <f>'Adaptive costs A'!B58-'Adaptive costs B'!B58</f>
        <v>0</v>
      </c>
      <c r="C58" s="94">
        <f>'Adaptive costs A'!C58-'Adaptive costs B'!C58</f>
        <v>0</v>
      </c>
      <c r="D58" s="94">
        <f>'Adaptive costs A'!D58-'Adaptive costs B'!D58</f>
        <v>0</v>
      </c>
      <c r="E58" s="94">
        <f>'Adaptive costs A'!E58-'Adaptive costs B'!E58</f>
        <v>0</v>
      </c>
      <c r="F58" s="94">
        <f>'Adaptive costs A'!F58-'Adaptive costs B'!F58</f>
        <v>0</v>
      </c>
      <c r="G58" s="94">
        <f>'Adaptive costs A'!G58-'Adaptive costs B'!G58</f>
        <v>0</v>
      </c>
      <c r="H58" s="94">
        <f>'Adaptive costs A'!H58-'Adaptive costs B'!H58</f>
        <v>0</v>
      </c>
      <c r="I58" s="94">
        <f>'Adaptive costs A'!I58-'Adaptive costs B'!I58</f>
        <v>0</v>
      </c>
      <c r="J58" s="94">
        <f>'Adaptive costs A'!J58-'Adaptive costs B'!J58</f>
        <v>0</v>
      </c>
      <c r="K58" s="94">
        <f>'Adaptive costs A'!K58-'Adaptive costs B'!K58</f>
        <v>0</v>
      </c>
      <c r="M58" s="4" t="str">
        <f t="shared" si="3"/>
        <v>$million</v>
      </c>
    </row>
    <row r="59" spans="1:13" s="4" customFormat="1" x14ac:dyDescent="0.25">
      <c r="A59" t="str">
        <v>LA Economic</v>
      </c>
      <c r="B59" s="94">
        <f>'Adaptive costs A'!B59-'Adaptive costs B'!B59</f>
        <v>0</v>
      </c>
      <c r="C59" s="94">
        <f>'Adaptive costs A'!C59-'Adaptive costs B'!C59</f>
        <v>0</v>
      </c>
      <c r="D59" s="94">
        <f>'Adaptive costs A'!D59-'Adaptive costs B'!D59</f>
        <v>0</v>
      </c>
      <c r="E59" s="94">
        <f>'Adaptive costs A'!E59-'Adaptive costs B'!E59</f>
        <v>0</v>
      </c>
      <c r="F59" s="94">
        <f>'Adaptive costs A'!F59-'Adaptive costs B'!F59</f>
        <v>0</v>
      </c>
      <c r="G59" s="94">
        <f>'Adaptive costs A'!G59-'Adaptive costs B'!G59</f>
        <v>0</v>
      </c>
      <c r="H59" s="94">
        <f>'Adaptive costs A'!H59-'Adaptive costs B'!H59</f>
        <v>0</v>
      </c>
      <c r="I59" s="94">
        <f>'Adaptive costs A'!I59-'Adaptive costs B'!I59</f>
        <v>0</v>
      </c>
      <c r="J59" s="94">
        <f>'Adaptive costs A'!J59-'Adaptive costs B'!J59</f>
        <v>0</v>
      </c>
      <c r="K59" s="94">
        <f>'Adaptive costs A'!K59-'Adaptive costs B'!K59</f>
        <v>0</v>
      </c>
      <c r="M59" s="4" t="str">
        <f t="shared" si="3"/>
        <v>$million</v>
      </c>
    </row>
    <row r="60" spans="1:13" ht="13.5" thickBot="1" x14ac:dyDescent="0.35">
      <c r="A60" s="2" t="str">
        <f>"Global "&amp;I_1_NAME</f>
        <v>Global Economic</v>
      </c>
      <c r="B60" s="102">
        <f>'Adaptive costs A'!B60-'Adaptive costs B'!B60</f>
        <v>0</v>
      </c>
      <c r="C60" s="102">
        <f>'Adaptive costs A'!C60-'Adaptive costs B'!C60</f>
        <v>0</v>
      </c>
      <c r="D60" s="102">
        <f>'Adaptive costs A'!D60-'Adaptive costs B'!D60</f>
        <v>0</v>
      </c>
      <c r="E60" s="102">
        <f>'Adaptive costs A'!E60-'Adaptive costs B'!E60</f>
        <v>0</v>
      </c>
      <c r="F60" s="102">
        <f>'Adaptive costs A'!F60-'Adaptive costs B'!F60</f>
        <v>0</v>
      </c>
      <c r="G60" s="102">
        <f>'Adaptive costs A'!G60-'Adaptive costs B'!G60</f>
        <v>0</v>
      </c>
      <c r="H60" s="102">
        <f>'Adaptive costs A'!H60-'Adaptive costs B'!H60</f>
        <v>0</v>
      </c>
      <c r="I60" s="102">
        <f>'Adaptive costs A'!I60-'Adaptive costs B'!I60</f>
        <v>0</v>
      </c>
      <c r="J60" s="102">
        <f>'Adaptive costs A'!J60-'Adaptive costs B'!J60</f>
        <v>0</v>
      </c>
      <c r="K60" s="102">
        <f>'Adaptive costs A'!K60-'Adaptive costs B'!K60</f>
        <v>0</v>
      </c>
      <c r="L60" s="1"/>
      <c r="M60" s="4" t="str">
        <f t="shared" si="3"/>
        <v>$million</v>
      </c>
    </row>
    <row r="61" spans="1:13" s="2" customFormat="1" ht="15.5" thickTop="1" x14ac:dyDescent="0.4">
      <c r="A61" s="2" t="s">
        <v>436</v>
      </c>
      <c r="B61" s="2" t="s">
        <v>440</v>
      </c>
    </row>
    <row r="62" spans="1:13" x14ac:dyDescent="0.25">
      <c r="A62" t="str">
        <f t="array" ref="A62:A69">R_CODE&amp;" "&amp;I_1_NAME</f>
        <v>EU Economic</v>
      </c>
      <c r="B62" s="93">
        <f>'Adaptive costs A'!B62-'Adaptive costs B'!B62</f>
        <v>0</v>
      </c>
      <c r="C62" s="93">
        <f>'Adaptive costs A'!C62-'Adaptive costs B'!C62</f>
        <v>0</v>
      </c>
      <c r="D62" s="93">
        <f>'Adaptive costs A'!D62-'Adaptive costs B'!D62</f>
        <v>0</v>
      </c>
      <c r="E62" s="93">
        <f>'Adaptive costs A'!E62-'Adaptive costs B'!E62</f>
        <v>0</v>
      </c>
      <c r="F62" s="93">
        <f>'Adaptive costs A'!F62-'Adaptive costs B'!F62</f>
        <v>0</v>
      </c>
      <c r="G62" s="93">
        <f>'Adaptive costs A'!G62-'Adaptive costs B'!G62</f>
        <v>0</v>
      </c>
      <c r="H62" s="93">
        <f>'Adaptive costs A'!H62-'Adaptive costs B'!H62</f>
        <v>0</v>
      </c>
      <c r="I62" s="93">
        <f>'Adaptive costs A'!I62-'Adaptive costs B'!I62</f>
        <v>0</v>
      </c>
      <c r="J62" s="93">
        <f>'Adaptive costs A'!J62-'Adaptive costs B'!J62</f>
        <v>0</v>
      </c>
      <c r="K62" s="93">
        <f>'Adaptive costs A'!K62-'Adaptive costs B'!K62</f>
        <v>0</v>
      </c>
      <c r="M62" s="4" t="str">
        <f t="shared" ref="M62:M70" si="4">CURRENCY_NAME</f>
        <v>$million</v>
      </c>
    </row>
    <row r="63" spans="1:13" x14ac:dyDescent="0.25">
      <c r="A63" t="str">
        <v>US Economic</v>
      </c>
      <c r="B63" s="94">
        <f>'Adaptive costs A'!B63-'Adaptive costs B'!B63</f>
        <v>0</v>
      </c>
      <c r="C63" s="94">
        <f>'Adaptive costs A'!C63-'Adaptive costs B'!C63</f>
        <v>0</v>
      </c>
      <c r="D63" s="94">
        <f>'Adaptive costs A'!D63-'Adaptive costs B'!D63</f>
        <v>0</v>
      </c>
      <c r="E63" s="94">
        <f>'Adaptive costs A'!E63-'Adaptive costs B'!E63</f>
        <v>0</v>
      </c>
      <c r="F63" s="94">
        <f>'Adaptive costs A'!F63-'Adaptive costs B'!F63</f>
        <v>0</v>
      </c>
      <c r="G63" s="94">
        <f>'Adaptive costs A'!G63-'Adaptive costs B'!G63</f>
        <v>0</v>
      </c>
      <c r="H63" s="94">
        <f>'Adaptive costs A'!H63-'Adaptive costs B'!H63</f>
        <v>0</v>
      </c>
      <c r="I63" s="94">
        <f>'Adaptive costs A'!I63-'Adaptive costs B'!I63</f>
        <v>0</v>
      </c>
      <c r="J63" s="94">
        <f>'Adaptive costs A'!J63-'Adaptive costs B'!J63</f>
        <v>0</v>
      </c>
      <c r="K63" s="94">
        <f>'Adaptive costs A'!K63-'Adaptive costs B'!K63</f>
        <v>0</v>
      </c>
      <c r="M63" s="4" t="str">
        <f t="shared" si="4"/>
        <v>$million</v>
      </c>
    </row>
    <row r="64" spans="1:13" x14ac:dyDescent="0.25">
      <c r="A64" t="str">
        <v>OT Economic</v>
      </c>
      <c r="B64" s="94">
        <f>'Adaptive costs A'!B64-'Adaptive costs B'!B64</f>
        <v>0</v>
      </c>
      <c r="C64" s="94">
        <f>'Adaptive costs A'!C64-'Adaptive costs B'!C64</f>
        <v>0</v>
      </c>
      <c r="D64" s="94">
        <f>'Adaptive costs A'!D64-'Adaptive costs B'!D64</f>
        <v>0</v>
      </c>
      <c r="E64" s="94">
        <f>'Adaptive costs A'!E64-'Adaptive costs B'!E64</f>
        <v>0</v>
      </c>
      <c r="F64" s="94">
        <f>'Adaptive costs A'!F64-'Adaptive costs B'!F64</f>
        <v>0</v>
      </c>
      <c r="G64" s="94">
        <f>'Adaptive costs A'!G64-'Adaptive costs B'!G64</f>
        <v>0</v>
      </c>
      <c r="H64" s="94">
        <f>'Adaptive costs A'!H64-'Adaptive costs B'!H64</f>
        <v>0</v>
      </c>
      <c r="I64" s="94">
        <f>'Adaptive costs A'!I64-'Adaptive costs B'!I64</f>
        <v>0</v>
      </c>
      <c r="J64" s="94">
        <f>'Adaptive costs A'!J64-'Adaptive costs B'!J64</f>
        <v>0</v>
      </c>
      <c r="K64" s="94">
        <f>'Adaptive costs A'!K64-'Adaptive costs B'!K64</f>
        <v>0</v>
      </c>
      <c r="M64" s="4" t="str">
        <f t="shared" si="4"/>
        <v>$million</v>
      </c>
    </row>
    <row r="65" spans="1:13" x14ac:dyDescent="0.25">
      <c r="A65" t="str">
        <v>EE Economic</v>
      </c>
      <c r="B65" s="94">
        <f>'Adaptive costs A'!B65-'Adaptive costs B'!B65</f>
        <v>0</v>
      </c>
      <c r="C65" s="94">
        <f>'Adaptive costs A'!C65-'Adaptive costs B'!C65</f>
        <v>0</v>
      </c>
      <c r="D65" s="94">
        <f>'Adaptive costs A'!D65-'Adaptive costs B'!D65</f>
        <v>0</v>
      </c>
      <c r="E65" s="94">
        <f>'Adaptive costs A'!E65-'Adaptive costs B'!E65</f>
        <v>0</v>
      </c>
      <c r="F65" s="94">
        <f>'Adaptive costs A'!F65-'Adaptive costs B'!F65</f>
        <v>0</v>
      </c>
      <c r="G65" s="94">
        <f>'Adaptive costs A'!G65-'Adaptive costs B'!G65</f>
        <v>0</v>
      </c>
      <c r="H65" s="94">
        <f>'Adaptive costs A'!H65-'Adaptive costs B'!H65</f>
        <v>0</v>
      </c>
      <c r="I65" s="94">
        <f>'Adaptive costs A'!I65-'Adaptive costs B'!I65</f>
        <v>0</v>
      </c>
      <c r="J65" s="94">
        <f>'Adaptive costs A'!J65-'Adaptive costs B'!J65</f>
        <v>0</v>
      </c>
      <c r="K65" s="94">
        <f>'Adaptive costs A'!K65-'Adaptive costs B'!K65</f>
        <v>0</v>
      </c>
      <c r="M65" s="4" t="str">
        <f t="shared" si="4"/>
        <v>$million</v>
      </c>
    </row>
    <row r="66" spans="1:13" x14ac:dyDescent="0.25">
      <c r="A66" t="str">
        <v>CA Economic</v>
      </c>
      <c r="B66" s="94">
        <f>'Adaptive costs A'!B66-'Adaptive costs B'!B66</f>
        <v>0</v>
      </c>
      <c r="C66" s="94">
        <f>'Adaptive costs A'!C66-'Adaptive costs B'!C66</f>
        <v>0</v>
      </c>
      <c r="D66" s="94">
        <f>'Adaptive costs A'!D66-'Adaptive costs B'!D66</f>
        <v>0</v>
      </c>
      <c r="E66" s="94">
        <f>'Adaptive costs A'!E66-'Adaptive costs B'!E66</f>
        <v>0</v>
      </c>
      <c r="F66" s="94">
        <f>'Adaptive costs A'!F66-'Adaptive costs B'!F66</f>
        <v>0</v>
      </c>
      <c r="G66" s="94">
        <f>'Adaptive costs A'!G66-'Adaptive costs B'!G66</f>
        <v>0</v>
      </c>
      <c r="H66" s="94">
        <f>'Adaptive costs A'!H66-'Adaptive costs B'!H66</f>
        <v>0</v>
      </c>
      <c r="I66" s="94">
        <f>'Adaptive costs A'!I66-'Adaptive costs B'!I66</f>
        <v>0</v>
      </c>
      <c r="J66" s="94">
        <f>'Adaptive costs A'!J66-'Adaptive costs B'!J66</f>
        <v>0</v>
      </c>
      <c r="K66" s="94">
        <f>'Adaptive costs A'!K66-'Adaptive costs B'!K66</f>
        <v>0</v>
      </c>
      <c r="M66" s="4" t="str">
        <f t="shared" si="4"/>
        <v>$million</v>
      </c>
    </row>
    <row r="67" spans="1:13" x14ac:dyDescent="0.25">
      <c r="A67" t="str">
        <v>IA Economic</v>
      </c>
      <c r="B67" s="94">
        <f>'Adaptive costs A'!B67-'Adaptive costs B'!B67</f>
        <v>0</v>
      </c>
      <c r="C67" s="94">
        <f>'Adaptive costs A'!C67-'Adaptive costs B'!C67</f>
        <v>0</v>
      </c>
      <c r="D67" s="94">
        <f>'Adaptive costs A'!D67-'Adaptive costs B'!D67</f>
        <v>0</v>
      </c>
      <c r="E67" s="94">
        <f>'Adaptive costs A'!E67-'Adaptive costs B'!E67</f>
        <v>0</v>
      </c>
      <c r="F67" s="94">
        <f>'Adaptive costs A'!F67-'Adaptive costs B'!F67</f>
        <v>0</v>
      </c>
      <c r="G67" s="94">
        <f>'Adaptive costs A'!G67-'Adaptive costs B'!G67</f>
        <v>0</v>
      </c>
      <c r="H67" s="94">
        <f>'Adaptive costs A'!H67-'Adaptive costs B'!H67</f>
        <v>0</v>
      </c>
      <c r="I67" s="94">
        <f>'Adaptive costs A'!I67-'Adaptive costs B'!I67</f>
        <v>0</v>
      </c>
      <c r="J67" s="94">
        <f>'Adaptive costs A'!J67-'Adaptive costs B'!J67</f>
        <v>0</v>
      </c>
      <c r="K67" s="94">
        <f>'Adaptive costs A'!K67-'Adaptive costs B'!K67</f>
        <v>0</v>
      </c>
      <c r="M67" s="4" t="str">
        <f t="shared" si="4"/>
        <v>$million</v>
      </c>
    </row>
    <row r="68" spans="1:13" x14ac:dyDescent="0.25">
      <c r="A68" t="str">
        <v>AF Economic</v>
      </c>
      <c r="B68" s="94">
        <f>'Adaptive costs A'!B68-'Adaptive costs B'!B68</f>
        <v>0</v>
      </c>
      <c r="C68" s="94">
        <f>'Adaptive costs A'!C68-'Adaptive costs B'!C68</f>
        <v>0</v>
      </c>
      <c r="D68" s="94">
        <f>'Adaptive costs A'!D68-'Adaptive costs B'!D68</f>
        <v>0</v>
      </c>
      <c r="E68" s="94">
        <f>'Adaptive costs A'!E68-'Adaptive costs B'!E68</f>
        <v>0</v>
      </c>
      <c r="F68" s="94">
        <f>'Adaptive costs A'!F68-'Adaptive costs B'!F68</f>
        <v>0</v>
      </c>
      <c r="G68" s="94">
        <f>'Adaptive costs A'!G68-'Adaptive costs B'!G68</f>
        <v>0</v>
      </c>
      <c r="H68" s="94">
        <f>'Adaptive costs A'!H68-'Adaptive costs B'!H68</f>
        <v>0</v>
      </c>
      <c r="I68" s="94">
        <f>'Adaptive costs A'!I68-'Adaptive costs B'!I68</f>
        <v>0</v>
      </c>
      <c r="J68" s="94">
        <f>'Adaptive costs A'!J68-'Adaptive costs B'!J68</f>
        <v>0</v>
      </c>
      <c r="K68" s="94">
        <f>'Adaptive costs A'!K68-'Adaptive costs B'!K68</f>
        <v>0</v>
      </c>
      <c r="M68" s="4" t="str">
        <f t="shared" si="4"/>
        <v>$million</v>
      </c>
    </row>
    <row r="69" spans="1:13" x14ac:dyDescent="0.25">
      <c r="A69" t="str">
        <v>LA Economic</v>
      </c>
      <c r="B69" s="94">
        <f>'Adaptive costs A'!B69-'Adaptive costs B'!B69</f>
        <v>0</v>
      </c>
      <c r="C69" s="94">
        <f>'Adaptive costs A'!C69-'Adaptive costs B'!C69</f>
        <v>0</v>
      </c>
      <c r="D69" s="94">
        <f>'Adaptive costs A'!D69-'Adaptive costs B'!D69</f>
        <v>0</v>
      </c>
      <c r="E69" s="94">
        <f>'Adaptive costs A'!E69-'Adaptive costs B'!E69</f>
        <v>0</v>
      </c>
      <c r="F69" s="94">
        <f>'Adaptive costs A'!F69-'Adaptive costs B'!F69</f>
        <v>0</v>
      </c>
      <c r="G69" s="94">
        <f>'Adaptive costs A'!G69-'Adaptive costs B'!G69</f>
        <v>0</v>
      </c>
      <c r="H69" s="94">
        <f>'Adaptive costs A'!H69-'Adaptive costs B'!H69</f>
        <v>0</v>
      </c>
      <c r="I69" s="94">
        <f>'Adaptive costs A'!I69-'Adaptive costs B'!I69</f>
        <v>0</v>
      </c>
      <c r="J69" s="94">
        <f>'Adaptive costs A'!J69-'Adaptive costs B'!J69</f>
        <v>0</v>
      </c>
      <c r="K69" s="94">
        <f>'Adaptive costs A'!K69-'Adaptive costs B'!K69</f>
        <v>0</v>
      </c>
      <c r="M69" s="4" t="str">
        <f t="shared" si="4"/>
        <v>$million</v>
      </c>
    </row>
    <row r="70" spans="1:13" ht="13.5" thickBot="1" x14ac:dyDescent="0.35">
      <c r="A70" s="2" t="str">
        <f>"Global "&amp;I_1_NAME</f>
        <v>Global Economic</v>
      </c>
      <c r="B70" s="102">
        <f>'Adaptive costs A'!B70-'Adaptive costs B'!B70</f>
        <v>0</v>
      </c>
      <c r="C70" s="102">
        <f>'Adaptive costs A'!C70-'Adaptive costs B'!C70</f>
        <v>0</v>
      </c>
      <c r="D70" s="102">
        <f>'Adaptive costs A'!D70-'Adaptive costs B'!D70</f>
        <v>0</v>
      </c>
      <c r="E70" s="102">
        <f>'Adaptive costs A'!E70-'Adaptive costs B'!E70</f>
        <v>0</v>
      </c>
      <c r="F70" s="102">
        <f>'Adaptive costs A'!F70-'Adaptive costs B'!F70</f>
        <v>0</v>
      </c>
      <c r="G70" s="102">
        <f>'Adaptive costs A'!G70-'Adaptive costs B'!G70</f>
        <v>0</v>
      </c>
      <c r="H70" s="102">
        <f>'Adaptive costs A'!H70-'Adaptive costs B'!H70</f>
        <v>0</v>
      </c>
      <c r="I70" s="102">
        <f>'Adaptive costs A'!I70-'Adaptive costs B'!I70</f>
        <v>0</v>
      </c>
      <c r="J70" s="102">
        <f>'Adaptive costs A'!J70-'Adaptive costs B'!J70</f>
        <v>0</v>
      </c>
      <c r="K70" s="102">
        <f>'Adaptive costs A'!K70-'Adaptive costs B'!K70</f>
        <v>0</v>
      </c>
      <c r="L70" s="1"/>
      <c r="M70" s="4" t="str">
        <f t="shared" si="4"/>
        <v>$million</v>
      </c>
    </row>
    <row r="71" spans="1:13" ht="15.5" thickTop="1" x14ac:dyDescent="0.4">
      <c r="A71" s="65" t="s">
        <v>145</v>
      </c>
      <c r="B71" s="2" t="s">
        <v>125</v>
      </c>
      <c r="C71" s="58"/>
      <c r="D71" s="58"/>
      <c r="E71" s="58"/>
      <c r="F71" s="58"/>
      <c r="G71" s="58"/>
      <c r="H71" s="58"/>
      <c r="I71" s="58"/>
      <c r="J71" s="58"/>
      <c r="K71" s="58"/>
      <c r="L71" s="1"/>
      <c r="M71" s="1"/>
    </row>
    <row r="72" spans="1:13" x14ac:dyDescent="0.25">
      <c r="A72" t="str">
        <f t="array" ref="A72:A79">R_CODE&amp;" "&amp;I_1_NAME</f>
        <v>EU Economic</v>
      </c>
      <c r="B72" s="93">
        <f>'Adaptive costs A'!B72-'Adaptive costs B'!B72</f>
        <v>0</v>
      </c>
      <c r="C72" s="93">
        <f>'Adaptive costs A'!C72-'Adaptive costs B'!C72</f>
        <v>0</v>
      </c>
      <c r="D72" s="93">
        <f>'Adaptive costs A'!D72-'Adaptive costs B'!D72</f>
        <v>0</v>
      </c>
      <c r="E72" s="93">
        <f>'Adaptive costs A'!E72-'Adaptive costs B'!E72</f>
        <v>0</v>
      </c>
      <c r="F72" s="93">
        <f>'Adaptive costs A'!F72-'Adaptive costs B'!F72</f>
        <v>0</v>
      </c>
      <c r="G72" s="93">
        <f>'Adaptive costs A'!G72-'Adaptive costs B'!G72</f>
        <v>0</v>
      </c>
      <c r="H72" s="93">
        <f>'Adaptive costs A'!H72-'Adaptive costs B'!H72</f>
        <v>0</v>
      </c>
      <c r="I72" s="93">
        <f>'Adaptive costs A'!I72-'Adaptive costs B'!I72</f>
        <v>0</v>
      </c>
      <c r="J72" s="93">
        <f>'Adaptive costs A'!J72-'Adaptive costs B'!J72</f>
        <v>0</v>
      </c>
      <c r="K72" s="93">
        <f>'Adaptive costs A'!K72-'Adaptive costs B'!K72</f>
        <v>0</v>
      </c>
      <c r="L72" s="1"/>
      <c r="M72" s="4" t="str">
        <f t="shared" ref="M72:M80" si="5">CURRENCY_NAME</f>
        <v>$million</v>
      </c>
    </row>
    <row r="73" spans="1:13" x14ac:dyDescent="0.25">
      <c r="A73" t="str">
        <v>US Economic</v>
      </c>
      <c r="B73" s="94">
        <f>'Adaptive costs A'!B73-'Adaptive costs B'!B73</f>
        <v>0</v>
      </c>
      <c r="C73" s="94">
        <f>'Adaptive costs A'!C73-'Adaptive costs B'!C73</f>
        <v>0</v>
      </c>
      <c r="D73" s="94">
        <f>'Adaptive costs A'!D73-'Adaptive costs B'!D73</f>
        <v>0</v>
      </c>
      <c r="E73" s="94">
        <f>'Adaptive costs A'!E73-'Adaptive costs B'!E73</f>
        <v>0</v>
      </c>
      <c r="F73" s="94">
        <f>'Adaptive costs A'!F73-'Adaptive costs B'!F73</f>
        <v>0</v>
      </c>
      <c r="G73" s="94">
        <f>'Adaptive costs A'!G73-'Adaptive costs B'!G73</f>
        <v>0</v>
      </c>
      <c r="H73" s="94">
        <f>'Adaptive costs A'!H73-'Adaptive costs B'!H73</f>
        <v>0</v>
      </c>
      <c r="I73" s="94">
        <f>'Adaptive costs A'!I73-'Adaptive costs B'!I73</f>
        <v>0</v>
      </c>
      <c r="J73" s="94">
        <f>'Adaptive costs A'!J73-'Adaptive costs B'!J73</f>
        <v>0</v>
      </c>
      <c r="K73" s="94">
        <f>'Adaptive costs A'!K73-'Adaptive costs B'!K73</f>
        <v>0</v>
      </c>
      <c r="L73" s="1"/>
      <c r="M73" s="4" t="str">
        <f t="shared" si="5"/>
        <v>$million</v>
      </c>
    </row>
    <row r="74" spans="1:13" x14ac:dyDescent="0.25">
      <c r="A74" t="str">
        <v>OT Economic</v>
      </c>
      <c r="B74" s="94">
        <f>'Adaptive costs A'!B74-'Adaptive costs B'!B74</f>
        <v>0</v>
      </c>
      <c r="C74" s="94">
        <f>'Adaptive costs A'!C74-'Adaptive costs B'!C74</f>
        <v>0</v>
      </c>
      <c r="D74" s="94">
        <f>'Adaptive costs A'!D74-'Adaptive costs B'!D74</f>
        <v>0</v>
      </c>
      <c r="E74" s="94">
        <f>'Adaptive costs A'!E74-'Adaptive costs B'!E74</f>
        <v>0</v>
      </c>
      <c r="F74" s="94">
        <f>'Adaptive costs A'!F74-'Adaptive costs B'!F74</f>
        <v>0</v>
      </c>
      <c r="G74" s="94">
        <f>'Adaptive costs A'!G74-'Adaptive costs B'!G74</f>
        <v>0</v>
      </c>
      <c r="H74" s="94">
        <f>'Adaptive costs A'!H74-'Adaptive costs B'!H74</f>
        <v>0</v>
      </c>
      <c r="I74" s="94">
        <f>'Adaptive costs A'!I74-'Adaptive costs B'!I74</f>
        <v>0</v>
      </c>
      <c r="J74" s="94">
        <f>'Adaptive costs A'!J74-'Adaptive costs B'!J74</f>
        <v>0</v>
      </c>
      <c r="K74" s="94">
        <f>'Adaptive costs A'!K74-'Adaptive costs B'!K74</f>
        <v>0</v>
      </c>
      <c r="L74" s="1"/>
      <c r="M74" s="4" t="str">
        <f t="shared" si="5"/>
        <v>$million</v>
      </c>
    </row>
    <row r="75" spans="1:13" x14ac:dyDescent="0.25">
      <c r="A75" t="str">
        <v>EE Economic</v>
      </c>
      <c r="B75" s="94">
        <f>'Adaptive costs A'!B75-'Adaptive costs B'!B75</f>
        <v>0</v>
      </c>
      <c r="C75" s="94">
        <f>'Adaptive costs A'!C75-'Adaptive costs B'!C75</f>
        <v>0</v>
      </c>
      <c r="D75" s="94">
        <f>'Adaptive costs A'!D75-'Adaptive costs B'!D75</f>
        <v>0</v>
      </c>
      <c r="E75" s="94">
        <f>'Adaptive costs A'!E75-'Adaptive costs B'!E75</f>
        <v>0</v>
      </c>
      <c r="F75" s="94">
        <f>'Adaptive costs A'!F75-'Adaptive costs B'!F75</f>
        <v>0</v>
      </c>
      <c r="G75" s="94">
        <f>'Adaptive costs A'!G75-'Adaptive costs B'!G75</f>
        <v>0</v>
      </c>
      <c r="H75" s="94">
        <f>'Adaptive costs A'!H75-'Adaptive costs B'!H75</f>
        <v>0</v>
      </c>
      <c r="I75" s="94">
        <f>'Adaptive costs A'!I75-'Adaptive costs B'!I75</f>
        <v>0</v>
      </c>
      <c r="J75" s="94">
        <f>'Adaptive costs A'!J75-'Adaptive costs B'!J75</f>
        <v>0</v>
      </c>
      <c r="K75" s="94">
        <f>'Adaptive costs A'!K75-'Adaptive costs B'!K75</f>
        <v>0</v>
      </c>
      <c r="L75" s="1"/>
      <c r="M75" s="4" t="str">
        <f t="shared" si="5"/>
        <v>$million</v>
      </c>
    </row>
    <row r="76" spans="1:13" x14ac:dyDescent="0.25">
      <c r="A76" t="str">
        <v>CA Economic</v>
      </c>
      <c r="B76" s="94">
        <f>'Adaptive costs A'!B76-'Adaptive costs B'!B76</f>
        <v>0</v>
      </c>
      <c r="C76" s="94">
        <f>'Adaptive costs A'!C76-'Adaptive costs B'!C76</f>
        <v>0</v>
      </c>
      <c r="D76" s="94">
        <f>'Adaptive costs A'!D76-'Adaptive costs B'!D76</f>
        <v>0</v>
      </c>
      <c r="E76" s="94">
        <f>'Adaptive costs A'!E76-'Adaptive costs B'!E76</f>
        <v>0</v>
      </c>
      <c r="F76" s="94">
        <f>'Adaptive costs A'!F76-'Adaptive costs B'!F76</f>
        <v>0</v>
      </c>
      <c r="G76" s="94">
        <f>'Adaptive costs A'!G76-'Adaptive costs B'!G76</f>
        <v>0</v>
      </c>
      <c r="H76" s="94">
        <f>'Adaptive costs A'!H76-'Adaptive costs B'!H76</f>
        <v>0</v>
      </c>
      <c r="I76" s="94">
        <f>'Adaptive costs A'!I76-'Adaptive costs B'!I76</f>
        <v>0</v>
      </c>
      <c r="J76" s="94">
        <f>'Adaptive costs A'!J76-'Adaptive costs B'!J76</f>
        <v>0</v>
      </c>
      <c r="K76" s="94">
        <f>'Adaptive costs A'!K76-'Adaptive costs B'!K76</f>
        <v>0</v>
      </c>
      <c r="L76" s="1"/>
      <c r="M76" s="4" t="str">
        <f t="shared" si="5"/>
        <v>$million</v>
      </c>
    </row>
    <row r="77" spans="1:13" x14ac:dyDescent="0.25">
      <c r="A77" t="str">
        <v>IA Economic</v>
      </c>
      <c r="B77" s="94">
        <f>'Adaptive costs A'!B77-'Adaptive costs B'!B77</f>
        <v>0</v>
      </c>
      <c r="C77" s="94">
        <f>'Adaptive costs A'!C77-'Adaptive costs B'!C77</f>
        <v>0</v>
      </c>
      <c r="D77" s="94">
        <f>'Adaptive costs A'!D77-'Adaptive costs B'!D77</f>
        <v>0</v>
      </c>
      <c r="E77" s="94">
        <f>'Adaptive costs A'!E77-'Adaptive costs B'!E77</f>
        <v>0</v>
      </c>
      <c r="F77" s="94">
        <f>'Adaptive costs A'!F77-'Adaptive costs B'!F77</f>
        <v>0</v>
      </c>
      <c r="G77" s="94">
        <f>'Adaptive costs A'!G77-'Adaptive costs B'!G77</f>
        <v>0</v>
      </c>
      <c r="H77" s="94">
        <f>'Adaptive costs A'!H77-'Adaptive costs B'!H77</f>
        <v>0</v>
      </c>
      <c r="I77" s="94">
        <f>'Adaptive costs A'!I77-'Adaptive costs B'!I77</f>
        <v>0</v>
      </c>
      <c r="J77" s="94">
        <f>'Adaptive costs A'!J77-'Adaptive costs B'!J77</f>
        <v>0</v>
      </c>
      <c r="K77" s="94">
        <f>'Adaptive costs A'!K77-'Adaptive costs B'!K77</f>
        <v>0</v>
      </c>
      <c r="L77" s="1"/>
      <c r="M77" s="4" t="str">
        <f t="shared" si="5"/>
        <v>$million</v>
      </c>
    </row>
    <row r="78" spans="1:13" x14ac:dyDescent="0.25">
      <c r="A78" t="str">
        <v>AF Economic</v>
      </c>
      <c r="B78" s="94">
        <f>'Adaptive costs A'!B78-'Adaptive costs B'!B78</f>
        <v>0</v>
      </c>
      <c r="C78" s="94">
        <f>'Adaptive costs A'!C78-'Adaptive costs B'!C78</f>
        <v>0</v>
      </c>
      <c r="D78" s="94">
        <f>'Adaptive costs A'!D78-'Adaptive costs B'!D78</f>
        <v>0</v>
      </c>
      <c r="E78" s="94">
        <f>'Adaptive costs A'!E78-'Adaptive costs B'!E78</f>
        <v>0</v>
      </c>
      <c r="F78" s="94">
        <f>'Adaptive costs A'!F78-'Adaptive costs B'!F78</f>
        <v>0</v>
      </c>
      <c r="G78" s="94">
        <f>'Adaptive costs A'!G78-'Adaptive costs B'!G78</f>
        <v>0</v>
      </c>
      <c r="H78" s="94">
        <f>'Adaptive costs A'!H78-'Adaptive costs B'!H78</f>
        <v>0</v>
      </c>
      <c r="I78" s="94">
        <f>'Adaptive costs A'!I78-'Adaptive costs B'!I78</f>
        <v>0</v>
      </c>
      <c r="J78" s="94">
        <f>'Adaptive costs A'!J78-'Adaptive costs B'!J78</f>
        <v>0</v>
      </c>
      <c r="K78" s="94">
        <f>'Adaptive costs A'!K78-'Adaptive costs B'!K78</f>
        <v>0</v>
      </c>
      <c r="L78" s="1"/>
      <c r="M78" s="4" t="str">
        <f t="shared" si="5"/>
        <v>$million</v>
      </c>
    </row>
    <row r="79" spans="1:13" x14ac:dyDescent="0.25">
      <c r="A79" t="str">
        <v>LA Economic</v>
      </c>
      <c r="B79" s="94">
        <f>'Adaptive costs A'!B79-'Adaptive costs B'!B79</f>
        <v>0</v>
      </c>
      <c r="C79" s="94">
        <f>'Adaptive costs A'!C79-'Adaptive costs B'!C79</f>
        <v>0</v>
      </c>
      <c r="D79" s="94">
        <f>'Adaptive costs A'!D79-'Adaptive costs B'!D79</f>
        <v>0</v>
      </c>
      <c r="E79" s="94">
        <f>'Adaptive costs A'!E79-'Adaptive costs B'!E79</f>
        <v>0</v>
      </c>
      <c r="F79" s="94">
        <f>'Adaptive costs A'!F79-'Adaptive costs B'!F79</f>
        <v>0</v>
      </c>
      <c r="G79" s="94">
        <f>'Adaptive costs A'!G79-'Adaptive costs B'!G79</f>
        <v>0</v>
      </c>
      <c r="H79" s="94">
        <f>'Adaptive costs A'!H79-'Adaptive costs B'!H79</f>
        <v>0</v>
      </c>
      <c r="I79" s="94">
        <f>'Adaptive costs A'!I79-'Adaptive costs B'!I79</f>
        <v>0</v>
      </c>
      <c r="J79" s="94">
        <f>'Adaptive costs A'!J79-'Adaptive costs B'!J79</f>
        <v>0</v>
      </c>
      <c r="K79" s="94">
        <f>'Adaptive costs A'!K79-'Adaptive costs B'!K79</f>
        <v>0</v>
      </c>
      <c r="L79" s="1"/>
      <c r="M79" s="4" t="str">
        <f t="shared" si="5"/>
        <v>$million</v>
      </c>
    </row>
    <row r="80" spans="1:13" ht="13.5" thickBot="1" x14ac:dyDescent="0.35">
      <c r="A80" s="2" t="str">
        <f>"Global "&amp;I_1_NAME</f>
        <v>Global Economic</v>
      </c>
      <c r="B80" s="102">
        <f>'Adaptive costs A'!B80-'Adaptive costs B'!B80</f>
        <v>0</v>
      </c>
      <c r="C80" s="102">
        <f>'Adaptive costs A'!C80-'Adaptive costs B'!C80</f>
        <v>0</v>
      </c>
      <c r="D80" s="102">
        <f>'Adaptive costs A'!D80-'Adaptive costs B'!D80</f>
        <v>0</v>
      </c>
      <c r="E80" s="102">
        <f>'Adaptive costs A'!E80-'Adaptive costs B'!E80</f>
        <v>0</v>
      </c>
      <c r="F80" s="102">
        <f>'Adaptive costs A'!F80-'Adaptive costs B'!F80</f>
        <v>0</v>
      </c>
      <c r="G80" s="102">
        <f>'Adaptive costs A'!G80-'Adaptive costs B'!G80</f>
        <v>0</v>
      </c>
      <c r="H80" s="102">
        <f>'Adaptive costs A'!H80-'Adaptive costs B'!H80</f>
        <v>0</v>
      </c>
      <c r="I80" s="102">
        <f>'Adaptive costs A'!I80-'Adaptive costs B'!I80</f>
        <v>0</v>
      </c>
      <c r="J80" s="102">
        <f>'Adaptive costs A'!J80-'Adaptive costs B'!J80</f>
        <v>0</v>
      </c>
      <c r="K80" s="102">
        <f>'Adaptive costs A'!K80-'Adaptive costs B'!K80</f>
        <v>0</v>
      </c>
      <c r="L80" s="1"/>
      <c r="M80" s="4" t="str">
        <f t="shared" si="5"/>
        <v>$million</v>
      </c>
    </row>
    <row r="81" spans="1:13" s="2" customFormat="1" ht="15.5" thickTop="1" x14ac:dyDescent="0.4">
      <c r="A81" s="2" t="s">
        <v>434</v>
      </c>
      <c r="B81" s="2" t="s">
        <v>441</v>
      </c>
    </row>
    <row r="82" spans="1:13" s="4" customFormat="1" x14ac:dyDescent="0.25">
      <c r="A82" t="str">
        <f t="array" ref="A82:A89">R_CODE&amp;" "&amp;I_2_NAME</f>
        <v>EU Non-econ</v>
      </c>
      <c r="B82" s="93">
        <f>'Adaptive costs A'!B82-'Adaptive costs B'!B82</f>
        <v>0</v>
      </c>
      <c r="C82" s="93">
        <f>'Adaptive costs A'!C82-'Adaptive costs B'!C82</f>
        <v>0</v>
      </c>
      <c r="D82" s="93">
        <f>'Adaptive costs A'!D82-'Adaptive costs B'!D82</f>
        <v>0</v>
      </c>
      <c r="E82" s="93">
        <f>'Adaptive costs A'!E82-'Adaptive costs B'!E82</f>
        <v>0</v>
      </c>
      <c r="F82" s="93">
        <f>'Adaptive costs A'!F82-'Adaptive costs B'!F82</f>
        <v>0</v>
      </c>
      <c r="G82" s="93">
        <f>'Adaptive costs A'!G82-'Adaptive costs B'!G82</f>
        <v>0</v>
      </c>
      <c r="H82" s="93">
        <f>'Adaptive costs A'!H82-'Adaptive costs B'!H82</f>
        <v>0</v>
      </c>
      <c r="I82" s="93">
        <f>'Adaptive costs A'!I82-'Adaptive costs B'!I82</f>
        <v>0</v>
      </c>
      <c r="J82" s="93">
        <f>'Adaptive costs A'!J82-'Adaptive costs B'!J82</f>
        <v>0</v>
      </c>
      <c r="K82" s="93">
        <f>'Adaptive costs A'!K82-'Adaptive costs B'!K82</f>
        <v>0</v>
      </c>
      <c r="M82" s="4" t="str">
        <f t="shared" ref="M82:M90" si="6">CURRENCY_NAME</f>
        <v>$million</v>
      </c>
    </row>
    <row r="83" spans="1:13" s="4" customFormat="1" x14ac:dyDescent="0.25">
      <c r="A83" t="str">
        <v>US Non-econ</v>
      </c>
      <c r="B83" s="94">
        <f>'Adaptive costs A'!B83-'Adaptive costs B'!B83</f>
        <v>0</v>
      </c>
      <c r="C83" s="94">
        <f>'Adaptive costs A'!C83-'Adaptive costs B'!C83</f>
        <v>0</v>
      </c>
      <c r="D83" s="94">
        <f>'Adaptive costs A'!D83-'Adaptive costs B'!D83</f>
        <v>0</v>
      </c>
      <c r="E83" s="94">
        <f>'Adaptive costs A'!E83-'Adaptive costs B'!E83</f>
        <v>0</v>
      </c>
      <c r="F83" s="94">
        <f>'Adaptive costs A'!F83-'Adaptive costs B'!F83</f>
        <v>0</v>
      </c>
      <c r="G83" s="94">
        <f>'Adaptive costs A'!G83-'Adaptive costs B'!G83</f>
        <v>0</v>
      </c>
      <c r="H83" s="94">
        <f>'Adaptive costs A'!H83-'Adaptive costs B'!H83</f>
        <v>0</v>
      </c>
      <c r="I83" s="94">
        <f>'Adaptive costs A'!I83-'Adaptive costs B'!I83</f>
        <v>0</v>
      </c>
      <c r="J83" s="94">
        <f>'Adaptive costs A'!J83-'Adaptive costs B'!J83</f>
        <v>0</v>
      </c>
      <c r="K83" s="94">
        <f>'Adaptive costs A'!K83-'Adaptive costs B'!K83</f>
        <v>0</v>
      </c>
      <c r="M83" s="4" t="str">
        <f t="shared" si="6"/>
        <v>$million</v>
      </c>
    </row>
    <row r="84" spans="1:13" s="4" customFormat="1" x14ac:dyDescent="0.25">
      <c r="A84" t="str">
        <v>OT Non-econ</v>
      </c>
      <c r="B84" s="94">
        <f>'Adaptive costs A'!B84-'Adaptive costs B'!B84</f>
        <v>0</v>
      </c>
      <c r="C84" s="94">
        <f>'Adaptive costs A'!C84-'Adaptive costs B'!C84</f>
        <v>0</v>
      </c>
      <c r="D84" s="94">
        <f>'Adaptive costs A'!D84-'Adaptive costs B'!D84</f>
        <v>0</v>
      </c>
      <c r="E84" s="94">
        <f>'Adaptive costs A'!E84-'Adaptive costs B'!E84</f>
        <v>0</v>
      </c>
      <c r="F84" s="94">
        <f>'Adaptive costs A'!F84-'Adaptive costs B'!F84</f>
        <v>0</v>
      </c>
      <c r="G84" s="94">
        <f>'Adaptive costs A'!G84-'Adaptive costs B'!G84</f>
        <v>0</v>
      </c>
      <c r="H84" s="94">
        <f>'Adaptive costs A'!H84-'Adaptive costs B'!H84</f>
        <v>0</v>
      </c>
      <c r="I84" s="94">
        <f>'Adaptive costs A'!I84-'Adaptive costs B'!I84</f>
        <v>0</v>
      </c>
      <c r="J84" s="94">
        <f>'Adaptive costs A'!J84-'Adaptive costs B'!J84</f>
        <v>0</v>
      </c>
      <c r="K84" s="94">
        <f>'Adaptive costs A'!K84-'Adaptive costs B'!K84</f>
        <v>0</v>
      </c>
      <c r="M84" s="4" t="str">
        <f t="shared" si="6"/>
        <v>$million</v>
      </c>
    </row>
    <row r="85" spans="1:13" s="4" customFormat="1" x14ac:dyDescent="0.25">
      <c r="A85" t="str">
        <v>EE Non-econ</v>
      </c>
      <c r="B85" s="94">
        <f>'Adaptive costs A'!B85-'Adaptive costs B'!B85</f>
        <v>0</v>
      </c>
      <c r="C85" s="94">
        <f>'Adaptive costs A'!C85-'Adaptive costs B'!C85</f>
        <v>0</v>
      </c>
      <c r="D85" s="94">
        <f>'Adaptive costs A'!D85-'Adaptive costs B'!D85</f>
        <v>0</v>
      </c>
      <c r="E85" s="94">
        <f>'Adaptive costs A'!E85-'Adaptive costs B'!E85</f>
        <v>0</v>
      </c>
      <c r="F85" s="94">
        <f>'Adaptive costs A'!F85-'Adaptive costs B'!F85</f>
        <v>0</v>
      </c>
      <c r="G85" s="94">
        <f>'Adaptive costs A'!G85-'Adaptive costs B'!G85</f>
        <v>0</v>
      </c>
      <c r="H85" s="94">
        <f>'Adaptive costs A'!H85-'Adaptive costs B'!H85</f>
        <v>0</v>
      </c>
      <c r="I85" s="94">
        <f>'Adaptive costs A'!I85-'Adaptive costs B'!I85</f>
        <v>0</v>
      </c>
      <c r="J85" s="94">
        <f>'Adaptive costs A'!J85-'Adaptive costs B'!J85</f>
        <v>0</v>
      </c>
      <c r="K85" s="94">
        <f>'Adaptive costs A'!K85-'Adaptive costs B'!K85</f>
        <v>0</v>
      </c>
      <c r="M85" s="4" t="str">
        <f t="shared" si="6"/>
        <v>$million</v>
      </c>
    </row>
    <row r="86" spans="1:13" s="4" customFormat="1" x14ac:dyDescent="0.25">
      <c r="A86" t="str">
        <v>CA Non-econ</v>
      </c>
      <c r="B86" s="94">
        <f>'Adaptive costs A'!B86-'Adaptive costs B'!B86</f>
        <v>0</v>
      </c>
      <c r="C86" s="94">
        <f>'Adaptive costs A'!C86-'Adaptive costs B'!C86</f>
        <v>0</v>
      </c>
      <c r="D86" s="94">
        <f>'Adaptive costs A'!D86-'Adaptive costs B'!D86</f>
        <v>0</v>
      </c>
      <c r="E86" s="94">
        <f>'Adaptive costs A'!E86-'Adaptive costs B'!E86</f>
        <v>0</v>
      </c>
      <c r="F86" s="94">
        <f>'Adaptive costs A'!F86-'Adaptive costs B'!F86</f>
        <v>0</v>
      </c>
      <c r="G86" s="94">
        <f>'Adaptive costs A'!G86-'Adaptive costs B'!G86</f>
        <v>0</v>
      </c>
      <c r="H86" s="94">
        <f>'Adaptive costs A'!H86-'Adaptive costs B'!H86</f>
        <v>0</v>
      </c>
      <c r="I86" s="94">
        <f>'Adaptive costs A'!I86-'Adaptive costs B'!I86</f>
        <v>0</v>
      </c>
      <c r="J86" s="94">
        <f>'Adaptive costs A'!J86-'Adaptive costs B'!J86</f>
        <v>0</v>
      </c>
      <c r="K86" s="94">
        <f>'Adaptive costs A'!K86-'Adaptive costs B'!K86</f>
        <v>0</v>
      </c>
      <c r="M86" s="4" t="str">
        <f t="shared" si="6"/>
        <v>$million</v>
      </c>
    </row>
    <row r="87" spans="1:13" s="4" customFormat="1" x14ac:dyDescent="0.25">
      <c r="A87" t="str">
        <v>IA Non-econ</v>
      </c>
      <c r="B87" s="94">
        <f>'Adaptive costs A'!B87-'Adaptive costs B'!B87</f>
        <v>0</v>
      </c>
      <c r="C87" s="94">
        <f>'Adaptive costs A'!C87-'Adaptive costs B'!C87</f>
        <v>0</v>
      </c>
      <c r="D87" s="94">
        <f>'Adaptive costs A'!D87-'Adaptive costs B'!D87</f>
        <v>0</v>
      </c>
      <c r="E87" s="94">
        <f>'Adaptive costs A'!E87-'Adaptive costs B'!E87</f>
        <v>0</v>
      </c>
      <c r="F87" s="94">
        <f>'Adaptive costs A'!F87-'Adaptive costs B'!F87</f>
        <v>0</v>
      </c>
      <c r="G87" s="94">
        <f>'Adaptive costs A'!G87-'Adaptive costs B'!G87</f>
        <v>0</v>
      </c>
      <c r="H87" s="94">
        <f>'Adaptive costs A'!H87-'Adaptive costs B'!H87</f>
        <v>0</v>
      </c>
      <c r="I87" s="94">
        <f>'Adaptive costs A'!I87-'Adaptive costs B'!I87</f>
        <v>0</v>
      </c>
      <c r="J87" s="94">
        <f>'Adaptive costs A'!J87-'Adaptive costs B'!J87</f>
        <v>0</v>
      </c>
      <c r="K87" s="94">
        <f>'Adaptive costs A'!K87-'Adaptive costs B'!K87</f>
        <v>0</v>
      </c>
      <c r="M87" s="4" t="str">
        <f t="shared" si="6"/>
        <v>$million</v>
      </c>
    </row>
    <row r="88" spans="1:13" s="4" customFormat="1" x14ac:dyDescent="0.25">
      <c r="A88" t="str">
        <v>AF Non-econ</v>
      </c>
      <c r="B88" s="94">
        <f>'Adaptive costs A'!B88-'Adaptive costs B'!B88</f>
        <v>0</v>
      </c>
      <c r="C88" s="94">
        <f>'Adaptive costs A'!C88-'Adaptive costs B'!C88</f>
        <v>0</v>
      </c>
      <c r="D88" s="94">
        <f>'Adaptive costs A'!D88-'Adaptive costs B'!D88</f>
        <v>0</v>
      </c>
      <c r="E88" s="94">
        <f>'Adaptive costs A'!E88-'Adaptive costs B'!E88</f>
        <v>0</v>
      </c>
      <c r="F88" s="94">
        <f>'Adaptive costs A'!F88-'Adaptive costs B'!F88</f>
        <v>0</v>
      </c>
      <c r="G88" s="94">
        <f>'Adaptive costs A'!G88-'Adaptive costs B'!G88</f>
        <v>0</v>
      </c>
      <c r="H88" s="94">
        <f>'Adaptive costs A'!H88-'Adaptive costs B'!H88</f>
        <v>0</v>
      </c>
      <c r="I88" s="94">
        <f>'Adaptive costs A'!I88-'Adaptive costs B'!I88</f>
        <v>0</v>
      </c>
      <c r="J88" s="94">
        <f>'Adaptive costs A'!J88-'Adaptive costs B'!J88</f>
        <v>0</v>
      </c>
      <c r="K88" s="94">
        <f>'Adaptive costs A'!K88-'Adaptive costs B'!K88</f>
        <v>0</v>
      </c>
      <c r="M88" s="4" t="str">
        <f t="shared" si="6"/>
        <v>$million</v>
      </c>
    </row>
    <row r="89" spans="1:13" s="4" customFormat="1" x14ac:dyDescent="0.25">
      <c r="A89" t="str">
        <v>LA Non-econ</v>
      </c>
      <c r="B89" s="94">
        <f>'Adaptive costs A'!B89-'Adaptive costs B'!B89</f>
        <v>0</v>
      </c>
      <c r="C89" s="94">
        <f>'Adaptive costs A'!C89-'Adaptive costs B'!C89</f>
        <v>0</v>
      </c>
      <c r="D89" s="94">
        <f>'Adaptive costs A'!D89-'Adaptive costs B'!D89</f>
        <v>0</v>
      </c>
      <c r="E89" s="94">
        <f>'Adaptive costs A'!E89-'Adaptive costs B'!E89</f>
        <v>0</v>
      </c>
      <c r="F89" s="94">
        <f>'Adaptive costs A'!F89-'Adaptive costs B'!F89</f>
        <v>0</v>
      </c>
      <c r="G89" s="94">
        <f>'Adaptive costs A'!G89-'Adaptive costs B'!G89</f>
        <v>0</v>
      </c>
      <c r="H89" s="94">
        <f>'Adaptive costs A'!H89-'Adaptive costs B'!H89</f>
        <v>0</v>
      </c>
      <c r="I89" s="94">
        <f>'Adaptive costs A'!I89-'Adaptive costs B'!I89</f>
        <v>0</v>
      </c>
      <c r="J89" s="94">
        <f>'Adaptive costs A'!J89-'Adaptive costs B'!J89</f>
        <v>0</v>
      </c>
      <c r="K89" s="94">
        <f>'Adaptive costs A'!K89-'Adaptive costs B'!K89</f>
        <v>0</v>
      </c>
      <c r="M89" s="4" t="str">
        <f t="shared" si="6"/>
        <v>$million</v>
      </c>
    </row>
    <row r="90" spans="1:13" ht="13.5" thickBot="1" x14ac:dyDescent="0.35">
      <c r="A90" s="2" t="str">
        <f>"Global "&amp;I_2_NAME</f>
        <v>Global Non-econ</v>
      </c>
      <c r="B90" s="102">
        <f>'Adaptive costs A'!B90-'Adaptive costs B'!B90</f>
        <v>0</v>
      </c>
      <c r="C90" s="102">
        <f>'Adaptive costs A'!C90-'Adaptive costs B'!C90</f>
        <v>0</v>
      </c>
      <c r="D90" s="102">
        <f>'Adaptive costs A'!D90-'Adaptive costs B'!D90</f>
        <v>0</v>
      </c>
      <c r="E90" s="102">
        <f>'Adaptive costs A'!E90-'Adaptive costs B'!E90</f>
        <v>0</v>
      </c>
      <c r="F90" s="102">
        <f>'Adaptive costs A'!F90-'Adaptive costs B'!F90</f>
        <v>0</v>
      </c>
      <c r="G90" s="102">
        <f>'Adaptive costs A'!G90-'Adaptive costs B'!G90</f>
        <v>0</v>
      </c>
      <c r="H90" s="102">
        <f>'Adaptive costs A'!H90-'Adaptive costs B'!H90</f>
        <v>0</v>
      </c>
      <c r="I90" s="102">
        <f>'Adaptive costs A'!I90-'Adaptive costs B'!I90</f>
        <v>0</v>
      </c>
      <c r="J90" s="102">
        <f>'Adaptive costs A'!J90-'Adaptive costs B'!J90</f>
        <v>0</v>
      </c>
      <c r="K90" s="102">
        <f>'Adaptive costs A'!K90-'Adaptive costs B'!K90</f>
        <v>0</v>
      </c>
      <c r="L90" s="1"/>
      <c r="M90" s="4" t="str">
        <f t="shared" si="6"/>
        <v>$million</v>
      </c>
    </row>
    <row r="91" spans="1:13" s="2" customFormat="1" ht="15.5" thickTop="1" x14ac:dyDescent="0.4">
      <c r="A91" s="2" t="s">
        <v>436</v>
      </c>
      <c r="B91" s="2" t="s">
        <v>442</v>
      </c>
    </row>
    <row r="92" spans="1:13" x14ac:dyDescent="0.25">
      <c r="A92" t="str">
        <f t="array" ref="A92:A99">R_CODE&amp;" "&amp;I_2_NAME</f>
        <v>EU Non-econ</v>
      </c>
      <c r="B92" s="93">
        <f>'Adaptive costs A'!B92-'Adaptive costs B'!B92</f>
        <v>0</v>
      </c>
      <c r="C92" s="93">
        <f>'Adaptive costs A'!C92-'Adaptive costs B'!C92</f>
        <v>0</v>
      </c>
      <c r="D92" s="93">
        <f>'Adaptive costs A'!D92-'Adaptive costs B'!D92</f>
        <v>0</v>
      </c>
      <c r="E92" s="93">
        <f>'Adaptive costs A'!E92-'Adaptive costs B'!E92</f>
        <v>0</v>
      </c>
      <c r="F92" s="93">
        <f>'Adaptive costs A'!F92-'Adaptive costs B'!F92</f>
        <v>0</v>
      </c>
      <c r="G92" s="93">
        <f>'Adaptive costs A'!G92-'Adaptive costs B'!G92</f>
        <v>0</v>
      </c>
      <c r="H92" s="93">
        <f>'Adaptive costs A'!H92-'Adaptive costs B'!H92</f>
        <v>0</v>
      </c>
      <c r="I92" s="93">
        <f>'Adaptive costs A'!I92-'Adaptive costs B'!I92</f>
        <v>0</v>
      </c>
      <c r="J92" s="93">
        <f>'Adaptive costs A'!J92-'Adaptive costs B'!J92</f>
        <v>0</v>
      </c>
      <c r="K92" s="93">
        <f>'Adaptive costs A'!K92-'Adaptive costs B'!K92</f>
        <v>0</v>
      </c>
      <c r="M92" s="4" t="str">
        <f t="shared" ref="M92:M100" si="7">CURRENCY_NAME</f>
        <v>$million</v>
      </c>
    </row>
    <row r="93" spans="1:13" x14ac:dyDescent="0.25">
      <c r="A93" t="str">
        <v>US Non-econ</v>
      </c>
      <c r="B93" s="94">
        <f>'Adaptive costs A'!B93-'Adaptive costs B'!B93</f>
        <v>0</v>
      </c>
      <c r="C93" s="94">
        <f>'Adaptive costs A'!C93-'Adaptive costs B'!C93</f>
        <v>0</v>
      </c>
      <c r="D93" s="94">
        <f>'Adaptive costs A'!D93-'Adaptive costs B'!D93</f>
        <v>0</v>
      </c>
      <c r="E93" s="94">
        <f>'Adaptive costs A'!E93-'Adaptive costs B'!E93</f>
        <v>0</v>
      </c>
      <c r="F93" s="94">
        <f>'Adaptive costs A'!F93-'Adaptive costs B'!F93</f>
        <v>0</v>
      </c>
      <c r="G93" s="94">
        <f>'Adaptive costs A'!G93-'Adaptive costs B'!G93</f>
        <v>0</v>
      </c>
      <c r="H93" s="94">
        <f>'Adaptive costs A'!H93-'Adaptive costs B'!H93</f>
        <v>0</v>
      </c>
      <c r="I93" s="94">
        <f>'Adaptive costs A'!I93-'Adaptive costs B'!I93</f>
        <v>0</v>
      </c>
      <c r="J93" s="94">
        <f>'Adaptive costs A'!J93-'Adaptive costs B'!J93</f>
        <v>0</v>
      </c>
      <c r="K93" s="94">
        <f>'Adaptive costs A'!K93-'Adaptive costs B'!K93</f>
        <v>0</v>
      </c>
      <c r="M93" s="4" t="str">
        <f t="shared" si="7"/>
        <v>$million</v>
      </c>
    </row>
    <row r="94" spans="1:13" x14ac:dyDescent="0.25">
      <c r="A94" t="str">
        <v>OT Non-econ</v>
      </c>
      <c r="B94" s="94">
        <f>'Adaptive costs A'!B94-'Adaptive costs B'!B94</f>
        <v>0</v>
      </c>
      <c r="C94" s="94">
        <f>'Adaptive costs A'!C94-'Adaptive costs B'!C94</f>
        <v>0</v>
      </c>
      <c r="D94" s="94">
        <f>'Adaptive costs A'!D94-'Adaptive costs B'!D94</f>
        <v>0</v>
      </c>
      <c r="E94" s="94">
        <f>'Adaptive costs A'!E94-'Adaptive costs B'!E94</f>
        <v>0</v>
      </c>
      <c r="F94" s="94">
        <f>'Adaptive costs A'!F94-'Adaptive costs B'!F94</f>
        <v>0</v>
      </c>
      <c r="G94" s="94">
        <f>'Adaptive costs A'!G94-'Adaptive costs B'!G94</f>
        <v>0</v>
      </c>
      <c r="H94" s="94">
        <f>'Adaptive costs A'!H94-'Adaptive costs B'!H94</f>
        <v>0</v>
      </c>
      <c r="I94" s="94">
        <f>'Adaptive costs A'!I94-'Adaptive costs B'!I94</f>
        <v>0</v>
      </c>
      <c r="J94" s="94">
        <f>'Adaptive costs A'!J94-'Adaptive costs B'!J94</f>
        <v>0</v>
      </c>
      <c r="K94" s="94">
        <f>'Adaptive costs A'!K94-'Adaptive costs B'!K94</f>
        <v>0</v>
      </c>
      <c r="M94" s="4" t="str">
        <f t="shared" si="7"/>
        <v>$million</v>
      </c>
    </row>
    <row r="95" spans="1:13" x14ac:dyDescent="0.25">
      <c r="A95" t="str">
        <v>EE Non-econ</v>
      </c>
      <c r="B95" s="94">
        <f>'Adaptive costs A'!B95-'Adaptive costs B'!B95</f>
        <v>0</v>
      </c>
      <c r="C95" s="94">
        <f>'Adaptive costs A'!C95-'Adaptive costs B'!C95</f>
        <v>0</v>
      </c>
      <c r="D95" s="94">
        <f>'Adaptive costs A'!D95-'Adaptive costs B'!D95</f>
        <v>0</v>
      </c>
      <c r="E95" s="94">
        <f>'Adaptive costs A'!E95-'Adaptive costs B'!E95</f>
        <v>0</v>
      </c>
      <c r="F95" s="94">
        <f>'Adaptive costs A'!F95-'Adaptive costs B'!F95</f>
        <v>0</v>
      </c>
      <c r="G95" s="94">
        <f>'Adaptive costs A'!G95-'Adaptive costs B'!G95</f>
        <v>0</v>
      </c>
      <c r="H95" s="94">
        <f>'Adaptive costs A'!H95-'Adaptive costs B'!H95</f>
        <v>0</v>
      </c>
      <c r="I95" s="94">
        <f>'Adaptive costs A'!I95-'Adaptive costs B'!I95</f>
        <v>0</v>
      </c>
      <c r="J95" s="94">
        <f>'Adaptive costs A'!J95-'Adaptive costs B'!J95</f>
        <v>0</v>
      </c>
      <c r="K95" s="94">
        <f>'Adaptive costs A'!K95-'Adaptive costs B'!K95</f>
        <v>0</v>
      </c>
      <c r="M95" s="4" t="str">
        <f t="shared" si="7"/>
        <v>$million</v>
      </c>
    </row>
    <row r="96" spans="1:13" x14ac:dyDescent="0.25">
      <c r="A96" t="str">
        <v>CA Non-econ</v>
      </c>
      <c r="B96" s="94">
        <f>'Adaptive costs A'!B96-'Adaptive costs B'!B96</f>
        <v>0</v>
      </c>
      <c r="C96" s="94">
        <f>'Adaptive costs A'!C96-'Adaptive costs B'!C96</f>
        <v>0</v>
      </c>
      <c r="D96" s="94">
        <f>'Adaptive costs A'!D96-'Adaptive costs B'!D96</f>
        <v>0</v>
      </c>
      <c r="E96" s="94">
        <f>'Adaptive costs A'!E96-'Adaptive costs B'!E96</f>
        <v>0</v>
      </c>
      <c r="F96" s="94">
        <f>'Adaptive costs A'!F96-'Adaptive costs B'!F96</f>
        <v>0</v>
      </c>
      <c r="G96" s="94">
        <f>'Adaptive costs A'!G96-'Adaptive costs B'!G96</f>
        <v>0</v>
      </c>
      <c r="H96" s="94">
        <f>'Adaptive costs A'!H96-'Adaptive costs B'!H96</f>
        <v>0</v>
      </c>
      <c r="I96" s="94">
        <f>'Adaptive costs A'!I96-'Adaptive costs B'!I96</f>
        <v>0</v>
      </c>
      <c r="J96" s="94">
        <f>'Adaptive costs A'!J96-'Adaptive costs B'!J96</f>
        <v>0</v>
      </c>
      <c r="K96" s="94">
        <f>'Adaptive costs A'!K96-'Adaptive costs B'!K96</f>
        <v>0</v>
      </c>
      <c r="M96" s="4" t="str">
        <f t="shared" si="7"/>
        <v>$million</v>
      </c>
    </row>
    <row r="97" spans="1:13" x14ac:dyDescent="0.25">
      <c r="A97" t="str">
        <v>IA Non-econ</v>
      </c>
      <c r="B97" s="94">
        <f>'Adaptive costs A'!B97-'Adaptive costs B'!B97</f>
        <v>0</v>
      </c>
      <c r="C97" s="94">
        <f>'Adaptive costs A'!C97-'Adaptive costs B'!C97</f>
        <v>0</v>
      </c>
      <c r="D97" s="94">
        <f>'Adaptive costs A'!D97-'Adaptive costs B'!D97</f>
        <v>0</v>
      </c>
      <c r="E97" s="94">
        <f>'Adaptive costs A'!E97-'Adaptive costs B'!E97</f>
        <v>0</v>
      </c>
      <c r="F97" s="94">
        <f>'Adaptive costs A'!F97-'Adaptive costs B'!F97</f>
        <v>0</v>
      </c>
      <c r="G97" s="94">
        <f>'Adaptive costs A'!G97-'Adaptive costs B'!G97</f>
        <v>0</v>
      </c>
      <c r="H97" s="94">
        <f>'Adaptive costs A'!H97-'Adaptive costs B'!H97</f>
        <v>0</v>
      </c>
      <c r="I97" s="94">
        <f>'Adaptive costs A'!I97-'Adaptive costs B'!I97</f>
        <v>0</v>
      </c>
      <c r="J97" s="94">
        <f>'Adaptive costs A'!J97-'Adaptive costs B'!J97</f>
        <v>0</v>
      </c>
      <c r="K97" s="94">
        <f>'Adaptive costs A'!K97-'Adaptive costs B'!K97</f>
        <v>0</v>
      </c>
      <c r="M97" s="4" t="str">
        <f t="shared" si="7"/>
        <v>$million</v>
      </c>
    </row>
    <row r="98" spans="1:13" x14ac:dyDescent="0.25">
      <c r="A98" t="str">
        <v>AF Non-econ</v>
      </c>
      <c r="B98" s="94">
        <f>'Adaptive costs A'!B98-'Adaptive costs B'!B98</f>
        <v>0</v>
      </c>
      <c r="C98" s="94">
        <f>'Adaptive costs A'!C98-'Adaptive costs B'!C98</f>
        <v>0</v>
      </c>
      <c r="D98" s="94">
        <f>'Adaptive costs A'!D98-'Adaptive costs B'!D98</f>
        <v>0</v>
      </c>
      <c r="E98" s="94">
        <f>'Adaptive costs A'!E98-'Adaptive costs B'!E98</f>
        <v>0</v>
      </c>
      <c r="F98" s="94">
        <f>'Adaptive costs A'!F98-'Adaptive costs B'!F98</f>
        <v>0</v>
      </c>
      <c r="G98" s="94">
        <f>'Adaptive costs A'!G98-'Adaptive costs B'!G98</f>
        <v>0</v>
      </c>
      <c r="H98" s="94">
        <f>'Adaptive costs A'!H98-'Adaptive costs B'!H98</f>
        <v>0</v>
      </c>
      <c r="I98" s="94">
        <f>'Adaptive costs A'!I98-'Adaptive costs B'!I98</f>
        <v>0</v>
      </c>
      <c r="J98" s="94">
        <f>'Adaptive costs A'!J98-'Adaptive costs B'!J98</f>
        <v>0</v>
      </c>
      <c r="K98" s="94">
        <f>'Adaptive costs A'!K98-'Adaptive costs B'!K98</f>
        <v>0</v>
      </c>
      <c r="M98" s="4" t="str">
        <f t="shared" si="7"/>
        <v>$million</v>
      </c>
    </row>
    <row r="99" spans="1:13" x14ac:dyDescent="0.25">
      <c r="A99" t="str">
        <v>LA Non-econ</v>
      </c>
      <c r="B99" s="94">
        <f>'Adaptive costs A'!B99-'Adaptive costs B'!B99</f>
        <v>0</v>
      </c>
      <c r="C99" s="94">
        <f>'Adaptive costs A'!C99-'Adaptive costs B'!C99</f>
        <v>0</v>
      </c>
      <c r="D99" s="94">
        <f>'Adaptive costs A'!D99-'Adaptive costs B'!D99</f>
        <v>0</v>
      </c>
      <c r="E99" s="94">
        <f>'Adaptive costs A'!E99-'Adaptive costs B'!E99</f>
        <v>0</v>
      </c>
      <c r="F99" s="94">
        <f>'Adaptive costs A'!F99-'Adaptive costs B'!F99</f>
        <v>0</v>
      </c>
      <c r="G99" s="94">
        <f>'Adaptive costs A'!G99-'Adaptive costs B'!G99</f>
        <v>0</v>
      </c>
      <c r="H99" s="94">
        <f>'Adaptive costs A'!H99-'Adaptive costs B'!H99</f>
        <v>0</v>
      </c>
      <c r="I99" s="94">
        <f>'Adaptive costs A'!I99-'Adaptive costs B'!I99</f>
        <v>0</v>
      </c>
      <c r="J99" s="94">
        <f>'Adaptive costs A'!J99-'Adaptive costs B'!J99</f>
        <v>0</v>
      </c>
      <c r="K99" s="94">
        <f>'Adaptive costs A'!K99-'Adaptive costs B'!K99</f>
        <v>0</v>
      </c>
      <c r="M99" s="4" t="str">
        <f t="shared" si="7"/>
        <v>$million</v>
      </c>
    </row>
    <row r="100" spans="1:13" ht="13.5" thickBot="1" x14ac:dyDescent="0.35">
      <c r="A100" s="2" t="str">
        <f>"Global "&amp;I_2_NAME</f>
        <v>Global Non-econ</v>
      </c>
      <c r="B100" s="102">
        <f>'Adaptive costs A'!B100-'Adaptive costs B'!B100</f>
        <v>0</v>
      </c>
      <c r="C100" s="102">
        <f>'Adaptive costs A'!C100-'Adaptive costs B'!C100</f>
        <v>0</v>
      </c>
      <c r="D100" s="102">
        <f>'Adaptive costs A'!D100-'Adaptive costs B'!D100</f>
        <v>0</v>
      </c>
      <c r="E100" s="102">
        <f>'Adaptive costs A'!E100-'Adaptive costs B'!E100</f>
        <v>0</v>
      </c>
      <c r="F100" s="102">
        <f>'Adaptive costs A'!F100-'Adaptive costs B'!F100</f>
        <v>0</v>
      </c>
      <c r="G100" s="102">
        <f>'Adaptive costs A'!G100-'Adaptive costs B'!G100</f>
        <v>0</v>
      </c>
      <c r="H100" s="102">
        <f>'Adaptive costs A'!H100-'Adaptive costs B'!H100</f>
        <v>0</v>
      </c>
      <c r="I100" s="102">
        <f>'Adaptive costs A'!I100-'Adaptive costs B'!I100</f>
        <v>0</v>
      </c>
      <c r="J100" s="102">
        <f>'Adaptive costs A'!J100-'Adaptive costs B'!J100</f>
        <v>0</v>
      </c>
      <c r="K100" s="102">
        <f>'Adaptive costs A'!K100-'Adaptive costs B'!K100</f>
        <v>0</v>
      </c>
      <c r="L100" s="1"/>
      <c r="M100" s="4" t="str">
        <f t="shared" si="7"/>
        <v>$million</v>
      </c>
    </row>
    <row r="101" spans="1:13" ht="15.5" thickTop="1" x14ac:dyDescent="0.4">
      <c r="A101" s="65" t="s">
        <v>145</v>
      </c>
      <c r="B101" s="2" t="s">
        <v>126</v>
      </c>
      <c r="C101" s="58"/>
      <c r="D101" s="58"/>
      <c r="E101" s="58"/>
      <c r="F101" s="58"/>
      <c r="G101" s="58"/>
      <c r="H101" s="58"/>
      <c r="I101" s="58"/>
      <c r="J101" s="58"/>
      <c r="K101" s="58"/>
      <c r="L101" s="1"/>
      <c r="M101" s="1"/>
    </row>
    <row r="102" spans="1:13" x14ac:dyDescent="0.25">
      <c r="A102" t="str">
        <f t="array" ref="A102:A109">R_CODE&amp;" "&amp;I_2_NAME</f>
        <v>EU Non-econ</v>
      </c>
      <c r="B102" s="93">
        <f>'Adaptive costs A'!B102-'Adaptive costs B'!B102</f>
        <v>0</v>
      </c>
      <c r="C102" s="93">
        <f>'Adaptive costs A'!C102-'Adaptive costs B'!C102</f>
        <v>0</v>
      </c>
      <c r="D102" s="93">
        <f>'Adaptive costs A'!D102-'Adaptive costs B'!D102</f>
        <v>0</v>
      </c>
      <c r="E102" s="93">
        <f>'Adaptive costs A'!E102-'Adaptive costs B'!E102</f>
        <v>0</v>
      </c>
      <c r="F102" s="93">
        <f>'Adaptive costs A'!F102-'Adaptive costs B'!F102</f>
        <v>0</v>
      </c>
      <c r="G102" s="93">
        <f>'Adaptive costs A'!G102-'Adaptive costs B'!G102</f>
        <v>0</v>
      </c>
      <c r="H102" s="93">
        <f>'Adaptive costs A'!H102-'Adaptive costs B'!H102</f>
        <v>0</v>
      </c>
      <c r="I102" s="93">
        <f>'Adaptive costs A'!I102-'Adaptive costs B'!I102</f>
        <v>0</v>
      </c>
      <c r="J102" s="93">
        <f>'Adaptive costs A'!J102-'Adaptive costs B'!J102</f>
        <v>0</v>
      </c>
      <c r="K102" s="93">
        <f>'Adaptive costs A'!K102-'Adaptive costs B'!K102</f>
        <v>0</v>
      </c>
      <c r="L102" s="1"/>
      <c r="M102" s="4" t="str">
        <f t="shared" ref="M102:M110" si="8">CURRENCY_NAME</f>
        <v>$million</v>
      </c>
    </row>
    <row r="103" spans="1:13" x14ac:dyDescent="0.25">
      <c r="A103" t="str">
        <v>US Non-econ</v>
      </c>
      <c r="B103" s="94">
        <f>'Adaptive costs A'!B103-'Adaptive costs B'!B103</f>
        <v>0</v>
      </c>
      <c r="C103" s="94">
        <f>'Adaptive costs A'!C103-'Adaptive costs B'!C103</f>
        <v>0</v>
      </c>
      <c r="D103" s="94">
        <f>'Adaptive costs A'!D103-'Adaptive costs B'!D103</f>
        <v>0</v>
      </c>
      <c r="E103" s="94">
        <f>'Adaptive costs A'!E103-'Adaptive costs B'!E103</f>
        <v>0</v>
      </c>
      <c r="F103" s="94">
        <f>'Adaptive costs A'!F103-'Adaptive costs B'!F103</f>
        <v>0</v>
      </c>
      <c r="G103" s="94">
        <f>'Adaptive costs A'!G103-'Adaptive costs B'!G103</f>
        <v>0</v>
      </c>
      <c r="H103" s="94">
        <f>'Adaptive costs A'!H103-'Adaptive costs B'!H103</f>
        <v>0</v>
      </c>
      <c r="I103" s="94">
        <f>'Adaptive costs A'!I103-'Adaptive costs B'!I103</f>
        <v>0</v>
      </c>
      <c r="J103" s="94">
        <f>'Adaptive costs A'!J103-'Adaptive costs B'!J103</f>
        <v>0</v>
      </c>
      <c r="K103" s="94">
        <f>'Adaptive costs A'!K103-'Adaptive costs B'!K103</f>
        <v>0</v>
      </c>
      <c r="L103" s="1"/>
      <c r="M103" s="4" t="str">
        <f t="shared" si="8"/>
        <v>$million</v>
      </c>
    </row>
    <row r="104" spans="1:13" x14ac:dyDescent="0.25">
      <c r="A104" t="str">
        <v>OT Non-econ</v>
      </c>
      <c r="B104" s="94">
        <f>'Adaptive costs A'!B104-'Adaptive costs B'!B104</f>
        <v>0</v>
      </c>
      <c r="C104" s="94">
        <f>'Adaptive costs A'!C104-'Adaptive costs B'!C104</f>
        <v>0</v>
      </c>
      <c r="D104" s="94">
        <f>'Adaptive costs A'!D104-'Adaptive costs B'!D104</f>
        <v>0</v>
      </c>
      <c r="E104" s="94">
        <f>'Adaptive costs A'!E104-'Adaptive costs B'!E104</f>
        <v>0</v>
      </c>
      <c r="F104" s="94">
        <f>'Adaptive costs A'!F104-'Adaptive costs B'!F104</f>
        <v>0</v>
      </c>
      <c r="G104" s="94">
        <f>'Adaptive costs A'!G104-'Adaptive costs B'!G104</f>
        <v>0</v>
      </c>
      <c r="H104" s="94">
        <f>'Adaptive costs A'!H104-'Adaptive costs B'!H104</f>
        <v>0</v>
      </c>
      <c r="I104" s="94">
        <f>'Adaptive costs A'!I104-'Adaptive costs B'!I104</f>
        <v>0</v>
      </c>
      <c r="J104" s="94">
        <f>'Adaptive costs A'!J104-'Adaptive costs B'!J104</f>
        <v>0</v>
      </c>
      <c r="K104" s="94">
        <f>'Adaptive costs A'!K104-'Adaptive costs B'!K104</f>
        <v>0</v>
      </c>
      <c r="L104" s="1"/>
      <c r="M104" s="4" t="str">
        <f t="shared" si="8"/>
        <v>$million</v>
      </c>
    </row>
    <row r="105" spans="1:13" x14ac:dyDescent="0.25">
      <c r="A105" t="str">
        <v>EE Non-econ</v>
      </c>
      <c r="B105" s="94">
        <f>'Adaptive costs A'!B105-'Adaptive costs B'!B105</f>
        <v>0</v>
      </c>
      <c r="C105" s="94">
        <f>'Adaptive costs A'!C105-'Adaptive costs B'!C105</f>
        <v>0</v>
      </c>
      <c r="D105" s="94">
        <f>'Adaptive costs A'!D105-'Adaptive costs B'!D105</f>
        <v>0</v>
      </c>
      <c r="E105" s="94">
        <f>'Adaptive costs A'!E105-'Adaptive costs B'!E105</f>
        <v>0</v>
      </c>
      <c r="F105" s="94">
        <f>'Adaptive costs A'!F105-'Adaptive costs B'!F105</f>
        <v>0</v>
      </c>
      <c r="G105" s="94">
        <f>'Adaptive costs A'!G105-'Adaptive costs B'!G105</f>
        <v>0</v>
      </c>
      <c r="H105" s="94">
        <f>'Adaptive costs A'!H105-'Adaptive costs B'!H105</f>
        <v>0</v>
      </c>
      <c r="I105" s="94">
        <f>'Adaptive costs A'!I105-'Adaptive costs B'!I105</f>
        <v>0</v>
      </c>
      <c r="J105" s="94">
        <f>'Adaptive costs A'!J105-'Adaptive costs B'!J105</f>
        <v>0</v>
      </c>
      <c r="K105" s="94">
        <f>'Adaptive costs A'!K105-'Adaptive costs B'!K105</f>
        <v>0</v>
      </c>
      <c r="L105" s="1"/>
      <c r="M105" s="4" t="str">
        <f t="shared" si="8"/>
        <v>$million</v>
      </c>
    </row>
    <row r="106" spans="1:13" x14ac:dyDescent="0.25">
      <c r="A106" t="str">
        <v>CA Non-econ</v>
      </c>
      <c r="B106" s="94">
        <f>'Adaptive costs A'!B106-'Adaptive costs B'!B106</f>
        <v>0</v>
      </c>
      <c r="C106" s="94">
        <f>'Adaptive costs A'!C106-'Adaptive costs B'!C106</f>
        <v>0</v>
      </c>
      <c r="D106" s="94">
        <f>'Adaptive costs A'!D106-'Adaptive costs B'!D106</f>
        <v>0</v>
      </c>
      <c r="E106" s="94">
        <f>'Adaptive costs A'!E106-'Adaptive costs B'!E106</f>
        <v>0</v>
      </c>
      <c r="F106" s="94">
        <f>'Adaptive costs A'!F106-'Adaptive costs B'!F106</f>
        <v>0</v>
      </c>
      <c r="G106" s="94">
        <f>'Adaptive costs A'!G106-'Adaptive costs B'!G106</f>
        <v>0</v>
      </c>
      <c r="H106" s="94">
        <f>'Adaptive costs A'!H106-'Adaptive costs B'!H106</f>
        <v>0</v>
      </c>
      <c r="I106" s="94">
        <f>'Adaptive costs A'!I106-'Adaptive costs B'!I106</f>
        <v>0</v>
      </c>
      <c r="J106" s="94">
        <f>'Adaptive costs A'!J106-'Adaptive costs B'!J106</f>
        <v>0</v>
      </c>
      <c r="K106" s="94">
        <f>'Adaptive costs A'!K106-'Adaptive costs B'!K106</f>
        <v>0</v>
      </c>
      <c r="L106" s="1"/>
      <c r="M106" s="4" t="str">
        <f t="shared" si="8"/>
        <v>$million</v>
      </c>
    </row>
    <row r="107" spans="1:13" x14ac:dyDescent="0.25">
      <c r="A107" t="str">
        <v>IA Non-econ</v>
      </c>
      <c r="B107" s="94">
        <f>'Adaptive costs A'!B107-'Adaptive costs B'!B107</f>
        <v>0</v>
      </c>
      <c r="C107" s="94">
        <f>'Adaptive costs A'!C107-'Adaptive costs B'!C107</f>
        <v>0</v>
      </c>
      <c r="D107" s="94">
        <f>'Adaptive costs A'!D107-'Adaptive costs B'!D107</f>
        <v>0</v>
      </c>
      <c r="E107" s="94">
        <f>'Adaptive costs A'!E107-'Adaptive costs B'!E107</f>
        <v>0</v>
      </c>
      <c r="F107" s="94">
        <f>'Adaptive costs A'!F107-'Adaptive costs B'!F107</f>
        <v>0</v>
      </c>
      <c r="G107" s="94">
        <f>'Adaptive costs A'!G107-'Adaptive costs B'!G107</f>
        <v>0</v>
      </c>
      <c r="H107" s="94">
        <f>'Adaptive costs A'!H107-'Adaptive costs B'!H107</f>
        <v>0</v>
      </c>
      <c r="I107" s="94">
        <f>'Adaptive costs A'!I107-'Adaptive costs B'!I107</f>
        <v>0</v>
      </c>
      <c r="J107" s="94">
        <f>'Adaptive costs A'!J107-'Adaptive costs B'!J107</f>
        <v>0</v>
      </c>
      <c r="K107" s="94">
        <f>'Adaptive costs A'!K107-'Adaptive costs B'!K107</f>
        <v>0</v>
      </c>
      <c r="L107" s="1"/>
      <c r="M107" s="4" t="str">
        <f t="shared" si="8"/>
        <v>$million</v>
      </c>
    </row>
    <row r="108" spans="1:13" x14ac:dyDescent="0.25">
      <c r="A108" t="str">
        <v>AF Non-econ</v>
      </c>
      <c r="B108" s="94">
        <f>'Adaptive costs A'!B108-'Adaptive costs B'!B108</f>
        <v>0</v>
      </c>
      <c r="C108" s="94">
        <f>'Adaptive costs A'!C108-'Adaptive costs B'!C108</f>
        <v>0</v>
      </c>
      <c r="D108" s="94">
        <f>'Adaptive costs A'!D108-'Adaptive costs B'!D108</f>
        <v>0</v>
      </c>
      <c r="E108" s="94">
        <f>'Adaptive costs A'!E108-'Adaptive costs B'!E108</f>
        <v>0</v>
      </c>
      <c r="F108" s="94">
        <f>'Adaptive costs A'!F108-'Adaptive costs B'!F108</f>
        <v>0</v>
      </c>
      <c r="G108" s="94">
        <f>'Adaptive costs A'!G108-'Adaptive costs B'!G108</f>
        <v>0</v>
      </c>
      <c r="H108" s="94">
        <f>'Adaptive costs A'!H108-'Adaptive costs B'!H108</f>
        <v>0</v>
      </c>
      <c r="I108" s="94">
        <f>'Adaptive costs A'!I108-'Adaptive costs B'!I108</f>
        <v>0</v>
      </c>
      <c r="J108" s="94">
        <f>'Adaptive costs A'!J108-'Adaptive costs B'!J108</f>
        <v>0</v>
      </c>
      <c r="K108" s="94">
        <f>'Adaptive costs A'!K108-'Adaptive costs B'!K108</f>
        <v>0</v>
      </c>
      <c r="L108" s="1"/>
      <c r="M108" s="4" t="str">
        <f t="shared" si="8"/>
        <v>$million</v>
      </c>
    </row>
    <row r="109" spans="1:13" x14ac:dyDescent="0.25">
      <c r="A109" t="str">
        <v>LA Non-econ</v>
      </c>
      <c r="B109" s="94">
        <f>'Adaptive costs A'!B109-'Adaptive costs B'!B109</f>
        <v>0</v>
      </c>
      <c r="C109" s="94">
        <f>'Adaptive costs A'!C109-'Adaptive costs B'!C109</f>
        <v>0</v>
      </c>
      <c r="D109" s="94">
        <f>'Adaptive costs A'!D109-'Adaptive costs B'!D109</f>
        <v>0</v>
      </c>
      <c r="E109" s="94">
        <f>'Adaptive costs A'!E109-'Adaptive costs B'!E109</f>
        <v>0</v>
      </c>
      <c r="F109" s="94">
        <f>'Adaptive costs A'!F109-'Adaptive costs B'!F109</f>
        <v>0</v>
      </c>
      <c r="G109" s="94">
        <f>'Adaptive costs A'!G109-'Adaptive costs B'!G109</f>
        <v>0</v>
      </c>
      <c r="H109" s="94">
        <f>'Adaptive costs A'!H109-'Adaptive costs B'!H109</f>
        <v>0</v>
      </c>
      <c r="I109" s="94">
        <f>'Adaptive costs A'!I109-'Adaptive costs B'!I109</f>
        <v>0</v>
      </c>
      <c r="J109" s="94">
        <f>'Adaptive costs A'!J109-'Adaptive costs B'!J109</f>
        <v>0</v>
      </c>
      <c r="K109" s="94">
        <f>'Adaptive costs A'!K109-'Adaptive costs B'!K109</f>
        <v>0</v>
      </c>
      <c r="L109" s="1"/>
      <c r="M109" s="4" t="str">
        <f t="shared" si="8"/>
        <v>$million</v>
      </c>
    </row>
    <row r="110" spans="1:13" ht="13.5" thickBot="1" x14ac:dyDescent="0.35">
      <c r="A110" s="2" t="str">
        <f>"Global "&amp;I_2_NAME</f>
        <v>Global Non-econ</v>
      </c>
      <c r="B110" s="102">
        <f>'Adaptive costs A'!B110-'Adaptive costs B'!B110</f>
        <v>0</v>
      </c>
      <c r="C110" s="102">
        <f>'Adaptive costs A'!C110-'Adaptive costs B'!C110</f>
        <v>0</v>
      </c>
      <c r="D110" s="102">
        <f>'Adaptive costs A'!D110-'Adaptive costs B'!D110</f>
        <v>0</v>
      </c>
      <c r="E110" s="102">
        <f>'Adaptive costs A'!E110-'Adaptive costs B'!E110</f>
        <v>0</v>
      </c>
      <c r="F110" s="102">
        <f>'Adaptive costs A'!F110-'Adaptive costs B'!F110</f>
        <v>0</v>
      </c>
      <c r="G110" s="102">
        <f>'Adaptive costs A'!G110-'Adaptive costs B'!G110</f>
        <v>0</v>
      </c>
      <c r="H110" s="102">
        <f>'Adaptive costs A'!H110-'Adaptive costs B'!H110</f>
        <v>0</v>
      </c>
      <c r="I110" s="102">
        <f>'Adaptive costs A'!I110-'Adaptive costs B'!I110</f>
        <v>0</v>
      </c>
      <c r="J110" s="102">
        <f>'Adaptive costs A'!J110-'Adaptive costs B'!J110</f>
        <v>0</v>
      </c>
      <c r="K110" s="102">
        <f>'Adaptive costs A'!K110-'Adaptive costs B'!K110</f>
        <v>0</v>
      </c>
      <c r="L110" s="1"/>
      <c r="M110" s="4" t="str">
        <f t="shared" si="8"/>
        <v>$million</v>
      </c>
    </row>
    <row r="111" spans="1:13" ht="15.5" thickTop="1" x14ac:dyDescent="0.4">
      <c r="A111" s="65" t="s">
        <v>140</v>
      </c>
      <c r="B111" s="2" t="s">
        <v>444</v>
      </c>
      <c r="C111" s="58"/>
      <c r="D111" s="58"/>
      <c r="E111" s="58"/>
      <c r="F111" s="58"/>
      <c r="G111" s="58"/>
      <c r="H111" s="58"/>
      <c r="I111" s="58"/>
      <c r="J111" s="58"/>
      <c r="K111" s="58"/>
      <c r="L111" s="1"/>
      <c r="M111" s="1"/>
    </row>
    <row r="112" spans="1:13" x14ac:dyDescent="0.25">
      <c r="A112" t="str">
        <f t="array" ref="A112:A119">R_CODE</f>
        <v>EU</v>
      </c>
      <c r="B112" s="93">
        <f>'Adaptive costs A'!B112-'Adaptive costs B'!B112</f>
        <v>0</v>
      </c>
      <c r="C112" s="93">
        <f>'Adaptive costs A'!C112-'Adaptive costs B'!C112</f>
        <v>0</v>
      </c>
      <c r="D112" s="93">
        <f>'Adaptive costs A'!D112-'Adaptive costs B'!D112</f>
        <v>0</v>
      </c>
      <c r="E112" s="93">
        <f>'Adaptive costs A'!E112-'Adaptive costs B'!E112</f>
        <v>0</v>
      </c>
      <c r="F112" s="93">
        <f>'Adaptive costs A'!F112-'Adaptive costs B'!F112</f>
        <v>0</v>
      </c>
      <c r="G112" s="93">
        <f>'Adaptive costs A'!G112-'Adaptive costs B'!G112</f>
        <v>0</v>
      </c>
      <c r="H112" s="93">
        <f>'Adaptive costs A'!H112-'Adaptive costs B'!H112</f>
        <v>0</v>
      </c>
      <c r="I112" s="93">
        <f>'Adaptive costs A'!I112-'Adaptive costs B'!I112</f>
        <v>0</v>
      </c>
      <c r="J112" s="93">
        <f>'Adaptive costs A'!J112-'Adaptive costs B'!J112</f>
        <v>0</v>
      </c>
      <c r="K112" s="93">
        <f>'Adaptive costs A'!K112-'Adaptive costs B'!K112</f>
        <v>0</v>
      </c>
      <c r="L112" s="1"/>
      <c r="M112" s="4" t="str">
        <f t="shared" ref="M112:M120" si="9">CURRENCY_NAME</f>
        <v>$million</v>
      </c>
    </row>
    <row r="113" spans="1:13" x14ac:dyDescent="0.25">
      <c r="A113" t="str">
        <v>US</v>
      </c>
      <c r="B113" s="94">
        <f>'Adaptive costs A'!B113-'Adaptive costs B'!B113</f>
        <v>0</v>
      </c>
      <c r="C113" s="94">
        <f>'Adaptive costs A'!C113-'Adaptive costs B'!C113</f>
        <v>0</v>
      </c>
      <c r="D113" s="94">
        <f>'Adaptive costs A'!D113-'Adaptive costs B'!D113</f>
        <v>0</v>
      </c>
      <c r="E113" s="94">
        <f>'Adaptive costs A'!E113-'Adaptive costs B'!E113</f>
        <v>0</v>
      </c>
      <c r="F113" s="94">
        <f>'Adaptive costs A'!F113-'Adaptive costs B'!F113</f>
        <v>0</v>
      </c>
      <c r="G113" s="94">
        <f>'Adaptive costs A'!G113-'Adaptive costs B'!G113</f>
        <v>0</v>
      </c>
      <c r="H113" s="94">
        <f>'Adaptive costs A'!H113-'Adaptive costs B'!H113</f>
        <v>0</v>
      </c>
      <c r="I113" s="94">
        <f>'Adaptive costs A'!I113-'Adaptive costs B'!I113</f>
        <v>0</v>
      </c>
      <c r="J113" s="94">
        <f>'Adaptive costs A'!J113-'Adaptive costs B'!J113</f>
        <v>0</v>
      </c>
      <c r="K113" s="94">
        <f>'Adaptive costs A'!K113-'Adaptive costs B'!K113</f>
        <v>0</v>
      </c>
      <c r="L113" s="1"/>
      <c r="M113" s="4" t="str">
        <f t="shared" si="9"/>
        <v>$million</v>
      </c>
    </row>
    <row r="114" spans="1:13" x14ac:dyDescent="0.25">
      <c r="A114" t="str">
        <v>OT</v>
      </c>
      <c r="B114" s="94">
        <f>'Adaptive costs A'!B114-'Adaptive costs B'!B114</f>
        <v>0</v>
      </c>
      <c r="C114" s="94">
        <f>'Adaptive costs A'!C114-'Adaptive costs B'!C114</f>
        <v>0</v>
      </c>
      <c r="D114" s="94">
        <f>'Adaptive costs A'!D114-'Adaptive costs B'!D114</f>
        <v>0</v>
      </c>
      <c r="E114" s="94">
        <f>'Adaptive costs A'!E114-'Adaptive costs B'!E114</f>
        <v>0</v>
      </c>
      <c r="F114" s="94">
        <f>'Adaptive costs A'!F114-'Adaptive costs B'!F114</f>
        <v>0</v>
      </c>
      <c r="G114" s="94">
        <f>'Adaptive costs A'!G114-'Adaptive costs B'!G114</f>
        <v>0</v>
      </c>
      <c r="H114" s="94">
        <f>'Adaptive costs A'!H114-'Adaptive costs B'!H114</f>
        <v>0</v>
      </c>
      <c r="I114" s="94">
        <f>'Adaptive costs A'!I114-'Adaptive costs B'!I114</f>
        <v>0</v>
      </c>
      <c r="J114" s="94">
        <f>'Adaptive costs A'!J114-'Adaptive costs B'!J114</f>
        <v>0</v>
      </c>
      <c r="K114" s="94">
        <f>'Adaptive costs A'!K114-'Adaptive costs B'!K114</f>
        <v>0</v>
      </c>
      <c r="L114" s="1"/>
      <c r="M114" s="4" t="str">
        <f t="shared" si="9"/>
        <v>$million</v>
      </c>
    </row>
    <row r="115" spans="1:13" x14ac:dyDescent="0.25">
      <c r="A115" t="str">
        <v>EE</v>
      </c>
      <c r="B115" s="94">
        <f>'Adaptive costs A'!B115-'Adaptive costs B'!B115</f>
        <v>0</v>
      </c>
      <c r="C115" s="94">
        <f>'Adaptive costs A'!C115-'Adaptive costs B'!C115</f>
        <v>0</v>
      </c>
      <c r="D115" s="94">
        <f>'Adaptive costs A'!D115-'Adaptive costs B'!D115</f>
        <v>0</v>
      </c>
      <c r="E115" s="94">
        <f>'Adaptive costs A'!E115-'Adaptive costs B'!E115</f>
        <v>0</v>
      </c>
      <c r="F115" s="94">
        <f>'Adaptive costs A'!F115-'Adaptive costs B'!F115</f>
        <v>0</v>
      </c>
      <c r="G115" s="94">
        <f>'Adaptive costs A'!G115-'Adaptive costs B'!G115</f>
        <v>0</v>
      </c>
      <c r="H115" s="94">
        <f>'Adaptive costs A'!H115-'Adaptive costs B'!H115</f>
        <v>0</v>
      </c>
      <c r="I115" s="94">
        <f>'Adaptive costs A'!I115-'Adaptive costs B'!I115</f>
        <v>0</v>
      </c>
      <c r="J115" s="94">
        <f>'Adaptive costs A'!J115-'Adaptive costs B'!J115</f>
        <v>0</v>
      </c>
      <c r="K115" s="94">
        <f>'Adaptive costs A'!K115-'Adaptive costs B'!K115</f>
        <v>0</v>
      </c>
      <c r="L115" s="1"/>
      <c r="M115" s="4" t="str">
        <f t="shared" si="9"/>
        <v>$million</v>
      </c>
    </row>
    <row r="116" spans="1:13" x14ac:dyDescent="0.25">
      <c r="A116" t="str">
        <v>CA</v>
      </c>
      <c r="B116" s="94">
        <f>'Adaptive costs A'!B116-'Adaptive costs B'!B116</f>
        <v>0</v>
      </c>
      <c r="C116" s="94">
        <f>'Adaptive costs A'!C116-'Adaptive costs B'!C116</f>
        <v>0</v>
      </c>
      <c r="D116" s="94">
        <f>'Adaptive costs A'!D116-'Adaptive costs B'!D116</f>
        <v>0</v>
      </c>
      <c r="E116" s="94">
        <f>'Adaptive costs A'!E116-'Adaptive costs B'!E116</f>
        <v>0</v>
      </c>
      <c r="F116" s="94">
        <f>'Adaptive costs A'!F116-'Adaptive costs B'!F116</f>
        <v>0</v>
      </c>
      <c r="G116" s="94">
        <f>'Adaptive costs A'!G116-'Adaptive costs B'!G116</f>
        <v>0</v>
      </c>
      <c r="H116" s="94">
        <f>'Adaptive costs A'!H116-'Adaptive costs B'!H116</f>
        <v>0</v>
      </c>
      <c r="I116" s="94">
        <f>'Adaptive costs A'!I116-'Adaptive costs B'!I116</f>
        <v>0</v>
      </c>
      <c r="J116" s="94">
        <f>'Adaptive costs A'!J116-'Adaptive costs B'!J116</f>
        <v>0</v>
      </c>
      <c r="K116" s="94">
        <f>'Adaptive costs A'!K116-'Adaptive costs B'!K116</f>
        <v>0</v>
      </c>
      <c r="L116" s="1"/>
      <c r="M116" s="4" t="str">
        <f t="shared" si="9"/>
        <v>$million</v>
      </c>
    </row>
    <row r="117" spans="1:13" x14ac:dyDescent="0.25">
      <c r="A117" t="str">
        <v>IA</v>
      </c>
      <c r="B117" s="94">
        <f>'Adaptive costs A'!B117-'Adaptive costs B'!B117</f>
        <v>0</v>
      </c>
      <c r="C117" s="94">
        <f>'Adaptive costs A'!C117-'Adaptive costs B'!C117</f>
        <v>0</v>
      </c>
      <c r="D117" s="94">
        <f>'Adaptive costs A'!D117-'Adaptive costs B'!D117</f>
        <v>0</v>
      </c>
      <c r="E117" s="94">
        <f>'Adaptive costs A'!E117-'Adaptive costs B'!E117</f>
        <v>0</v>
      </c>
      <c r="F117" s="94">
        <f>'Adaptive costs A'!F117-'Adaptive costs B'!F117</f>
        <v>0</v>
      </c>
      <c r="G117" s="94">
        <f>'Adaptive costs A'!G117-'Adaptive costs B'!G117</f>
        <v>0</v>
      </c>
      <c r="H117" s="94">
        <f>'Adaptive costs A'!H117-'Adaptive costs B'!H117</f>
        <v>0</v>
      </c>
      <c r="I117" s="94">
        <f>'Adaptive costs A'!I117-'Adaptive costs B'!I117</f>
        <v>0</v>
      </c>
      <c r="J117" s="94">
        <f>'Adaptive costs A'!J117-'Adaptive costs B'!J117</f>
        <v>0</v>
      </c>
      <c r="K117" s="94">
        <f>'Adaptive costs A'!K117-'Adaptive costs B'!K117</f>
        <v>0</v>
      </c>
      <c r="L117" s="1"/>
      <c r="M117" s="4" t="str">
        <f t="shared" si="9"/>
        <v>$million</v>
      </c>
    </row>
    <row r="118" spans="1:13" x14ac:dyDescent="0.25">
      <c r="A118" t="str">
        <v>AF</v>
      </c>
      <c r="B118" s="94">
        <f>'Adaptive costs A'!B118-'Adaptive costs B'!B118</f>
        <v>0</v>
      </c>
      <c r="C118" s="94">
        <f>'Adaptive costs A'!C118-'Adaptive costs B'!C118</f>
        <v>0</v>
      </c>
      <c r="D118" s="94">
        <f>'Adaptive costs A'!D118-'Adaptive costs B'!D118</f>
        <v>0</v>
      </c>
      <c r="E118" s="94">
        <f>'Adaptive costs A'!E118-'Adaptive costs B'!E118</f>
        <v>0</v>
      </c>
      <c r="F118" s="94">
        <f>'Adaptive costs A'!F118-'Adaptive costs B'!F118</f>
        <v>0</v>
      </c>
      <c r="G118" s="94">
        <f>'Adaptive costs A'!G118-'Adaptive costs B'!G118</f>
        <v>0</v>
      </c>
      <c r="H118" s="94">
        <f>'Adaptive costs A'!H118-'Adaptive costs B'!H118</f>
        <v>0</v>
      </c>
      <c r="I118" s="94">
        <f>'Adaptive costs A'!I118-'Adaptive costs B'!I118</f>
        <v>0</v>
      </c>
      <c r="J118" s="94">
        <f>'Adaptive costs A'!J118-'Adaptive costs B'!J118</f>
        <v>0</v>
      </c>
      <c r="K118" s="94">
        <f>'Adaptive costs A'!K118-'Adaptive costs B'!K118</f>
        <v>0</v>
      </c>
      <c r="L118" s="1"/>
      <c r="M118" s="4" t="str">
        <f t="shared" si="9"/>
        <v>$million</v>
      </c>
    </row>
    <row r="119" spans="1:13" x14ac:dyDescent="0.25">
      <c r="A119" t="str">
        <v>LA</v>
      </c>
      <c r="B119" s="94">
        <f>'Adaptive costs A'!B119-'Adaptive costs B'!B119</f>
        <v>0</v>
      </c>
      <c r="C119" s="94">
        <f>'Adaptive costs A'!C119-'Adaptive costs B'!C119</f>
        <v>0</v>
      </c>
      <c r="D119" s="94">
        <f>'Adaptive costs A'!D119-'Adaptive costs B'!D119</f>
        <v>0</v>
      </c>
      <c r="E119" s="94">
        <f>'Adaptive costs A'!E119-'Adaptive costs B'!E119</f>
        <v>0</v>
      </c>
      <c r="F119" s="94">
        <f>'Adaptive costs A'!F119-'Adaptive costs B'!F119</f>
        <v>0</v>
      </c>
      <c r="G119" s="94">
        <f>'Adaptive costs A'!G119-'Adaptive costs B'!G119</f>
        <v>0</v>
      </c>
      <c r="H119" s="94">
        <f>'Adaptive costs A'!H119-'Adaptive costs B'!H119</f>
        <v>0</v>
      </c>
      <c r="I119" s="94">
        <f>'Adaptive costs A'!I119-'Adaptive costs B'!I119</f>
        <v>0</v>
      </c>
      <c r="J119" s="94">
        <f>'Adaptive costs A'!J119-'Adaptive costs B'!J119</f>
        <v>0</v>
      </c>
      <c r="K119" s="94">
        <f>'Adaptive costs A'!K119-'Adaptive costs B'!K119</f>
        <v>0</v>
      </c>
      <c r="L119" s="1"/>
      <c r="M119" s="4" t="str">
        <f t="shared" si="9"/>
        <v>$million</v>
      </c>
    </row>
    <row r="120" spans="1:13" ht="13.5" thickBot="1" x14ac:dyDescent="0.35">
      <c r="A120" s="2" t="s">
        <v>257</v>
      </c>
      <c r="B120" s="102">
        <f>'Adaptive costs A'!B120-'Adaptive costs B'!B120</f>
        <v>0</v>
      </c>
      <c r="C120" s="102">
        <f>'Adaptive costs A'!C120-'Adaptive costs B'!C120</f>
        <v>0</v>
      </c>
      <c r="D120" s="102">
        <f>'Adaptive costs A'!D120-'Adaptive costs B'!D120</f>
        <v>0</v>
      </c>
      <c r="E120" s="102">
        <f>'Adaptive costs A'!E120-'Adaptive costs B'!E120</f>
        <v>0</v>
      </c>
      <c r="F120" s="102">
        <f>'Adaptive costs A'!F120-'Adaptive costs B'!F120</f>
        <v>0</v>
      </c>
      <c r="G120" s="102">
        <f>'Adaptive costs A'!G120-'Adaptive costs B'!G120</f>
        <v>0</v>
      </c>
      <c r="H120" s="102">
        <f>'Adaptive costs A'!H120-'Adaptive costs B'!H120</f>
        <v>0</v>
      </c>
      <c r="I120" s="102">
        <f>'Adaptive costs A'!I120-'Adaptive costs B'!I120</f>
        <v>0</v>
      </c>
      <c r="J120" s="102">
        <f>'Adaptive costs A'!J120-'Adaptive costs B'!J120</f>
        <v>0</v>
      </c>
      <c r="K120" s="102">
        <f>'Adaptive costs A'!K120-'Adaptive costs B'!K120</f>
        <v>0</v>
      </c>
      <c r="L120" s="1"/>
      <c r="M120" s="4" t="str">
        <f t="shared" si="9"/>
        <v>$million</v>
      </c>
    </row>
    <row r="121" spans="1:13" ht="15.5" thickTop="1" x14ac:dyDescent="0.4">
      <c r="A121" s="65" t="s">
        <v>446</v>
      </c>
      <c r="B121" s="2" t="s">
        <v>448</v>
      </c>
      <c r="C121" s="58"/>
      <c r="D121" s="58"/>
      <c r="E121" s="58"/>
      <c r="F121" s="58"/>
      <c r="G121" s="58"/>
      <c r="H121" s="58"/>
      <c r="I121" s="58"/>
      <c r="J121" s="58"/>
      <c r="K121" s="58"/>
      <c r="L121" s="1"/>
      <c r="M121" s="1"/>
    </row>
    <row r="122" spans="1:13" x14ac:dyDescent="0.25">
      <c r="A122" t="str">
        <f t="array" ref="A122:A129">R_CODE</f>
        <v>EU</v>
      </c>
      <c r="B122" s="93">
        <f>'Adaptive costs A'!B122-'Adaptive costs B'!B122</f>
        <v>0</v>
      </c>
      <c r="C122" s="93">
        <f>'Adaptive costs A'!C122-'Adaptive costs B'!C122</f>
        <v>0</v>
      </c>
      <c r="D122" s="93">
        <f>'Adaptive costs A'!D122-'Adaptive costs B'!D122</f>
        <v>0</v>
      </c>
      <c r="E122" s="93">
        <f>'Adaptive costs A'!E122-'Adaptive costs B'!E122</f>
        <v>0</v>
      </c>
      <c r="F122" s="93">
        <f>'Adaptive costs A'!F122-'Adaptive costs B'!F122</f>
        <v>0</v>
      </c>
      <c r="G122" s="93">
        <f>'Adaptive costs A'!G122-'Adaptive costs B'!G122</f>
        <v>0</v>
      </c>
      <c r="H122" s="93">
        <f>'Adaptive costs A'!H122-'Adaptive costs B'!H122</f>
        <v>0</v>
      </c>
      <c r="I122" s="93">
        <f>'Adaptive costs A'!I122-'Adaptive costs B'!I122</f>
        <v>0</v>
      </c>
      <c r="J122" s="93">
        <f>'Adaptive costs A'!J122-'Adaptive costs B'!J122</f>
        <v>0</v>
      </c>
      <c r="K122" s="93">
        <f>'Adaptive costs A'!K122-'Adaptive costs B'!K122</f>
        <v>0</v>
      </c>
      <c r="L122" s="1"/>
      <c r="M122" s="1" t="str">
        <f t="shared" ref="M122:M130" si="10">CURRENCY_NAME&amp;"/"&amp;POP_UNIT_NAME</f>
        <v>$million/million</v>
      </c>
    </row>
    <row r="123" spans="1:13" x14ac:dyDescent="0.25">
      <c r="A123" t="str">
        <v>US</v>
      </c>
      <c r="B123" s="94">
        <f>'Adaptive costs A'!B123-'Adaptive costs B'!B123</f>
        <v>0</v>
      </c>
      <c r="C123" s="94">
        <f>'Adaptive costs A'!C123-'Adaptive costs B'!C123</f>
        <v>0</v>
      </c>
      <c r="D123" s="94">
        <f>'Adaptive costs A'!D123-'Adaptive costs B'!D123</f>
        <v>0</v>
      </c>
      <c r="E123" s="94">
        <f>'Adaptive costs A'!E123-'Adaptive costs B'!E123</f>
        <v>0</v>
      </c>
      <c r="F123" s="94">
        <f>'Adaptive costs A'!F123-'Adaptive costs B'!F123</f>
        <v>0</v>
      </c>
      <c r="G123" s="94">
        <f>'Adaptive costs A'!G123-'Adaptive costs B'!G123</f>
        <v>0</v>
      </c>
      <c r="H123" s="94">
        <f>'Adaptive costs A'!H123-'Adaptive costs B'!H123</f>
        <v>0</v>
      </c>
      <c r="I123" s="94">
        <f>'Adaptive costs A'!I123-'Adaptive costs B'!I123</f>
        <v>0</v>
      </c>
      <c r="J123" s="94">
        <f>'Adaptive costs A'!J123-'Adaptive costs B'!J123</f>
        <v>0</v>
      </c>
      <c r="K123" s="94">
        <f>'Adaptive costs A'!K123-'Adaptive costs B'!K123</f>
        <v>0</v>
      </c>
      <c r="L123" s="1"/>
      <c r="M123" s="1" t="str">
        <f t="shared" si="10"/>
        <v>$million/million</v>
      </c>
    </row>
    <row r="124" spans="1:13" x14ac:dyDescent="0.25">
      <c r="A124" t="str">
        <v>OT</v>
      </c>
      <c r="B124" s="94">
        <f>'Adaptive costs A'!B124-'Adaptive costs B'!B124</f>
        <v>0</v>
      </c>
      <c r="C124" s="94">
        <f>'Adaptive costs A'!C124-'Adaptive costs B'!C124</f>
        <v>0</v>
      </c>
      <c r="D124" s="94">
        <f>'Adaptive costs A'!D124-'Adaptive costs B'!D124</f>
        <v>0</v>
      </c>
      <c r="E124" s="94">
        <f>'Adaptive costs A'!E124-'Adaptive costs B'!E124</f>
        <v>0</v>
      </c>
      <c r="F124" s="94">
        <f>'Adaptive costs A'!F124-'Adaptive costs B'!F124</f>
        <v>0</v>
      </c>
      <c r="G124" s="94">
        <f>'Adaptive costs A'!G124-'Adaptive costs B'!G124</f>
        <v>0</v>
      </c>
      <c r="H124" s="94">
        <f>'Adaptive costs A'!H124-'Adaptive costs B'!H124</f>
        <v>0</v>
      </c>
      <c r="I124" s="94">
        <f>'Adaptive costs A'!I124-'Adaptive costs B'!I124</f>
        <v>0</v>
      </c>
      <c r="J124" s="94">
        <f>'Adaptive costs A'!J124-'Adaptive costs B'!J124</f>
        <v>0</v>
      </c>
      <c r="K124" s="94">
        <f>'Adaptive costs A'!K124-'Adaptive costs B'!K124</f>
        <v>0</v>
      </c>
      <c r="L124" s="1"/>
      <c r="M124" s="1" t="str">
        <f t="shared" si="10"/>
        <v>$million/million</v>
      </c>
    </row>
    <row r="125" spans="1:13" x14ac:dyDescent="0.25">
      <c r="A125" t="str">
        <v>EE</v>
      </c>
      <c r="B125" s="94">
        <f>'Adaptive costs A'!B125-'Adaptive costs B'!B125</f>
        <v>0</v>
      </c>
      <c r="C125" s="94">
        <f>'Adaptive costs A'!C125-'Adaptive costs B'!C125</f>
        <v>0</v>
      </c>
      <c r="D125" s="94">
        <f>'Adaptive costs A'!D125-'Adaptive costs B'!D125</f>
        <v>0</v>
      </c>
      <c r="E125" s="94">
        <f>'Adaptive costs A'!E125-'Adaptive costs B'!E125</f>
        <v>0</v>
      </c>
      <c r="F125" s="94">
        <f>'Adaptive costs A'!F125-'Adaptive costs B'!F125</f>
        <v>0</v>
      </c>
      <c r="G125" s="94">
        <f>'Adaptive costs A'!G125-'Adaptive costs B'!G125</f>
        <v>0</v>
      </c>
      <c r="H125" s="94">
        <f>'Adaptive costs A'!H125-'Adaptive costs B'!H125</f>
        <v>0</v>
      </c>
      <c r="I125" s="94">
        <f>'Adaptive costs A'!I125-'Adaptive costs B'!I125</f>
        <v>0</v>
      </c>
      <c r="J125" s="94">
        <f>'Adaptive costs A'!J125-'Adaptive costs B'!J125</f>
        <v>0</v>
      </c>
      <c r="K125" s="94">
        <f>'Adaptive costs A'!K125-'Adaptive costs B'!K125</f>
        <v>0</v>
      </c>
      <c r="L125" s="1"/>
      <c r="M125" s="1" t="str">
        <f t="shared" si="10"/>
        <v>$million/million</v>
      </c>
    </row>
    <row r="126" spans="1:13" x14ac:dyDescent="0.25">
      <c r="A126" t="str">
        <v>CA</v>
      </c>
      <c r="B126" s="94">
        <f>'Adaptive costs A'!B126-'Adaptive costs B'!B126</f>
        <v>0</v>
      </c>
      <c r="C126" s="94">
        <f>'Adaptive costs A'!C126-'Adaptive costs B'!C126</f>
        <v>0</v>
      </c>
      <c r="D126" s="94">
        <f>'Adaptive costs A'!D126-'Adaptive costs B'!D126</f>
        <v>0</v>
      </c>
      <c r="E126" s="94">
        <f>'Adaptive costs A'!E126-'Adaptive costs B'!E126</f>
        <v>0</v>
      </c>
      <c r="F126" s="94">
        <f>'Adaptive costs A'!F126-'Adaptive costs B'!F126</f>
        <v>0</v>
      </c>
      <c r="G126" s="94">
        <f>'Adaptive costs A'!G126-'Adaptive costs B'!G126</f>
        <v>0</v>
      </c>
      <c r="H126" s="94">
        <f>'Adaptive costs A'!H126-'Adaptive costs B'!H126</f>
        <v>0</v>
      </c>
      <c r="I126" s="94">
        <f>'Adaptive costs A'!I126-'Adaptive costs B'!I126</f>
        <v>0</v>
      </c>
      <c r="J126" s="94">
        <f>'Adaptive costs A'!J126-'Adaptive costs B'!J126</f>
        <v>0</v>
      </c>
      <c r="K126" s="94">
        <f>'Adaptive costs A'!K126-'Adaptive costs B'!K126</f>
        <v>0</v>
      </c>
      <c r="L126" s="1"/>
      <c r="M126" s="1" t="str">
        <f t="shared" si="10"/>
        <v>$million/million</v>
      </c>
    </row>
    <row r="127" spans="1:13" x14ac:dyDescent="0.25">
      <c r="A127" t="str">
        <v>IA</v>
      </c>
      <c r="B127" s="94">
        <f>'Adaptive costs A'!B127-'Adaptive costs B'!B127</f>
        <v>0</v>
      </c>
      <c r="C127" s="94">
        <f>'Adaptive costs A'!C127-'Adaptive costs B'!C127</f>
        <v>0</v>
      </c>
      <c r="D127" s="94">
        <f>'Adaptive costs A'!D127-'Adaptive costs B'!D127</f>
        <v>0</v>
      </c>
      <c r="E127" s="94">
        <f>'Adaptive costs A'!E127-'Adaptive costs B'!E127</f>
        <v>0</v>
      </c>
      <c r="F127" s="94">
        <f>'Adaptive costs A'!F127-'Adaptive costs B'!F127</f>
        <v>0</v>
      </c>
      <c r="G127" s="94">
        <f>'Adaptive costs A'!G127-'Adaptive costs B'!G127</f>
        <v>0</v>
      </c>
      <c r="H127" s="94">
        <f>'Adaptive costs A'!H127-'Adaptive costs B'!H127</f>
        <v>0</v>
      </c>
      <c r="I127" s="94">
        <f>'Adaptive costs A'!I127-'Adaptive costs B'!I127</f>
        <v>0</v>
      </c>
      <c r="J127" s="94">
        <f>'Adaptive costs A'!J127-'Adaptive costs B'!J127</f>
        <v>0</v>
      </c>
      <c r="K127" s="94">
        <f>'Adaptive costs A'!K127-'Adaptive costs B'!K127</f>
        <v>0</v>
      </c>
      <c r="L127" s="1"/>
      <c r="M127" s="1" t="str">
        <f t="shared" si="10"/>
        <v>$million/million</v>
      </c>
    </row>
    <row r="128" spans="1:13" x14ac:dyDescent="0.25">
      <c r="A128" t="str">
        <v>AF</v>
      </c>
      <c r="B128" s="94">
        <f>'Adaptive costs A'!B128-'Adaptive costs B'!B128</f>
        <v>0</v>
      </c>
      <c r="C128" s="94">
        <f>'Adaptive costs A'!C128-'Adaptive costs B'!C128</f>
        <v>0</v>
      </c>
      <c r="D128" s="94">
        <f>'Adaptive costs A'!D128-'Adaptive costs B'!D128</f>
        <v>0</v>
      </c>
      <c r="E128" s="94">
        <f>'Adaptive costs A'!E128-'Adaptive costs B'!E128</f>
        <v>0</v>
      </c>
      <c r="F128" s="94">
        <f>'Adaptive costs A'!F128-'Adaptive costs B'!F128</f>
        <v>0</v>
      </c>
      <c r="G128" s="94">
        <f>'Adaptive costs A'!G128-'Adaptive costs B'!G128</f>
        <v>0</v>
      </c>
      <c r="H128" s="94">
        <f>'Adaptive costs A'!H128-'Adaptive costs B'!H128</f>
        <v>0</v>
      </c>
      <c r="I128" s="94">
        <f>'Adaptive costs A'!I128-'Adaptive costs B'!I128</f>
        <v>0</v>
      </c>
      <c r="J128" s="94">
        <f>'Adaptive costs A'!J128-'Adaptive costs B'!J128</f>
        <v>0</v>
      </c>
      <c r="K128" s="94">
        <f>'Adaptive costs A'!K128-'Adaptive costs B'!K128</f>
        <v>0</v>
      </c>
      <c r="L128" s="1"/>
      <c r="M128" s="1" t="str">
        <f t="shared" si="10"/>
        <v>$million/million</v>
      </c>
    </row>
    <row r="129" spans="1:14" x14ac:dyDescent="0.25">
      <c r="A129" t="str">
        <v>LA</v>
      </c>
      <c r="B129" s="94">
        <f>'Adaptive costs A'!B129-'Adaptive costs B'!B129</f>
        <v>0</v>
      </c>
      <c r="C129" s="94">
        <f>'Adaptive costs A'!C129-'Adaptive costs B'!C129</f>
        <v>0</v>
      </c>
      <c r="D129" s="94">
        <f>'Adaptive costs A'!D129-'Adaptive costs B'!D129</f>
        <v>0</v>
      </c>
      <c r="E129" s="94">
        <f>'Adaptive costs A'!E129-'Adaptive costs B'!E129</f>
        <v>0</v>
      </c>
      <c r="F129" s="94">
        <f>'Adaptive costs A'!F129-'Adaptive costs B'!F129</f>
        <v>0</v>
      </c>
      <c r="G129" s="94">
        <f>'Adaptive costs A'!G129-'Adaptive costs B'!G129</f>
        <v>0</v>
      </c>
      <c r="H129" s="94">
        <f>'Adaptive costs A'!H129-'Adaptive costs B'!H129</f>
        <v>0</v>
      </c>
      <c r="I129" s="94">
        <f>'Adaptive costs A'!I129-'Adaptive costs B'!I129</f>
        <v>0</v>
      </c>
      <c r="J129" s="94">
        <f>'Adaptive costs A'!J129-'Adaptive costs B'!J129</f>
        <v>0</v>
      </c>
      <c r="K129" s="94">
        <f>'Adaptive costs A'!K129-'Adaptive costs B'!K129</f>
        <v>0</v>
      </c>
      <c r="L129" s="1"/>
      <c r="M129" s="1" t="str">
        <f t="shared" si="10"/>
        <v>$million/million</v>
      </c>
    </row>
    <row r="130" spans="1:14" ht="13.5" thickBot="1" x14ac:dyDescent="0.35">
      <c r="A130" s="2" t="s">
        <v>447</v>
      </c>
      <c r="B130" s="102">
        <f>'Adaptive costs A'!B130-'Adaptive costs B'!B130</f>
        <v>0</v>
      </c>
      <c r="C130" s="102">
        <f>'Adaptive costs A'!C130-'Adaptive costs B'!C130</f>
        <v>0</v>
      </c>
      <c r="D130" s="102">
        <f>'Adaptive costs A'!D130-'Adaptive costs B'!D130</f>
        <v>0</v>
      </c>
      <c r="E130" s="102">
        <f>'Adaptive costs A'!E130-'Adaptive costs B'!E130</f>
        <v>0</v>
      </c>
      <c r="F130" s="102">
        <f>'Adaptive costs A'!F130-'Adaptive costs B'!F130</f>
        <v>0</v>
      </c>
      <c r="G130" s="102">
        <f>'Adaptive costs A'!G130-'Adaptive costs B'!G130</f>
        <v>0</v>
      </c>
      <c r="H130" s="102">
        <f>'Adaptive costs A'!H130-'Adaptive costs B'!H130</f>
        <v>0</v>
      </c>
      <c r="I130" s="102">
        <f>'Adaptive costs A'!I130-'Adaptive costs B'!I130</f>
        <v>0</v>
      </c>
      <c r="J130" s="102">
        <f>'Adaptive costs A'!J130-'Adaptive costs B'!J130</f>
        <v>0</v>
      </c>
      <c r="K130" s="102">
        <f>'Adaptive costs A'!K130-'Adaptive costs B'!K130</f>
        <v>0</v>
      </c>
      <c r="L130" s="1"/>
      <c r="M130" s="1" t="str">
        <f t="shared" si="10"/>
        <v>$million/million</v>
      </c>
      <c r="N130" s="92"/>
    </row>
    <row r="131" spans="1:14" ht="15.5" thickTop="1" x14ac:dyDescent="0.4">
      <c r="A131" s="65" t="s">
        <v>457</v>
      </c>
      <c r="B131" s="2" t="s">
        <v>458</v>
      </c>
      <c r="C131" s="58"/>
      <c r="D131" s="58"/>
      <c r="E131" s="58"/>
      <c r="F131" s="58"/>
      <c r="G131" s="58"/>
      <c r="H131" s="58"/>
      <c r="I131" s="58"/>
      <c r="J131" s="58"/>
      <c r="K131" s="58"/>
      <c r="L131" s="1"/>
      <c r="M131" s="1"/>
    </row>
    <row r="132" spans="1:14" x14ac:dyDescent="0.25">
      <c r="A132" t="str">
        <f t="array" ref="A132:A139">R_CODE</f>
        <v>EU</v>
      </c>
      <c r="B132" s="39">
        <f>'Adaptive costs A'!B132-'Adaptive costs B'!B132</f>
        <v>0</v>
      </c>
      <c r="C132" s="39">
        <f>'Adaptive costs A'!C132-'Adaptive costs B'!C132</f>
        <v>0</v>
      </c>
      <c r="D132" s="39">
        <f>'Adaptive costs A'!D132-'Adaptive costs B'!D132</f>
        <v>0</v>
      </c>
      <c r="E132" s="39">
        <f>'Adaptive costs A'!E132-'Adaptive costs B'!E132</f>
        <v>0</v>
      </c>
      <c r="F132" s="39">
        <f>'Adaptive costs A'!F132-'Adaptive costs B'!F132</f>
        <v>0</v>
      </c>
      <c r="G132" s="39">
        <f>'Adaptive costs A'!G132-'Adaptive costs B'!G132</f>
        <v>0</v>
      </c>
      <c r="H132" s="39">
        <f>'Adaptive costs A'!H132-'Adaptive costs B'!H132</f>
        <v>0</v>
      </c>
      <c r="I132" s="39">
        <f>'Adaptive costs A'!I132-'Adaptive costs B'!I132</f>
        <v>0</v>
      </c>
      <c r="J132" s="39">
        <f>'Adaptive costs A'!J132-'Adaptive costs B'!J132</f>
        <v>0</v>
      </c>
      <c r="K132" s="39">
        <f>'Adaptive costs A'!K132-'Adaptive costs B'!K132</f>
        <v>0</v>
      </c>
      <c r="L132" s="1"/>
      <c r="M132" s="1" t="str">
        <f t="shared" ref="M132:M139" si="11">CURRENCY_NAME&amp;"/"&amp;POP_UNIT_NAME</f>
        <v>$million/million</v>
      </c>
    </row>
    <row r="133" spans="1:14" x14ac:dyDescent="0.25">
      <c r="A133" t="str">
        <v>US</v>
      </c>
      <c r="B133" s="35">
        <f>'Adaptive costs A'!B133-'Adaptive costs B'!B133</f>
        <v>0</v>
      </c>
      <c r="C133" s="35">
        <f>'Adaptive costs A'!C133-'Adaptive costs B'!C133</f>
        <v>0</v>
      </c>
      <c r="D133" s="35">
        <f>'Adaptive costs A'!D133-'Adaptive costs B'!D133</f>
        <v>0</v>
      </c>
      <c r="E133" s="35">
        <f>'Adaptive costs A'!E133-'Adaptive costs B'!E133</f>
        <v>0</v>
      </c>
      <c r="F133" s="35">
        <f>'Adaptive costs A'!F133-'Adaptive costs B'!F133</f>
        <v>0</v>
      </c>
      <c r="G133" s="35">
        <f>'Adaptive costs A'!G133-'Adaptive costs B'!G133</f>
        <v>0</v>
      </c>
      <c r="H133" s="35">
        <f>'Adaptive costs A'!H133-'Adaptive costs B'!H133</f>
        <v>0</v>
      </c>
      <c r="I133" s="35">
        <f>'Adaptive costs A'!I133-'Adaptive costs B'!I133</f>
        <v>0</v>
      </c>
      <c r="J133" s="35">
        <f>'Adaptive costs A'!J133-'Adaptive costs B'!J133</f>
        <v>0</v>
      </c>
      <c r="K133" s="35">
        <f>'Adaptive costs A'!K133-'Adaptive costs B'!K133</f>
        <v>0</v>
      </c>
      <c r="L133" s="1"/>
      <c r="M133" s="1" t="str">
        <f t="shared" si="11"/>
        <v>$million/million</v>
      </c>
    </row>
    <row r="134" spans="1:14" x14ac:dyDescent="0.25">
      <c r="A134" t="str">
        <v>OT</v>
      </c>
      <c r="B134" s="35">
        <f>'Adaptive costs A'!B134-'Adaptive costs B'!B134</f>
        <v>0</v>
      </c>
      <c r="C134" s="35">
        <f>'Adaptive costs A'!C134-'Adaptive costs B'!C134</f>
        <v>0</v>
      </c>
      <c r="D134" s="35">
        <f>'Adaptive costs A'!D134-'Adaptive costs B'!D134</f>
        <v>0</v>
      </c>
      <c r="E134" s="35">
        <f>'Adaptive costs A'!E134-'Adaptive costs B'!E134</f>
        <v>0</v>
      </c>
      <c r="F134" s="35">
        <f>'Adaptive costs A'!F134-'Adaptive costs B'!F134</f>
        <v>0</v>
      </c>
      <c r="G134" s="35">
        <f>'Adaptive costs A'!G134-'Adaptive costs B'!G134</f>
        <v>0</v>
      </c>
      <c r="H134" s="35">
        <f>'Adaptive costs A'!H134-'Adaptive costs B'!H134</f>
        <v>0</v>
      </c>
      <c r="I134" s="35">
        <f>'Adaptive costs A'!I134-'Adaptive costs B'!I134</f>
        <v>0</v>
      </c>
      <c r="J134" s="35">
        <f>'Adaptive costs A'!J134-'Adaptive costs B'!J134</f>
        <v>0</v>
      </c>
      <c r="K134" s="35">
        <f>'Adaptive costs A'!K134-'Adaptive costs B'!K134</f>
        <v>0</v>
      </c>
      <c r="L134" s="1"/>
      <c r="M134" s="1" t="str">
        <f t="shared" si="11"/>
        <v>$million/million</v>
      </c>
    </row>
    <row r="135" spans="1:14" x14ac:dyDescent="0.25">
      <c r="A135" t="str">
        <v>EE</v>
      </c>
      <c r="B135" s="35">
        <f>'Adaptive costs A'!B135-'Adaptive costs B'!B135</f>
        <v>0</v>
      </c>
      <c r="C135" s="35">
        <f>'Adaptive costs A'!C135-'Adaptive costs B'!C135</f>
        <v>0</v>
      </c>
      <c r="D135" s="35">
        <f>'Adaptive costs A'!D135-'Adaptive costs B'!D135</f>
        <v>0</v>
      </c>
      <c r="E135" s="35">
        <f>'Adaptive costs A'!E135-'Adaptive costs B'!E135</f>
        <v>0</v>
      </c>
      <c r="F135" s="35">
        <f>'Adaptive costs A'!F135-'Adaptive costs B'!F135</f>
        <v>0</v>
      </c>
      <c r="G135" s="35">
        <f>'Adaptive costs A'!G135-'Adaptive costs B'!G135</f>
        <v>0</v>
      </c>
      <c r="H135" s="35">
        <f>'Adaptive costs A'!H135-'Adaptive costs B'!H135</f>
        <v>0</v>
      </c>
      <c r="I135" s="35">
        <f>'Adaptive costs A'!I135-'Adaptive costs B'!I135</f>
        <v>0</v>
      </c>
      <c r="J135" s="35">
        <f>'Adaptive costs A'!J135-'Adaptive costs B'!J135</f>
        <v>0</v>
      </c>
      <c r="K135" s="35">
        <f>'Adaptive costs A'!K135-'Adaptive costs B'!K135</f>
        <v>0</v>
      </c>
      <c r="L135" s="1"/>
      <c r="M135" s="1" t="str">
        <f t="shared" si="11"/>
        <v>$million/million</v>
      </c>
    </row>
    <row r="136" spans="1:14" x14ac:dyDescent="0.25">
      <c r="A136" t="str">
        <v>CA</v>
      </c>
      <c r="B136" s="35">
        <f>'Adaptive costs A'!B136-'Adaptive costs B'!B136</f>
        <v>0</v>
      </c>
      <c r="C136" s="35">
        <f>'Adaptive costs A'!C136-'Adaptive costs B'!C136</f>
        <v>0</v>
      </c>
      <c r="D136" s="35">
        <f>'Adaptive costs A'!D136-'Adaptive costs B'!D136</f>
        <v>0</v>
      </c>
      <c r="E136" s="35">
        <f>'Adaptive costs A'!E136-'Adaptive costs B'!E136</f>
        <v>0</v>
      </c>
      <c r="F136" s="35">
        <f>'Adaptive costs A'!F136-'Adaptive costs B'!F136</f>
        <v>0</v>
      </c>
      <c r="G136" s="35">
        <f>'Adaptive costs A'!G136-'Adaptive costs B'!G136</f>
        <v>0</v>
      </c>
      <c r="H136" s="35">
        <f>'Adaptive costs A'!H136-'Adaptive costs B'!H136</f>
        <v>0</v>
      </c>
      <c r="I136" s="35">
        <f>'Adaptive costs A'!I136-'Adaptive costs B'!I136</f>
        <v>0</v>
      </c>
      <c r="J136" s="35">
        <f>'Adaptive costs A'!J136-'Adaptive costs B'!J136</f>
        <v>0</v>
      </c>
      <c r="K136" s="35">
        <f>'Adaptive costs A'!K136-'Adaptive costs B'!K136</f>
        <v>0</v>
      </c>
      <c r="L136" s="1"/>
      <c r="M136" s="1" t="str">
        <f t="shared" si="11"/>
        <v>$million/million</v>
      </c>
    </row>
    <row r="137" spans="1:14" x14ac:dyDescent="0.25">
      <c r="A137" t="str">
        <v>IA</v>
      </c>
      <c r="B137" s="35">
        <f>'Adaptive costs A'!B137-'Adaptive costs B'!B137</f>
        <v>0</v>
      </c>
      <c r="C137" s="35">
        <f>'Adaptive costs A'!C137-'Adaptive costs B'!C137</f>
        <v>0</v>
      </c>
      <c r="D137" s="35">
        <f>'Adaptive costs A'!D137-'Adaptive costs B'!D137</f>
        <v>0</v>
      </c>
      <c r="E137" s="35">
        <f>'Adaptive costs A'!E137-'Adaptive costs B'!E137</f>
        <v>0</v>
      </c>
      <c r="F137" s="35">
        <f>'Adaptive costs A'!F137-'Adaptive costs B'!F137</f>
        <v>0</v>
      </c>
      <c r="G137" s="35">
        <f>'Adaptive costs A'!G137-'Adaptive costs B'!G137</f>
        <v>0</v>
      </c>
      <c r="H137" s="35">
        <f>'Adaptive costs A'!H137-'Adaptive costs B'!H137</f>
        <v>0</v>
      </c>
      <c r="I137" s="35">
        <f>'Adaptive costs A'!I137-'Adaptive costs B'!I137</f>
        <v>0</v>
      </c>
      <c r="J137" s="35">
        <f>'Adaptive costs A'!J137-'Adaptive costs B'!J137</f>
        <v>0</v>
      </c>
      <c r="K137" s="35">
        <f>'Adaptive costs A'!K137-'Adaptive costs B'!K137</f>
        <v>0</v>
      </c>
      <c r="L137" s="1"/>
      <c r="M137" s="1" t="str">
        <f t="shared" si="11"/>
        <v>$million/million</v>
      </c>
    </row>
    <row r="138" spans="1:14" x14ac:dyDescent="0.25">
      <c r="A138" t="str">
        <v>AF</v>
      </c>
      <c r="B138" s="35">
        <f>'Adaptive costs A'!B138-'Adaptive costs B'!B138</f>
        <v>0</v>
      </c>
      <c r="C138" s="35">
        <f>'Adaptive costs A'!C138-'Adaptive costs B'!C138</f>
        <v>0</v>
      </c>
      <c r="D138" s="35">
        <f>'Adaptive costs A'!D138-'Adaptive costs B'!D138</f>
        <v>0</v>
      </c>
      <c r="E138" s="35">
        <f>'Adaptive costs A'!E138-'Adaptive costs B'!E138</f>
        <v>0</v>
      </c>
      <c r="F138" s="35">
        <f>'Adaptive costs A'!F138-'Adaptive costs B'!F138</f>
        <v>0</v>
      </c>
      <c r="G138" s="35">
        <f>'Adaptive costs A'!G138-'Adaptive costs B'!G138</f>
        <v>0</v>
      </c>
      <c r="H138" s="35">
        <f>'Adaptive costs A'!H138-'Adaptive costs B'!H138</f>
        <v>0</v>
      </c>
      <c r="I138" s="35">
        <f>'Adaptive costs A'!I138-'Adaptive costs B'!I138</f>
        <v>0</v>
      </c>
      <c r="J138" s="35">
        <f>'Adaptive costs A'!J138-'Adaptive costs B'!J138</f>
        <v>0</v>
      </c>
      <c r="K138" s="35">
        <f>'Adaptive costs A'!K138-'Adaptive costs B'!K138</f>
        <v>0</v>
      </c>
      <c r="L138" s="1"/>
      <c r="M138" s="1" t="str">
        <f t="shared" si="11"/>
        <v>$million/million</v>
      </c>
    </row>
    <row r="139" spans="1:14" x14ac:dyDescent="0.25">
      <c r="A139" t="str">
        <v>LA</v>
      </c>
      <c r="B139" s="35">
        <f>'Adaptive costs A'!B139-'Adaptive costs B'!B139</f>
        <v>0</v>
      </c>
      <c r="C139" s="35">
        <f>'Adaptive costs A'!C139-'Adaptive costs B'!C139</f>
        <v>0</v>
      </c>
      <c r="D139" s="35">
        <f>'Adaptive costs A'!D139-'Adaptive costs B'!D139</f>
        <v>0</v>
      </c>
      <c r="E139" s="35">
        <f>'Adaptive costs A'!E139-'Adaptive costs B'!E139</f>
        <v>0</v>
      </c>
      <c r="F139" s="35">
        <f>'Adaptive costs A'!F139-'Adaptive costs B'!F139</f>
        <v>0</v>
      </c>
      <c r="G139" s="35">
        <f>'Adaptive costs A'!G139-'Adaptive costs B'!G139</f>
        <v>0</v>
      </c>
      <c r="H139" s="35">
        <f>'Adaptive costs A'!H139-'Adaptive costs B'!H139</f>
        <v>0</v>
      </c>
      <c r="I139" s="35">
        <f>'Adaptive costs A'!I139-'Adaptive costs B'!I139</f>
        <v>0</v>
      </c>
      <c r="J139" s="35">
        <f>'Adaptive costs A'!J139-'Adaptive costs B'!J139</f>
        <v>0</v>
      </c>
      <c r="K139" s="35">
        <f>'Adaptive costs A'!K139-'Adaptive costs B'!K139</f>
        <v>0</v>
      </c>
      <c r="L139" s="1"/>
      <c r="M139" s="1" t="str">
        <f t="shared" si="11"/>
        <v>$million/million</v>
      </c>
    </row>
    <row r="140" spans="1:14" ht="15" x14ac:dyDescent="0.4">
      <c r="A140" s="65" t="s">
        <v>449</v>
      </c>
      <c r="B140" s="2" t="s">
        <v>450</v>
      </c>
      <c r="C140" s="58"/>
      <c r="D140" s="58"/>
      <c r="E140" s="58"/>
      <c r="F140" s="58"/>
      <c r="G140" s="58"/>
      <c r="H140" s="58"/>
      <c r="I140" s="58"/>
      <c r="J140" s="58"/>
      <c r="K140" s="58"/>
      <c r="L140" s="1"/>
      <c r="M140" s="1"/>
    </row>
    <row r="141" spans="1:14" x14ac:dyDescent="0.25">
      <c r="A141" t="str">
        <f t="array" ref="A141:A148">R_CODE</f>
        <v>EU</v>
      </c>
      <c r="B141" s="39">
        <f>'Adaptive costs A'!B141-'Adaptive costs B'!B141</f>
        <v>0</v>
      </c>
      <c r="C141" s="39">
        <f>'Adaptive costs A'!C141-'Adaptive costs B'!C141</f>
        <v>0</v>
      </c>
      <c r="D141" s="39">
        <f>'Adaptive costs A'!D141-'Adaptive costs B'!D141</f>
        <v>0</v>
      </c>
      <c r="E141" s="39">
        <f>'Adaptive costs A'!E141-'Adaptive costs B'!E141</f>
        <v>0</v>
      </c>
      <c r="F141" s="39">
        <f>'Adaptive costs A'!F141-'Adaptive costs B'!F141</f>
        <v>0</v>
      </c>
      <c r="G141" s="39">
        <f>'Adaptive costs A'!G141-'Adaptive costs B'!G141</f>
        <v>0</v>
      </c>
      <c r="H141" s="39">
        <f>'Adaptive costs A'!H141-'Adaptive costs B'!H141</f>
        <v>0</v>
      </c>
      <c r="I141" s="39">
        <f>'Adaptive costs A'!I141-'Adaptive costs B'!I141</f>
        <v>0</v>
      </c>
      <c r="J141" s="39">
        <f>'Adaptive costs A'!J141-'Adaptive costs B'!J141</f>
        <v>0</v>
      </c>
      <c r="K141" s="39">
        <f>'Adaptive costs A'!K141-'Adaptive costs B'!K141</f>
        <v>0</v>
      </c>
      <c r="L141" s="1"/>
      <c r="M141" s="1" t="str">
        <f t="shared" ref="M141:M148" si="12">CURRENCY_NAME&amp;"/"&amp;POP_UNIT_NAME</f>
        <v>$million/million</v>
      </c>
    </row>
    <row r="142" spans="1:14" x14ac:dyDescent="0.25">
      <c r="A142" t="str">
        <v>US</v>
      </c>
      <c r="B142" s="35">
        <f>'Adaptive costs A'!B142-'Adaptive costs B'!B142</f>
        <v>0</v>
      </c>
      <c r="C142" s="35">
        <f>'Adaptive costs A'!C142-'Adaptive costs B'!C142</f>
        <v>0</v>
      </c>
      <c r="D142" s="35">
        <f>'Adaptive costs A'!D142-'Adaptive costs B'!D142</f>
        <v>0</v>
      </c>
      <c r="E142" s="35">
        <f>'Adaptive costs A'!E142-'Adaptive costs B'!E142</f>
        <v>0</v>
      </c>
      <c r="F142" s="35">
        <f>'Adaptive costs A'!F142-'Adaptive costs B'!F142</f>
        <v>0</v>
      </c>
      <c r="G142" s="35">
        <f>'Adaptive costs A'!G142-'Adaptive costs B'!G142</f>
        <v>0</v>
      </c>
      <c r="H142" s="35">
        <f>'Adaptive costs A'!H142-'Adaptive costs B'!H142</f>
        <v>0</v>
      </c>
      <c r="I142" s="35">
        <f>'Adaptive costs A'!I142-'Adaptive costs B'!I142</f>
        <v>0</v>
      </c>
      <c r="J142" s="35">
        <f>'Adaptive costs A'!J142-'Adaptive costs B'!J142</f>
        <v>0</v>
      </c>
      <c r="K142" s="35">
        <f>'Adaptive costs A'!K142-'Adaptive costs B'!K142</f>
        <v>0</v>
      </c>
      <c r="L142" s="1"/>
      <c r="M142" s="1" t="str">
        <f t="shared" si="12"/>
        <v>$million/million</v>
      </c>
    </row>
    <row r="143" spans="1:14" x14ac:dyDescent="0.25">
      <c r="A143" t="str">
        <v>OT</v>
      </c>
      <c r="B143" s="35">
        <f>'Adaptive costs A'!B143-'Adaptive costs B'!B143</f>
        <v>0</v>
      </c>
      <c r="C143" s="35">
        <f>'Adaptive costs A'!C143-'Adaptive costs B'!C143</f>
        <v>0</v>
      </c>
      <c r="D143" s="35">
        <f>'Adaptive costs A'!D143-'Adaptive costs B'!D143</f>
        <v>0</v>
      </c>
      <c r="E143" s="35">
        <f>'Adaptive costs A'!E143-'Adaptive costs B'!E143</f>
        <v>0</v>
      </c>
      <c r="F143" s="35">
        <f>'Adaptive costs A'!F143-'Adaptive costs B'!F143</f>
        <v>0</v>
      </c>
      <c r="G143" s="35">
        <f>'Adaptive costs A'!G143-'Adaptive costs B'!G143</f>
        <v>0</v>
      </c>
      <c r="H143" s="35">
        <f>'Adaptive costs A'!H143-'Adaptive costs B'!H143</f>
        <v>0</v>
      </c>
      <c r="I143" s="35">
        <f>'Adaptive costs A'!I143-'Adaptive costs B'!I143</f>
        <v>0</v>
      </c>
      <c r="J143" s="35">
        <f>'Adaptive costs A'!J143-'Adaptive costs B'!J143</f>
        <v>0</v>
      </c>
      <c r="K143" s="35">
        <f>'Adaptive costs A'!K143-'Adaptive costs B'!K143</f>
        <v>0</v>
      </c>
      <c r="L143" s="1"/>
      <c r="M143" s="1" t="str">
        <f t="shared" si="12"/>
        <v>$million/million</v>
      </c>
    </row>
    <row r="144" spans="1:14" x14ac:dyDescent="0.25">
      <c r="A144" t="str">
        <v>EE</v>
      </c>
      <c r="B144" s="35">
        <f>'Adaptive costs A'!B144-'Adaptive costs B'!B144</f>
        <v>0</v>
      </c>
      <c r="C144" s="35">
        <f>'Adaptive costs A'!C144-'Adaptive costs B'!C144</f>
        <v>0</v>
      </c>
      <c r="D144" s="35">
        <f>'Adaptive costs A'!D144-'Adaptive costs B'!D144</f>
        <v>0</v>
      </c>
      <c r="E144" s="35">
        <f>'Adaptive costs A'!E144-'Adaptive costs B'!E144</f>
        <v>0</v>
      </c>
      <c r="F144" s="35">
        <f>'Adaptive costs A'!F144-'Adaptive costs B'!F144</f>
        <v>0</v>
      </c>
      <c r="G144" s="35">
        <f>'Adaptive costs A'!G144-'Adaptive costs B'!G144</f>
        <v>0</v>
      </c>
      <c r="H144" s="35">
        <f>'Adaptive costs A'!H144-'Adaptive costs B'!H144</f>
        <v>0</v>
      </c>
      <c r="I144" s="35">
        <f>'Adaptive costs A'!I144-'Adaptive costs B'!I144</f>
        <v>0</v>
      </c>
      <c r="J144" s="35">
        <f>'Adaptive costs A'!J144-'Adaptive costs B'!J144</f>
        <v>0</v>
      </c>
      <c r="K144" s="35">
        <f>'Adaptive costs A'!K144-'Adaptive costs B'!K144</f>
        <v>0</v>
      </c>
      <c r="L144" s="1"/>
      <c r="M144" s="1" t="str">
        <f t="shared" si="12"/>
        <v>$million/million</v>
      </c>
    </row>
    <row r="145" spans="1:13" x14ac:dyDescent="0.25">
      <c r="A145" t="str">
        <v>CA</v>
      </c>
      <c r="B145" s="35">
        <f>'Adaptive costs A'!B145-'Adaptive costs B'!B145</f>
        <v>0</v>
      </c>
      <c r="C145" s="35">
        <f>'Adaptive costs A'!C145-'Adaptive costs B'!C145</f>
        <v>0</v>
      </c>
      <c r="D145" s="35">
        <f>'Adaptive costs A'!D145-'Adaptive costs B'!D145</f>
        <v>0</v>
      </c>
      <c r="E145" s="35">
        <f>'Adaptive costs A'!E145-'Adaptive costs B'!E145</f>
        <v>0</v>
      </c>
      <c r="F145" s="35">
        <f>'Adaptive costs A'!F145-'Adaptive costs B'!F145</f>
        <v>0</v>
      </c>
      <c r="G145" s="35">
        <f>'Adaptive costs A'!G145-'Adaptive costs B'!G145</f>
        <v>0</v>
      </c>
      <c r="H145" s="35">
        <f>'Adaptive costs A'!H145-'Adaptive costs B'!H145</f>
        <v>0</v>
      </c>
      <c r="I145" s="35">
        <f>'Adaptive costs A'!I145-'Adaptive costs B'!I145</f>
        <v>0</v>
      </c>
      <c r="J145" s="35">
        <f>'Adaptive costs A'!J145-'Adaptive costs B'!J145</f>
        <v>0</v>
      </c>
      <c r="K145" s="35">
        <f>'Adaptive costs A'!K145-'Adaptive costs B'!K145</f>
        <v>0</v>
      </c>
      <c r="L145" s="1"/>
      <c r="M145" s="1" t="str">
        <f t="shared" si="12"/>
        <v>$million/million</v>
      </c>
    </row>
    <row r="146" spans="1:13" x14ac:dyDescent="0.25">
      <c r="A146" t="str">
        <v>IA</v>
      </c>
      <c r="B146" s="35">
        <f>'Adaptive costs A'!B146-'Adaptive costs B'!B146</f>
        <v>0</v>
      </c>
      <c r="C146" s="35">
        <f>'Adaptive costs A'!C146-'Adaptive costs B'!C146</f>
        <v>0</v>
      </c>
      <c r="D146" s="35">
        <f>'Adaptive costs A'!D146-'Adaptive costs B'!D146</f>
        <v>0</v>
      </c>
      <c r="E146" s="35">
        <f>'Adaptive costs A'!E146-'Adaptive costs B'!E146</f>
        <v>0</v>
      </c>
      <c r="F146" s="35">
        <f>'Adaptive costs A'!F146-'Adaptive costs B'!F146</f>
        <v>0</v>
      </c>
      <c r="G146" s="35">
        <f>'Adaptive costs A'!G146-'Adaptive costs B'!G146</f>
        <v>0</v>
      </c>
      <c r="H146" s="35">
        <f>'Adaptive costs A'!H146-'Adaptive costs B'!H146</f>
        <v>0</v>
      </c>
      <c r="I146" s="35">
        <f>'Adaptive costs A'!I146-'Adaptive costs B'!I146</f>
        <v>0</v>
      </c>
      <c r="J146" s="35">
        <f>'Adaptive costs A'!J146-'Adaptive costs B'!J146</f>
        <v>0</v>
      </c>
      <c r="K146" s="35">
        <f>'Adaptive costs A'!K146-'Adaptive costs B'!K146</f>
        <v>0</v>
      </c>
      <c r="L146" s="1"/>
      <c r="M146" s="1" t="str">
        <f t="shared" si="12"/>
        <v>$million/million</v>
      </c>
    </row>
    <row r="147" spans="1:13" x14ac:dyDescent="0.25">
      <c r="A147" t="str">
        <v>AF</v>
      </c>
      <c r="B147" s="35">
        <f>'Adaptive costs A'!B147-'Adaptive costs B'!B147</f>
        <v>0</v>
      </c>
      <c r="C147" s="35">
        <f>'Adaptive costs A'!C147-'Adaptive costs B'!C147</f>
        <v>0</v>
      </c>
      <c r="D147" s="35">
        <f>'Adaptive costs A'!D147-'Adaptive costs B'!D147</f>
        <v>0</v>
      </c>
      <c r="E147" s="35">
        <f>'Adaptive costs A'!E147-'Adaptive costs B'!E147</f>
        <v>0</v>
      </c>
      <c r="F147" s="35">
        <f>'Adaptive costs A'!F147-'Adaptive costs B'!F147</f>
        <v>0</v>
      </c>
      <c r="G147" s="35">
        <f>'Adaptive costs A'!G147-'Adaptive costs B'!G147</f>
        <v>0</v>
      </c>
      <c r="H147" s="35">
        <f>'Adaptive costs A'!H147-'Adaptive costs B'!H147</f>
        <v>0</v>
      </c>
      <c r="I147" s="35">
        <f>'Adaptive costs A'!I147-'Adaptive costs B'!I147</f>
        <v>0</v>
      </c>
      <c r="J147" s="35">
        <f>'Adaptive costs A'!J147-'Adaptive costs B'!J147</f>
        <v>0</v>
      </c>
      <c r="K147" s="35">
        <f>'Adaptive costs A'!K147-'Adaptive costs B'!K147</f>
        <v>0</v>
      </c>
      <c r="L147" s="1"/>
      <c r="M147" s="1" t="str">
        <f t="shared" si="12"/>
        <v>$million/million</v>
      </c>
    </row>
    <row r="148" spans="1:13" x14ac:dyDescent="0.25">
      <c r="A148" t="str">
        <v>LA</v>
      </c>
      <c r="B148" s="35">
        <f>'Adaptive costs A'!B148-'Adaptive costs B'!B148</f>
        <v>0</v>
      </c>
      <c r="C148" s="35">
        <f>'Adaptive costs A'!C148-'Adaptive costs B'!C148</f>
        <v>0</v>
      </c>
      <c r="D148" s="35">
        <f>'Adaptive costs A'!D148-'Adaptive costs B'!D148</f>
        <v>0</v>
      </c>
      <c r="E148" s="35">
        <f>'Adaptive costs A'!E148-'Adaptive costs B'!E148</f>
        <v>0</v>
      </c>
      <c r="F148" s="35">
        <f>'Adaptive costs A'!F148-'Adaptive costs B'!F148</f>
        <v>0</v>
      </c>
      <c r="G148" s="35">
        <f>'Adaptive costs A'!G148-'Adaptive costs B'!G148</f>
        <v>0</v>
      </c>
      <c r="H148" s="35">
        <f>'Adaptive costs A'!H148-'Adaptive costs B'!H148</f>
        <v>0</v>
      </c>
      <c r="I148" s="35">
        <f>'Adaptive costs A'!I148-'Adaptive costs B'!I148</f>
        <v>0</v>
      </c>
      <c r="J148" s="35">
        <f>'Adaptive costs A'!J148-'Adaptive costs B'!J148</f>
        <v>0</v>
      </c>
      <c r="K148" s="35">
        <f>'Adaptive costs A'!K148-'Adaptive costs B'!K148</f>
        <v>0</v>
      </c>
      <c r="L148" s="1"/>
      <c r="M148" s="1" t="str">
        <f t="shared" si="12"/>
        <v>$million/million</v>
      </c>
    </row>
    <row r="149" spans="1:13" ht="15" x14ac:dyDescent="0.4">
      <c r="A149" s="65" t="s">
        <v>445</v>
      </c>
      <c r="B149" s="2" t="s">
        <v>451</v>
      </c>
      <c r="C149" s="58"/>
      <c r="D149" s="58"/>
      <c r="E149" s="58"/>
      <c r="F149" s="58"/>
      <c r="G149" s="58"/>
      <c r="H149" s="58"/>
      <c r="I149" s="58"/>
      <c r="J149" s="58"/>
      <c r="K149" s="58"/>
      <c r="L149" s="1"/>
      <c r="M149" s="1"/>
    </row>
    <row r="150" spans="1:13" x14ac:dyDescent="0.25">
      <c r="A150" t="str">
        <f t="array" ref="A150:A157">R_CODE</f>
        <v>EU</v>
      </c>
      <c r="B150" s="93">
        <f>'Adaptive costs A'!B150-'Adaptive costs B'!B150</f>
        <v>0</v>
      </c>
      <c r="C150" s="93">
        <f>'Adaptive costs A'!C150-'Adaptive costs B'!C150</f>
        <v>0</v>
      </c>
      <c r="D150" s="93">
        <f>'Adaptive costs A'!D150-'Adaptive costs B'!D150</f>
        <v>0</v>
      </c>
      <c r="E150" s="93">
        <f>'Adaptive costs A'!E150-'Adaptive costs B'!E150</f>
        <v>0</v>
      </c>
      <c r="F150" s="93">
        <f>'Adaptive costs A'!F150-'Adaptive costs B'!F150</f>
        <v>0</v>
      </c>
      <c r="G150" s="93">
        <f>'Adaptive costs A'!G150-'Adaptive costs B'!G150</f>
        <v>0</v>
      </c>
      <c r="H150" s="93">
        <f>'Adaptive costs A'!H150-'Adaptive costs B'!H150</f>
        <v>0</v>
      </c>
      <c r="I150" s="93">
        <f>'Adaptive costs A'!I150-'Adaptive costs B'!I150</f>
        <v>0</v>
      </c>
      <c r="J150" s="93">
        <f>'Adaptive costs A'!J150-'Adaptive costs B'!J150</f>
        <v>0</v>
      </c>
      <c r="K150" s="93">
        <f>'Adaptive costs A'!K150-'Adaptive costs B'!K150</f>
        <v>0</v>
      </c>
      <c r="L150" s="1"/>
      <c r="M150" s="4" t="str">
        <f t="shared" ref="M150:M158" si="13">CURRENCY_NAME</f>
        <v>$million</v>
      </c>
    </row>
    <row r="151" spans="1:13" x14ac:dyDescent="0.25">
      <c r="A151" t="str">
        <v>US</v>
      </c>
      <c r="B151" s="94">
        <f>'Adaptive costs A'!B151-'Adaptive costs B'!B151</f>
        <v>0</v>
      </c>
      <c r="C151" s="94">
        <f>'Adaptive costs A'!C151-'Adaptive costs B'!C151</f>
        <v>0</v>
      </c>
      <c r="D151" s="94">
        <f>'Adaptive costs A'!D151-'Adaptive costs B'!D151</f>
        <v>0</v>
      </c>
      <c r="E151" s="94">
        <f>'Adaptive costs A'!E151-'Adaptive costs B'!E151</f>
        <v>0</v>
      </c>
      <c r="F151" s="94">
        <f>'Adaptive costs A'!F151-'Adaptive costs B'!F151</f>
        <v>0</v>
      </c>
      <c r="G151" s="94">
        <f>'Adaptive costs A'!G151-'Adaptive costs B'!G151</f>
        <v>0</v>
      </c>
      <c r="H151" s="94">
        <f>'Adaptive costs A'!H151-'Adaptive costs B'!H151</f>
        <v>0</v>
      </c>
      <c r="I151" s="94">
        <f>'Adaptive costs A'!I151-'Adaptive costs B'!I151</f>
        <v>0</v>
      </c>
      <c r="J151" s="94">
        <f>'Adaptive costs A'!J151-'Adaptive costs B'!J151</f>
        <v>0</v>
      </c>
      <c r="K151" s="94">
        <f>'Adaptive costs A'!K151-'Adaptive costs B'!K151</f>
        <v>0</v>
      </c>
      <c r="L151" s="1"/>
      <c r="M151" s="4" t="str">
        <f t="shared" si="13"/>
        <v>$million</v>
      </c>
    </row>
    <row r="152" spans="1:13" x14ac:dyDescent="0.25">
      <c r="A152" t="str">
        <v>OT</v>
      </c>
      <c r="B152" s="94">
        <f>'Adaptive costs A'!B152-'Adaptive costs B'!B152</f>
        <v>0</v>
      </c>
      <c r="C152" s="94">
        <f>'Adaptive costs A'!C152-'Adaptive costs B'!C152</f>
        <v>0</v>
      </c>
      <c r="D152" s="94">
        <f>'Adaptive costs A'!D152-'Adaptive costs B'!D152</f>
        <v>0</v>
      </c>
      <c r="E152" s="94">
        <f>'Adaptive costs A'!E152-'Adaptive costs B'!E152</f>
        <v>0</v>
      </c>
      <c r="F152" s="94">
        <f>'Adaptive costs A'!F152-'Adaptive costs B'!F152</f>
        <v>0</v>
      </c>
      <c r="G152" s="94">
        <f>'Adaptive costs A'!G152-'Adaptive costs B'!G152</f>
        <v>0</v>
      </c>
      <c r="H152" s="94">
        <f>'Adaptive costs A'!H152-'Adaptive costs B'!H152</f>
        <v>0</v>
      </c>
      <c r="I152" s="94">
        <f>'Adaptive costs A'!I152-'Adaptive costs B'!I152</f>
        <v>0</v>
      </c>
      <c r="J152" s="94">
        <f>'Adaptive costs A'!J152-'Adaptive costs B'!J152</f>
        <v>0</v>
      </c>
      <c r="K152" s="94">
        <f>'Adaptive costs A'!K152-'Adaptive costs B'!K152</f>
        <v>0</v>
      </c>
      <c r="L152" s="1"/>
      <c r="M152" s="4" t="str">
        <f t="shared" si="13"/>
        <v>$million</v>
      </c>
    </row>
    <row r="153" spans="1:13" x14ac:dyDescent="0.25">
      <c r="A153" t="str">
        <v>EE</v>
      </c>
      <c r="B153" s="94">
        <f>'Adaptive costs A'!B153-'Adaptive costs B'!B153</f>
        <v>0</v>
      </c>
      <c r="C153" s="94">
        <f>'Adaptive costs A'!C153-'Adaptive costs B'!C153</f>
        <v>0</v>
      </c>
      <c r="D153" s="94">
        <f>'Adaptive costs A'!D153-'Adaptive costs B'!D153</f>
        <v>0</v>
      </c>
      <c r="E153" s="94">
        <f>'Adaptive costs A'!E153-'Adaptive costs B'!E153</f>
        <v>0</v>
      </c>
      <c r="F153" s="94">
        <f>'Adaptive costs A'!F153-'Adaptive costs B'!F153</f>
        <v>0</v>
      </c>
      <c r="G153" s="94">
        <f>'Adaptive costs A'!G153-'Adaptive costs B'!G153</f>
        <v>0</v>
      </c>
      <c r="H153" s="94">
        <f>'Adaptive costs A'!H153-'Adaptive costs B'!H153</f>
        <v>0</v>
      </c>
      <c r="I153" s="94">
        <f>'Adaptive costs A'!I153-'Adaptive costs B'!I153</f>
        <v>0</v>
      </c>
      <c r="J153" s="94">
        <f>'Adaptive costs A'!J153-'Adaptive costs B'!J153</f>
        <v>0</v>
      </c>
      <c r="K153" s="94">
        <f>'Adaptive costs A'!K153-'Adaptive costs B'!K153</f>
        <v>0</v>
      </c>
      <c r="L153" s="1"/>
      <c r="M153" s="4" t="str">
        <f t="shared" si="13"/>
        <v>$million</v>
      </c>
    </row>
    <row r="154" spans="1:13" x14ac:dyDescent="0.25">
      <c r="A154" t="str">
        <v>CA</v>
      </c>
      <c r="B154" s="94">
        <f>'Adaptive costs A'!B154-'Adaptive costs B'!B154</f>
        <v>0</v>
      </c>
      <c r="C154" s="94">
        <f>'Adaptive costs A'!C154-'Adaptive costs B'!C154</f>
        <v>0</v>
      </c>
      <c r="D154" s="94">
        <f>'Adaptive costs A'!D154-'Adaptive costs B'!D154</f>
        <v>0</v>
      </c>
      <c r="E154" s="94">
        <f>'Adaptive costs A'!E154-'Adaptive costs B'!E154</f>
        <v>0</v>
      </c>
      <c r="F154" s="94">
        <f>'Adaptive costs A'!F154-'Adaptive costs B'!F154</f>
        <v>0</v>
      </c>
      <c r="G154" s="94">
        <f>'Adaptive costs A'!G154-'Adaptive costs B'!G154</f>
        <v>0</v>
      </c>
      <c r="H154" s="94">
        <f>'Adaptive costs A'!H154-'Adaptive costs B'!H154</f>
        <v>0</v>
      </c>
      <c r="I154" s="94">
        <f>'Adaptive costs A'!I154-'Adaptive costs B'!I154</f>
        <v>0</v>
      </c>
      <c r="J154" s="94">
        <f>'Adaptive costs A'!J154-'Adaptive costs B'!J154</f>
        <v>0</v>
      </c>
      <c r="K154" s="94">
        <f>'Adaptive costs A'!K154-'Adaptive costs B'!K154</f>
        <v>0</v>
      </c>
      <c r="L154" s="1"/>
      <c r="M154" s="4" t="str">
        <f t="shared" si="13"/>
        <v>$million</v>
      </c>
    </row>
    <row r="155" spans="1:13" x14ac:dyDescent="0.25">
      <c r="A155" t="str">
        <v>IA</v>
      </c>
      <c r="B155" s="94">
        <f>'Adaptive costs A'!B155-'Adaptive costs B'!B155</f>
        <v>0</v>
      </c>
      <c r="C155" s="94">
        <f>'Adaptive costs A'!C155-'Adaptive costs B'!C155</f>
        <v>0</v>
      </c>
      <c r="D155" s="94">
        <f>'Adaptive costs A'!D155-'Adaptive costs B'!D155</f>
        <v>0</v>
      </c>
      <c r="E155" s="94">
        <f>'Adaptive costs A'!E155-'Adaptive costs B'!E155</f>
        <v>0</v>
      </c>
      <c r="F155" s="94">
        <f>'Adaptive costs A'!F155-'Adaptive costs B'!F155</f>
        <v>0</v>
      </c>
      <c r="G155" s="94">
        <f>'Adaptive costs A'!G155-'Adaptive costs B'!G155</f>
        <v>0</v>
      </c>
      <c r="H155" s="94">
        <f>'Adaptive costs A'!H155-'Adaptive costs B'!H155</f>
        <v>0</v>
      </c>
      <c r="I155" s="94">
        <f>'Adaptive costs A'!I155-'Adaptive costs B'!I155</f>
        <v>0</v>
      </c>
      <c r="J155" s="94">
        <f>'Adaptive costs A'!J155-'Adaptive costs B'!J155</f>
        <v>0</v>
      </c>
      <c r="K155" s="94">
        <f>'Adaptive costs A'!K155-'Adaptive costs B'!K155</f>
        <v>0</v>
      </c>
      <c r="L155" s="1"/>
      <c r="M155" s="4" t="str">
        <f t="shared" si="13"/>
        <v>$million</v>
      </c>
    </row>
    <row r="156" spans="1:13" x14ac:dyDescent="0.25">
      <c r="A156" t="str">
        <v>AF</v>
      </c>
      <c r="B156" s="94">
        <f>'Adaptive costs A'!B156-'Adaptive costs B'!B156</f>
        <v>0</v>
      </c>
      <c r="C156" s="94">
        <f>'Adaptive costs A'!C156-'Adaptive costs B'!C156</f>
        <v>0</v>
      </c>
      <c r="D156" s="94">
        <f>'Adaptive costs A'!D156-'Adaptive costs B'!D156</f>
        <v>0</v>
      </c>
      <c r="E156" s="94">
        <f>'Adaptive costs A'!E156-'Adaptive costs B'!E156</f>
        <v>0</v>
      </c>
      <c r="F156" s="94">
        <f>'Adaptive costs A'!F156-'Adaptive costs B'!F156</f>
        <v>0</v>
      </c>
      <c r="G156" s="94">
        <f>'Adaptive costs A'!G156-'Adaptive costs B'!G156</f>
        <v>0</v>
      </c>
      <c r="H156" s="94">
        <f>'Adaptive costs A'!H156-'Adaptive costs B'!H156</f>
        <v>0</v>
      </c>
      <c r="I156" s="94">
        <f>'Adaptive costs A'!I156-'Adaptive costs B'!I156</f>
        <v>0</v>
      </c>
      <c r="J156" s="94">
        <f>'Adaptive costs A'!J156-'Adaptive costs B'!J156</f>
        <v>0</v>
      </c>
      <c r="K156" s="94">
        <f>'Adaptive costs A'!K156-'Adaptive costs B'!K156</f>
        <v>0</v>
      </c>
      <c r="L156" s="1"/>
      <c r="M156" s="4" t="str">
        <f t="shared" si="13"/>
        <v>$million</v>
      </c>
    </row>
    <row r="157" spans="1:13" x14ac:dyDescent="0.25">
      <c r="A157" t="str">
        <v>LA</v>
      </c>
      <c r="B157" s="94">
        <f>'Adaptive costs A'!B157-'Adaptive costs B'!B157</f>
        <v>0</v>
      </c>
      <c r="C157" s="94">
        <f>'Adaptive costs A'!C157-'Adaptive costs B'!C157</f>
        <v>0</v>
      </c>
      <c r="D157" s="94">
        <f>'Adaptive costs A'!D157-'Adaptive costs B'!D157</f>
        <v>0</v>
      </c>
      <c r="E157" s="94">
        <f>'Adaptive costs A'!E157-'Adaptive costs B'!E157</f>
        <v>0</v>
      </c>
      <c r="F157" s="94">
        <f>'Adaptive costs A'!F157-'Adaptive costs B'!F157</f>
        <v>0</v>
      </c>
      <c r="G157" s="94">
        <f>'Adaptive costs A'!G157-'Adaptive costs B'!G157</f>
        <v>0</v>
      </c>
      <c r="H157" s="94">
        <f>'Adaptive costs A'!H157-'Adaptive costs B'!H157</f>
        <v>0</v>
      </c>
      <c r="I157" s="94">
        <f>'Adaptive costs A'!I157-'Adaptive costs B'!I157</f>
        <v>0</v>
      </c>
      <c r="J157" s="94">
        <f>'Adaptive costs A'!J157-'Adaptive costs B'!J157</f>
        <v>0</v>
      </c>
      <c r="K157" s="94">
        <f>'Adaptive costs A'!K157-'Adaptive costs B'!K157</f>
        <v>0</v>
      </c>
      <c r="L157" s="1"/>
      <c r="M157" s="4" t="str">
        <f t="shared" si="13"/>
        <v>$million</v>
      </c>
    </row>
    <row r="158" spans="1:13" ht="13.5" thickBot="1" x14ac:dyDescent="0.35">
      <c r="A158" s="2" t="s">
        <v>257</v>
      </c>
      <c r="B158" s="102">
        <f>'Adaptive costs A'!B158-'Adaptive costs B'!B158</f>
        <v>0</v>
      </c>
      <c r="C158" s="102">
        <f>'Adaptive costs A'!C158-'Adaptive costs B'!C158</f>
        <v>0</v>
      </c>
      <c r="D158" s="102">
        <f>'Adaptive costs A'!D158-'Adaptive costs B'!D158</f>
        <v>0</v>
      </c>
      <c r="E158" s="102">
        <f>'Adaptive costs A'!E158-'Adaptive costs B'!E158</f>
        <v>0</v>
      </c>
      <c r="F158" s="102">
        <f>'Adaptive costs A'!F158-'Adaptive costs B'!F158</f>
        <v>0</v>
      </c>
      <c r="G158" s="102">
        <f>'Adaptive costs A'!G158-'Adaptive costs B'!G158</f>
        <v>0</v>
      </c>
      <c r="H158" s="102">
        <f>'Adaptive costs A'!H158-'Adaptive costs B'!H158</f>
        <v>0</v>
      </c>
      <c r="I158" s="102">
        <f>'Adaptive costs A'!I158-'Adaptive costs B'!I158</f>
        <v>0</v>
      </c>
      <c r="J158" s="102">
        <f>'Adaptive costs A'!J158-'Adaptive costs B'!J158</f>
        <v>0</v>
      </c>
      <c r="K158" s="102">
        <f>'Adaptive costs A'!K158-'Adaptive costs B'!K158</f>
        <v>0</v>
      </c>
      <c r="L158" s="1"/>
      <c r="M158" s="4" t="str">
        <f t="shared" si="13"/>
        <v>$million</v>
      </c>
    </row>
    <row r="159" spans="1:13" s="2" customFormat="1" ht="15.5" thickTop="1" x14ac:dyDescent="0.4">
      <c r="A159" s="2" t="s">
        <v>127</v>
      </c>
      <c r="B159" s="2" t="s">
        <v>452</v>
      </c>
    </row>
    <row r="160" spans="1:13" x14ac:dyDescent="0.25">
      <c r="A160" t="str">
        <f t="array" ref="A160:A167">R_CODE</f>
        <v>EU</v>
      </c>
      <c r="B160" s="93">
        <f>'Adaptive costs A'!B160-'Adaptive costs B'!B160</f>
        <v>0</v>
      </c>
      <c r="C160" s="93">
        <f>'Adaptive costs A'!C160-'Adaptive costs B'!C160</f>
        <v>0</v>
      </c>
      <c r="D160" s="93">
        <f>'Adaptive costs A'!D160-'Adaptive costs B'!D160</f>
        <v>0</v>
      </c>
      <c r="E160" s="93">
        <f>'Adaptive costs A'!E160-'Adaptive costs B'!E160</f>
        <v>0</v>
      </c>
      <c r="F160" s="93">
        <f>'Adaptive costs A'!F160-'Adaptive costs B'!F160</f>
        <v>0</v>
      </c>
      <c r="G160" s="93">
        <f>'Adaptive costs A'!G160-'Adaptive costs B'!G160</f>
        <v>0</v>
      </c>
      <c r="H160" s="93">
        <f>'Adaptive costs A'!H160-'Adaptive costs B'!H160</f>
        <v>0</v>
      </c>
      <c r="I160" s="93">
        <f>'Adaptive costs A'!I160-'Adaptive costs B'!I160</f>
        <v>0</v>
      </c>
      <c r="J160" s="93">
        <f>'Adaptive costs A'!J160-'Adaptive costs B'!J160</f>
        <v>0</v>
      </c>
      <c r="K160" s="93">
        <f>'Adaptive costs A'!K160-'Adaptive costs B'!K160</f>
        <v>0</v>
      </c>
      <c r="L160" s="1"/>
      <c r="M160" s="4" t="str">
        <f t="shared" ref="M160:M168" si="14">CURRENCY_NAME</f>
        <v>$million</v>
      </c>
    </row>
    <row r="161" spans="1:16" x14ac:dyDescent="0.25">
      <c r="A161" t="str">
        <v>US</v>
      </c>
      <c r="B161" s="94">
        <f>'Adaptive costs A'!B161-'Adaptive costs B'!B161</f>
        <v>0</v>
      </c>
      <c r="C161" s="94">
        <f>'Adaptive costs A'!C161-'Adaptive costs B'!C161</f>
        <v>0</v>
      </c>
      <c r="D161" s="94">
        <f>'Adaptive costs A'!D161-'Adaptive costs B'!D161</f>
        <v>0</v>
      </c>
      <c r="E161" s="94">
        <f>'Adaptive costs A'!E161-'Adaptive costs B'!E161</f>
        <v>0</v>
      </c>
      <c r="F161" s="94">
        <f>'Adaptive costs A'!F161-'Adaptive costs B'!F161</f>
        <v>0</v>
      </c>
      <c r="G161" s="94">
        <f>'Adaptive costs A'!G161-'Adaptive costs B'!G161</f>
        <v>0</v>
      </c>
      <c r="H161" s="94">
        <f>'Adaptive costs A'!H161-'Adaptive costs B'!H161</f>
        <v>0</v>
      </c>
      <c r="I161" s="94">
        <f>'Adaptive costs A'!I161-'Adaptive costs B'!I161</f>
        <v>0</v>
      </c>
      <c r="J161" s="94">
        <f>'Adaptive costs A'!J161-'Adaptive costs B'!J161</f>
        <v>0</v>
      </c>
      <c r="K161" s="94">
        <f>'Adaptive costs A'!K161-'Adaptive costs B'!K161</f>
        <v>0</v>
      </c>
      <c r="L161" s="1"/>
      <c r="M161" s="4" t="str">
        <f t="shared" si="14"/>
        <v>$million</v>
      </c>
    </row>
    <row r="162" spans="1:16" x14ac:dyDescent="0.25">
      <c r="A162" t="str">
        <v>OT</v>
      </c>
      <c r="B162" s="94">
        <f>'Adaptive costs A'!B162-'Adaptive costs B'!B162</f>
        <v>0</v>
      </c>
      <c r="C162" s="94">
        <f>'Adaptive costs A'!C162-'Adaptive costs B'!C162</f>
        <v>0</v>
      </c>
      <c r="D162" s="94">
        <f>'Adaptive costs A'!D162-'Adaptive costs B'!D162</f>
        <v>0</v>
      </c>
      <c r="E162" s="94">
        <f>'Adaptive costs A'!E162-'Adaptive costs B'!E162</f>
        <v>0</v>
      </c>
      <c r="F162" s="94">
        <f>'Adaptive costs A'!F162-'Adaptive costs B'!F162</f>
        <v>0</v>
      </c>
      <c r="G162" s="94">
        <f>'Adaptive costs A'!G162-'Adaptive costs B'!G162</f>
        <v>0</v>
      </c>
      <c r="H162" s="94">
        <f>'Adaptive costs A'!H162-'Adaptive costs B'!H162</f>
        <v>0</v>
      </c>
      <c r="I162" s="94">
        <f>'Adaptive costs A'!I162-'Adaptive costs B'!I162</f>
        <v>0</v>
      </c>
      <c r="J162" s="94">
        <f>'Adaptive costs A'!J162-'Adaptive costs B'!J162</f>
        <v>0</v>
      </c>
      <c r="K162" s="94">
        <f>'Adaptive costs A'!K162-'Adaptive costs B'!K162</f>
        <v>0</v>
      </c>
      <c r="L162" s="1"/>
      <c r="M162" s="4" t="str">
        <f t="shared" si="14"/>
        <v>$million</v>
      </c>
    </row>
    <row r="163" spans="1:16" x14ac:dyDescent="0.25">
      <c r="A163" t="str">
        <v>EE</v>
      </c>
      <c r="B163" s="94">
        <f>'Adaptive costs A'!B163-'Adaptive costs B'!B163</f>
        <v>0</v>
      </c>
      <c r="C163" s="94">
        <f>'Adaptive costs A'!C163-'Adaptive costs B'!C163</f>
        <v>0</v>
      </c>
      <c r="D163" s="94">
        <f>'Adaptive costs A'!D163-'Adaptive costs B'!D163</f>
        <v>0</v>
      </c>
      <c r="E163" s="94">
        <f>'Adaptive costs A'!E163-'Adaptive costs B'!E163</f>
        <v>0</v>
      </c>
      <c r="F163" s="94">
        <f>'Adaptive costs A'!F163-'Adaptive costs B'!F163</f>
        <v>0</v>
      </c>
      <c r="G163" s="94">
        <f>'Adaptive costs A'!G163-'Adaptive costs B'!G163</f>
        <v>0</v>
      </c>
      <c r="H163" s="94">
        <f>'Adaptive costs A'!H163-'Adaptive costs B'!H163</f>
        <v>0</v>
      </c>
      <c r="I163" s="94">
        <f>'Adaptive costs A'!I163-'Adaptive costs B'!I163</f>
        <v>0</v>
      </c>
      <c r="J163" s="94">
        <f>'Adaptive costs A'!J163-'Adaptive costs B'!J163</f>
        <v>0</v>
      </c>
      <c r="K163" s="94">
        <f>'Adaptive costs A'!K163-'Adaptive costs B'!K163</f>
        <v>0</v>
      </c>
      <c r="L163" s="1"/>
      <c r="M163" s="4" t="str">
        <f t="shared" si="14"/>
        <v>$million</v>
      </c>
    </row>
    <row r="164" spans="1:16" x14ac:dyDescent="0.25">
      <c r="A164" t="str">
        <v>CA</v>
      </c>
      <c r="B164" s="94">
        <f>'Adaptive costs A'!B164-'Adaptive costs B'!B164</f>
        <v>0</v>
      </c>
      <c r="C164" s="94">
        <f>'Adaptive costs A'!C164-'Adaptive costs B'!C164</f>
        <v>0</v>
      </c>
      <c r="D164" s="94">
        <f>'Adaptive costs A'!D164-'Adaptive costs B'!D164</f>
        <v>0</v>
      </c>
      <c r="E164" s="94">
        <f>'Adaptive costs A'!E164-'Adaptive costs B'!E164</f>
        <v>0</v>
      </c>
      <c r="F164" s="94">
        <f>'Adaptive costs A'!F164-'Adaptive costs B'!F164</f>
        <v>0</v>
      </c>
      <c r="G164" s="94">
        <f>'Adaptive costs A'!G164-'Adaptive costs B'!G164</f>
        <v>0</v>
      </c>
      <c r="H164" s="94">
        <f>'Adaptive costs A'!H164-'Adaptive costs B'!H164</f>
        <v>0</v>
      </c>
      <c r="I164" s="94">
        <f>'Adaptive costs A'!I164-'Adaptive costs B'!I164</f>
        <v>0</v>
      </c>
      <c r="J164" s="94">
        <f>'Adaptive costs A'!J164-'Adaptive costs B'!J164</f>
        <v>0</v>
      </c>
      <c r="K164" s="94">
        <f>'Adaptive costs A'!K164-'Adaptive costs B'!K164</f>
        <v>0</v>
      </c>
      <c r="L164" s="1"/>
      <c r="M164" s="4" t="str">
        <f t="shared" si="14"/>
        <v>$million</v>
      </c>
    </row>
    <row r="165" spans="1:16" x14ac:dyDescent="0.25">
      <c r="A165" t="str">
        <v>IA</v>
      </c>
      <c r="B165" s="94">
        <f>'Adaptive costs A'!B165-'Adaptive costs B'!B165</f>
        <v>0</v>
      </c>
      <c r="C165" s="94">
        <f>'Adaptive costs A'!C165-'Adaptive costs B'!C165</f>
        <v>0</v>
      </c>
      <c r="D165" s="94">
        <f>'Adaptive costs A'!D165-'Adaptive costs B'!D165</f>
        <v>0</v>
      </c>
      <c r="E165" s="94">
        <f>'Adaptive costs A'!E165-'Adaptive costs B'!E165</f>
        <v>0</v>
      </c>
      <c r="F165" s="94">
        <f>'Adaptive costs A'!F165-'Adaptive costs B'!F165</f>
        <v>0</v>
      </c>
      <c r="G165" s="94">
        <f>'Adaptive costs A'!G165-'Adaptive costs B'!G165</f>
        <v>0</v>
      </c>
      <c r="H165" s="94">
        <f>'Adaptive costs A'!H165-'Adaptive costs B'!H165</f>
        <v>0</v>
      </c>
      <c r="I165" s="94">
        <f>'Adaptive costs A'!I165-'Adaptive costs B'!I165</f>
        <v>0</v>
      </c>
      <c r="J165" s="94">
        <f>'Adaptive costs A'!J165-'Adaptive costs B'!J165</f>
        <v>0</v>
      </c>
      <c r="K165" s="94">
        <f>'Adaptive costs A'!K165-'Adaptive costs B'!K165</f>
        <v>0</v>
      </c>
      <c r="L165" s="1"/>
      <c r="M165" s="4" t="str">
        <f t="shared" si="14"/>
        <v>$million</v>
      </c>
    </row>
    <row r="166" spans="1:16" x14ac:dyDescent="0.25">
      <c r="A166" t="str">
        <v>AF</v>
      </c>
      <c r="B166" s="94">
        <f>'Adaptive costs A'!B166-'Adaptive costs B'!B166</f>
        <v>0</v>
      </c>
      <c r="C166" s="94">
        <f>'Adaptive costs A'!C166-'Adaptive costs B'!C166</f>
        <v>0</v>
      </c>
      <c r="D166" s="94">
        <f>'Adaptive costs A'!D166-'Adaptive costs B'!D166</f>
        <v>0</v>
      </c>
      <c r="E166" s="94">
        <f>'Adaptive costs A'!E166-'Adaptive costs B'!E166</f>
        <v>0</v>
      </c>
      <c r="F166" s="94">
        <f>'Adaptive costs A'!F166-'Adaptive costs B'!F166</f>
        <v>0</v>
      </c>
      <c r="G166" s="94">
        <f>'Adaptive costs A'!G166-'Adaptive costs B'!G166</f>
        <v>0</v>
      </c>
      <c r="H166" s="94">
        <f>'Adaptive costs A'!H166-'Adaptive costs B'!H166</f>
        <v>0</v>
      </c>
      <c r="I166" s="94">
        <f>'Adaptive costs A'!I166-'Adaptive costs B'!I166</f>
        <v>0</v>
      </c>
      <c r="J166" s="94">
        <f>'Adaptive costs A'!J166-'Adaptive costs B'!J166</f>
        <v>0</v>
      </c>
      <c r="K166" s="94">
        <f>'Adaptive costs A'!K166-'Adaptive costs B'!K166</f>
        <v>0</v>
      </c>
      <c r="L166" s="1"/>
      <c r="M166" s="4" t="str">
        <f t="shared" si="14"/>
        <v>$million</v>
      </c>
    </row>
    <row r="167" spans="1:16" x14ac:dyDescent="0.25">
      <c r="A167" t="str">
        <v>LA</v>
      </c>
      <c r="B167" s="94">
        <f>'Adaptive costs A'!B167-'Adaptive costs B'!B167</f>
        <v>0</v>
      </c>
      <c r="C167" s="94">
        <f>'Adaptive costs A'!C167-'Adaptive costs B'!C167</f>
        <v>0</v>
      </c>
      <c r="D167" s="94">
        <f>'Adaptive costs A'!D167-'Adaptive costs B'!D167</f>
        <v>0</v>
      </c>
      <c r="E167" s="94">
        <f>'Adaptive costs A'!E167-'Adaptive costs B'!E167</f>
        <v>0</v>
      </c>
      <c r="F167" s="94">
        <f>'Adaptive costs A'!F167-'Adaptive costs B'!F167</f>
        <v>0</v>
      </c>
      <c r="G167" s="94">
        <f>'Adaptive costs A'!G167-'Adaptive costs B'!G167</f>
        <v>0</v>
      </c>
      <c r="H167" s="94">
        <f>'Adaptive costs A'!H167-'Adaptive costs B'!H167</f>
        <v>0</v>
      </c>
      <c r="I167" s="94">
        <f>'Adaptive costs A'!I167-'Adaptive costs B'!I167</f>
        <v>0</v>
      </c>
      <c r="J167" s="94">
        <f>'Adaptive costs A'!J167-'Adaptive costs B'!J167</f>
        <v>0</v>
      </c>
      <c r="K167" s="94">
        <f>'Adaptive costs A'!K167-'Adaptive costs B'!K167</f>
        <v>0</v>
      </c>
      <c r="L167" s="1"/>
      <c r="M167" s="4" t="str">
        <f t="shared" si="14"/>
        <v>$million</v>
      </c>
      <c r="P167" s="12"/>
    </row>
    <row r="168" spans="1:16" ht="13.5" thickBot="1" x14ac:dyDescent="0.35">
      <c r="A168" s="2" t="s">
        <v>257</v>
      </c>
      <c r="B168" s="102">
        <f>'Adaptive costs A'!B168-'Adaptive costs B'!B168</f>
        <v>0</v>
      </c>
      <c r="C168" s="102">
        <f>'Adaptive costs A'!C168-'Adaptive costs B'!C168</f>
        <v>0</v>
      </c>
      <c r="D168" s="102">
        <f>'Adaptive costs A'!D168-'Adaptive costs B'!D168</f>
        <v>0</v>
      </c>
      <c r="E168" s="102">
        <f>'Adaptive costs A'!E168-'Adaptive costs B'!E168</f>
        <v>0</v>
      </c>
      <c r="F168" s="102">
        <f>'Adaptive costs A'!F168-'Adaptive costs B'!F168</f>
        <v>0</v>
      </c>
      <c r="G168" s="102">
        <f>'Adaptive costs A'!G168-'Adaptive costs B'!G168</f>
        <v>0</v>
      </c>
      <c r="H168" s="102">
        <f>'Adaptive costs A'!H168-'Adaptive costs B'!H168</f>
        <v>0</v>
      </c>
      <c r="I168" s="102">
        <f>'Adaptive costs A'!I168-'Adaptive costs B'!I168</f>
        <v>0</v>
      </c>
      <c r="J168" s="102">
        <f>'Adaptive costs A'!J168-'Adaptive costs B'!J168</f>
        <v>0</v>
      </c>
      <c r="K168" s="102">
        <f>'Adaptive costs A'!K168-'Adaptive costs B'!K168</f>
        <v>0</v>
      </c>
      <c r="L168" s="58"/>
      <c r="M168" s="4" t="str">
        <f t="shared" si="14"/>
        <v>$million</v>
      </c>
    </row>
    <row r="169" spans="1:16" s="2" customFormat="1" ht="15.5" thickTop="1" x14ac:dyDescent="0.4">
      <c r="A169" s="2" t="s">
        <v>128</v>
      </c>
      <c r="B169" s="2" t="s">
        <v>453</v>
      </c>
      <c r="L169" s="2" t="s">
        <v>145</v>
      </c>
    </row>
    <row r="170" spans="1:16" s="4" customFormat="1" x14ac:dyDescent="0.25">
      <c r="A170" t="str">
        <f t="array" ref="A170:A177">R_CODE</f>
        <v>EU</v>
      </c>
      <c r="B170" s="93">
        <f>'Adaptive costs A'!B170-'Adaptive costs B'!B170</f>
        <v>0</v>
      </c>
      <c r="C170" s="93">
        <f>'Adaptive costs A'!C170-'Adaptive costs B'!C170</f>
        <v>0</v>
      </c>
      <c r="D170" s="93">
        <f>'Adaptive costs A'!D170-'Adaptive costs B'!D170</f>
        <v>0</v>
      </c>
      <c r="E170" s="93">
        <f>'Adaptive costs A'!E170-'Adaptive costs B'!E170</f>
        <v>0</v>
      </c>
      <c r="F170" s="93">
        <f>'Adaptive costs A'!F170-'Adaptive costs B'!F170</f>
        <v>0</v>
      </c>
      <c r="G170" s="93">
        <f>'Adaptive costs A'!G170-'Adaptive costs B'!G170</f>
        <v>0</v>
      </c>
      <c r="H170" s="93">
        <f>'Adaptive costs A'!H170-'Adaptive costs B'!H170</f>
        <v>0</v>
      </c>
      <c r="I170" s="93">
        <f>'Adaptive costs A'!I170-'Adaptive costs B'!I170</f>
        <v>0</v>
      </c>
      <c r="J170" s="93">
        <f>'Adaptive costs A'!J170-'Adaptive costs B'!J170</f>
        <v>0</v>
      </c>
      <c r="K170" s="93">
        <f>'Adaptive costs A'!K170-'Adaptive costs B'!K170</f>
        <v>0</v>
      </c>
      <c r="L170" s="103">
        <f>'Adaptive costs A'!L170-'Adaptive costs B'!L170</f>
        <v>0</v>
      </c>
      <c r="M170" s="4" t="str">
        <f t="shared" ref="M170:M179" si="15">CURRENCY_NAME</f>
        <v>$million</v>
      </c>
    </row>
    <row r="171" spans="1:16" s="4" customFormat="1" x14ac:dyDescent="0.25">
      <c r="A171" t="str">
        <v>US</v>
      </c>
      <c r="B171" s="94">
        <f>'Adaptive costs A'!B171-'Adaptive costs B'!B171</f>
        <v>0</v>
      </c>
      <c r="C171" s="94">
        <f>'Adaptive costs A'!C171-'Adaptive costs B'!C171</f>
        <v>0</v>
      </c>
      <c r="D171" s="94">
        <f>'Adaptive costs A'!D171-'Adaptive costs B'!D171</f>
        <v>0</v>
      </c>
      <c r="E171" s="94">
        <f>'Adaptive costs A'!E171-'Adaptive costs B'!E171</f>
        <v>0</v>
      </c>
      <c r="F171" s="94">
        <f>'Adaptive costs A'!F171-'Adaptive costs B'!F171</f>
        <v>0</v>
      </c>
      <c r="G171" s="94">
        <f>'Adaptive costs A'!G171-'Adaptive costs B'!G171</f>
        <v>0</v>
      </c>
      <c r="H171" s="94">
        <f>'Adaptive costs A'!H171-'Adaptive costs B'!H171</f>
        <v>0</v>
      </c>
      <c r="I171" s="94">
        <f>'Adaptive costs A'!I171-'Adaptive costs B'!I171</f>
        <v>0</v>
      </c>
      <c r="J171" s="94">
        <f>'Adaptive costs A'!J171-'Adaptive costs B'!J171</f>
        <v>0</v>
      </c>
      <c r="K171" s="94">
        <f>'Adaptive costs A'!K171-'Adaptive costs B'!K171</f>
        <v>0</v>
      </c>
      <c r="L171" s="104">
        <f>'Adaptive costs A'!L171-'Adaptive costs B'!L171</f>
        <v>0</v>
      </c>
      <c r="M171" s="4" t="str">
        <f t="shared" si="15"/>
        <v>$million</v>
      </c>
    </row>
    <row r="172" spans="1:16" s="4" customFormat="1" x14ac:dyDescent="0.25">
      <c r="A172" t="str">
        <v>OT</v>
      </c>
      <c r="B172" s="94">
        <f>'Adaptive costs A'!B172-'Adaptive costs B'!B172</f>
        <v>0</v>
      </c>
      <c r="C172" s="94">
        <f>'Adaptive costs A'!C172-'Adaptive costs B'!C172</f>
        <v>0</v>
      </c>
      <c r="D172" s="94">
        <f>'Adaptive costs A'!D172-'Adaptive costs B'!D172</f>
        <v>0</v>
      </c>
      <c r="E172" s="94">
        <f>'Adaptive costs A'!E172-'Adaptive costs B'!E172</f>
        <v>0</v>
      </c>
      <c r="F172" s="94">
        <f>'Adaptive costs A'!F172-'Adaptive costs B'!F172</f>
        <v>0</v>
      </c>
      <c r="G172" s="94">
        <f>'Adaptive costs A'!G172-'Adaptive costs B'!G172</f>
        <v>0</v>
      </c>
      <c r="H172" s="94">
        <f>'Adaptive costs A'!H172-'Adaptive costs B'!H172</f>
        <v>0</v>
      </c>
      <c r="I172" s="94">
        <f>'Adaptive costs A'!I172-'Adaptive costs B'!I172</f>
        <v>0</v>
      </c>
      <c r="J172" s="94">
        <f>'Adaptive costs A'!J172-'Adaptive costs B'!J172</f>
        <v>0</v>
      </c>
      <c r="K172" s="94">
        <f>'Adaptive costs A'!K172-'Adaptive costs B'!K172</f>
        <v>0</v>
      </c>
      <c r="L172" s="104">
        <f>'Adaptive costs A'!L172-'Adaptive costs B'!L172</f>
        <v>0</v>
      </c>
      <c r="M172" s="4" t="str">
        <f t="shared" si="15"/>
        <v>$million</v>
      </c>
    </row>
    <row r="173" spans="1:16" s="4" customFormat="1" x14ac:dyDescent="0.25">
      <c r="A173" t="str">
        <v>EE</v>
      </c>
      <c r="B173" s="94">
        <f>'Adaptive costs A'!B173-'Adaptive costs B'!B173</f>
        <v>0</v>
      </c>
      <c r="C173" s="94">
        <f>'Adaptive costs A'!C173-'Adaptive costs B'!C173</f>
        <v>0</v>
      </c>
      <c r="D173" s="94">
        <f>'Adaptive costs A'!D173-'Adaptive costs B'!D173</f>
        <v>0</v>
      </c>
      <c r="E173" s="94">
        <f>'Adaptive costs A'!E173-'Adaptive costs B'!E173</f>
        <v>0</v>
      </c>
      <c r="F173" s="94">
        <f>'Adaptive costs A'!F173-'Adaptive costs B'!F173</f>
        <v>0</v>
      </c>
      <c r="G173" s="94">
        <f>'Adaptive costs A'!G173-'Adaptive costs B'!G173</f>
        <v>0</v>
      </c>
      <c r="H173" s="94">
        <f>'Adaptive costs A'!H173-'Adaptive costs B'!H173</f>
        <v>0</v>
      </c>
      <c r="I173" s="94">
        <f>'Adaptive costs A'!I173-'Adaptive costs B'!I173</f>
        <v>0</v>
      </c>
      <c r="J173" s="94">
        <f>'Adaptive costs A'!J173-'Adaptive costs B'!J173</f>
        <v>0</v>
      </c>
      <c r="K173" s="94">
        <f>'Adaptive costs A'!K173-'Adaptive costs B'!K173</f>
        <v>0</v>
      </c>
      <c r="L173" s="104">
        <f>'Adaptive costs A'!L173-'Adaptive costs B'!L173</f>
        <v>0</v>
      </c>
      <c r="M173" s="4" t="str">
        <f t="shared" si="15"/>
        <v>$million</v>
      </c>
    </row>
    <row r="174" spans="1:16" s="4" customFormat="1" x14ac:dyDescent="0.25">
      <c r="A174" t="str">
        <v>CA</v>
      </c>
      <c r="B174" s="94">
        <f>'Adaptive costs A'!B174-'Adaptive costs B'!B174</f>
        <v>0</v>
      </c>
      <c r="C174" s="94">
        <f>'Adaptive costs A'!C174-'Adaptive costs B'!C174</f>
        <v>0</v>
      </c>
      <c r="D174" s="94">
        <f>'Adaptive costs A'!D174-'Adaptive costs B'!D174</f>
        <v>0</v>
      </c>
      <c r="E174" s="94">
        <f>'Adaptive costs A'!E174-'Adaptive costs B'!E174</f>
        <v>0</v>
      </c>
      <c r="F174" s="94">
        <f>'Adaptive costs A'!F174-'Adaptive costs B'!F174</f>
        <v>0</v>
      </c>
      <c r="G174" s="94">
        <f>'Adaptive costs A'!G174-'Adaptive costs B'!G174</f>
        <v>0</v>
      </c>
      <c r="H174" s="94">
        <f>'Adaptive costs A'!H174-'Adaptive costs B'!H174</f>
        <v>0</v>
      </c>
      <c r="I174" s="94">
        <f>'Adaptive costs A'!I174-'Adaptive costs B'!I174</f>
        <v>0</v>
      </c>
      <c r="J174" s="94">
        <f>'Adaptive costs A'!J174-'Adaptive costs B'!J174</f>
        <v>0</v>
      </c>
      <c r="K174" s="94">
        <f>'Adaptive costs A'!K174-'Adaptive costs B'!K174</f>
        <v>0</v>
      </c>
      <c r="L174" s="104">
        <f>'Adaptive costs A'!L174-'Adaptive costs B'!L174</f>
        <v>0</v>
      </c>
      <c r="M174" s="4" t="str">
        <f t="shared" si="15"/>
        <v>$million</v>
      </c>
    </row>
    <row r="175" spans="1:16" s="4" customFormat="1" x14ac:dyDescent="0.25">
      <c r="A175" t="str">
        <v>IA</v>
      </c>
      <c r="B175" s="94">
        <f>'Adaptive costs A'!B175-'Adaptive costs B'!B175</f>
        <v>0</v>
      </c>
      <c r="C175" s="94">
        <f>'Adaptive costs A'!C175-'Adaptive costs B'!C175</f>
        <v>0</v>
      </c>
      <c r="D175" s="94">
        <f>'Adaptive costs A'!D175-'Adaptive costs B'!D175</f>
        <v>0</v>
      </c>
      <c r="E175" s="94">
        <f>'Adaptive costs A'!E175-'Adaptive costs B'!E175</f>
        <v>0</v>
      </c>
      <c r="F175" s="94">
        <f>'Adaptive costs A'!F175-'Adaptive costs B'!F175</f>
        <v>0</v>
      </c>
      <c r="G175" s="94">
        <f>'Adaptive costs A'!G175-'Adaptive costs B'!G175</f>
        <v>0</v>
      </c>
      <c r="H175" s="94">
        <f>'Adaptive costs A'!H175-'Adaptive costs B'!H175</f>
        <v>0</v>
      </c>
      <c r="I175" s="94">
        <f>'Adaptive costs A'!I175-'Adaptive costs B'!I175</f>
        <v>0</v>
      </c>
      <c r="J175" s="94">
        <f>'Adaptive costs A'!J175-'Adaptive costs B'!J175</f>
        <v>0</v>
      </c>
      <c r="K175" s="94">
        <f>'Adaptive costs A'!K175-'Adaptive costs B'!K175</f>
        <v>0</v>
      </c>
      <c r="L175" s="104">
        <f>'Adaptive costs A'!L175-'Adaptive costs B'!L175</f>
        <v>0</v>
      </c>
      <c r="M175" s="4" t="str">
        <f t="shared" si="15"/>
        <v>$million</v>
      </c>
    </row>
    <row r="176" spans="1:16" s="4" customFormat="1" x14ac:dyDescent="0.25">
      <c r="A176" t="str">
        <v>AF</v>
      </c>
      <c r="B176" s="94">
        <f>'Adaptive costs A'!B176-'Adaptive costs B'!B176</f>
        <v>0</v>
      </c>
      <c r="C176" s="94">
        <f>'Adaptive costs A'!C176-'Adaptive costs B'!C176</f>
        <v>0</v>
      </c>
      <c r="D176" s="94">
        <f>'Adaptive costs A'!D176-'Adaptive costs B'!D176</f>
        <v>0</v>
      </c>
      <c r="E176" s="94">
        <f>'Adaptive costs A'!E176-'Adaptive costs B'!E176</f>
        <v>0</v>
      </c>
      <c r="F176" s="94">
        <f>'Adaptive costs A'!F176-'Adaptive costs B'!F176</f>
        <v>0</v>
      </c>
      <c r="G176" s="94">
        <f>'Adaptive costs A'!G176-'Adaptive costs B'!G176</f>
        <v>0</v>
      </c>
      <c r="H176" s="94">
        <f>'Adaptive costs A'!H176-'Adaptive costs B'!H176</f>
        <v>0</v>
      </c>
      <c r="I176" s="94">
        <f>'Adaptive costs A'!I176-'Adaptive costs B'!I176</f>
        <v>0</v>
      </c>
      <c r="J176" s="94">
        <f>'Adaptive costs A'!J176-'Adaptive costs B'!J176</f>
        <v>0</v>
      </c>
      <c r="K176" s="94">
        <f>'Adaptive costs A'!K176-'Adaptive costs B'!K176</f>
        <v>0</v>
      </c>
      <c r="L176" s="104">
        <f>'Adaptive costs A'!L176-'Adaptive costs B'!L176</f>
        <v>0</v>
      </c>
      <c r="M176" s="4" t="str">
        <f t="shared" si="15"/>
        <v>$million</v>
      </c>
    </row>
    <row r="177" spans="1:13" s="4" customFormat="1" x14ac:dyDescent="0.25">
      <c r="A177" t="str">
        <v>LA</v>
      </c>
      <c r="B177" s="94">
        <f>'Adaptive costs A'!B177-'Adaptive costs B'!B177</f>
        <v>0</v>
      </c>
      <c r="C177" s="94">
        <f>'Adaptive costs A'!C177-'Adaptive costs B'!C177</f>
        <v>0</v>
      </c>
      <c r="D177" s="94">
        <f>'Adaptive costs A'!D177-'Adaptive costs B'!D177</f>
        <v>0</v>
      </c>
      <c r="E177" s="94">
        <f>'Adaptive costs A'!E177-'Adaptive costs B'!E177</f>
        <v>0</v>
      </c>
      <c r="F177" s="94">
        <f>'Adaptive costs A'!F177-'Adaptive costs B'!F177</f>
        <v>0</v>
      </c>
      <c r="G177" s="94">
        <f>'Adaptive costs A'!G177-'Adaptive costs B'!G177</f>
        <v>0</v>
      </c>
      <c r="H177" s="94">
        <f>'Adaptive costs A'!H177-'Adaptive costs B'!H177</f>
        <v>0</v>
      </c>
      <c r="I177" s="94">
        <f>'Adaptive costs A'!I177-'Adaptive costs B'!I177</f>
        <v>0</v>
      </c>
      <c r="J177" s="94">
        <f>'Adaptive costs A'!J177-'Adaptive costs B'!J177</f>
        <v>0</v>
      </c>
      <c r="K177" s="94">
        <f>'Adaptive costs A'!K177-'Adaptive costs B'!K177</f>
        <v>0</v>
      </c>
      <c r="L177" s="104">
        <f>'Adaptive costs A'!L177-'Adaptive costs B'!L177</f>
        <v>0</v>
      </c>
      <c r="M177" s="4" t="str">
        <f t="shared" si="15"/>
        <v>$million</v>
      </c>
    </row>
    <row r="178" spans="1:13" s="2" customFormat="1" ht="13.5" thickBot="1" x14ac:dyDescent="0.35">
      <c r="A178" s="2" t="s">
        <v>257</v>
      </c>
      <c r="B178" s="102">
        <f>'Adaptive costs A'!B178-'Adaptive costs B'!B178</f>
        <v>0</v>
      </c>
      <c r="C178" s="102">
        <f>'Adaptive costs A'!C178-'Adaptive costs B'!C178</f>
        <v>0</v>
      </c>
      <c r="D178" s="102">
        <f>'Adaptive costs A'!D178-'Adaptive costs B'!D178</f>
        <v>0</v>
      </c>
      <c r="E178" s="102">
        <f>'Adaptive costs A'!E178-'Adaptive costs B'!E178</f>
        <v>0</v>
      </c>
      <c r="F178" s="102">
        <f>'Adaptive costs A'!F178-'Adaptive costs B'!F178</f>
        <v>0</v>
      </c>
      <c r="G178" s="102">
        <f>'Adaptive costs A'!G178-'Adaptive costs B'!G178</f>
        <v>0</v>
      </c>
      <c r="H178" s="102">
        <f>'Adaptive costs A'!H178-'Adaptive costs B'!H178</f>
        <v>0</v>
      </c>
      <c r="I178" s="102">
        <f>'Adaptive costs A'!I178-'Adaptive costs B'!I178</f>
        <v>0</v>
      </c>
      <c r="J178" s="102">
        <f>'Adaptive costs A'!J178-'Adaptive costs B'!J178</f>
        <v>0</v>
      </c>
      <c r="K178" s="102">
        <f>'Adaptive costs A'!K178-'Adaptive costs B'!K178</f>
        <v>0</v>
      </c>
      <c r="L178" s="104">
        <f>'Adaptive costs A'!L178-'Adaptive costs B'!L178</f>
        <v>0</v>
      </c>
      <c r="M178" s="4" t="str">
        <f t="shared" si="15"/>
        <v>$million</v>
      </c>
    </row>
    <row r="179" spans="1:13" ht="14" thickTop="1" thickBot="1" x14ac:dyDescent="0.35">
      <c r="A179" s="2" t="s">
        <v>140</v>
      </c>
      <c r="L179" s="102">
        <f>'Adaptive costs A'!L179-'Adaptive costs B'!L179</f>
        <v>0</v>
      </c>
      <c r="M179" s="4" t="str">
        <f t="shared" si="15"/>
        <v>$million</v>
      </c>
    </row>
    <row r="180" spans="1:13" ht="13" thickTop="1" x14ac:dyDescent="0.25"/>
  </sheetData>
  <pageMargins left="0.75" right="0.75" top="1" bottom="1" header="0.5" footer="0.5"/>
  <pageSetup paperSize="9" orientation="portrait" horizontalDpi="360" verticalDpi="360"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450"/>
  <sheetViews>
    <sheetView topLeftCell="B114" workbookViewId="0">
      <selection activeCell="P127" sqref="P127"/>
    </sheetView>
  </sheetViews>
  <sheetFormatPr defaultRowHeight="12.5" x14ac:dyDescent="0.25"/>
  <cols>
    <col min="1" max="1" width="17.7265625" bestFit="1" customWidth="1"/>
    <col min="2" max="2" width="9.81640625" customWidth="1"/>
    <col min="3" max="3" width="10.1796875" bestFit="1" customWidth="1"/>
    <col min="4" max="4" width="9.81640625" bestFit="1" customWidth="1"/>
    <col min="5" max="6" width="9.7265625" bestFit="1" customWidth="1"/>
    <col min="7" max="10" width="10.7265625" bestFit="1" customWidth="1"/>
    <col min="11" max="12" width="11.54296875" bestFit="1" customWidth="1"/>
    <col min="13" max="13" width="11.54296875" customWidth="1"/>
    <col min="14" max="14" width="8.81640625" bestFit="1" customWidth="1"/>
  </cols>
  <sheetData>
    <row r="1" spans="1:14" ht="13" x14ac:dyDescent="0.3">
      <c r="A1" s="2" t="str">
        <f>MODEL_NAME</f>
        <v>PAGE09</v>
      </c>
      <c r="B1" s="2"/>
      <c r="C1" t="s">
        <v>44</v>
      </c>
      <c r="D1" s="71">
        <f>VERSION</f>
        <v>1.7</v>
      </c>
    </row>
    <row r="2" spans="1:14" s="3" customFormat="1" x14ac:dyDescent="0.25">
      <c r="A2" s="79"/>
      <c r="C2" s="3" t="s">
        <v>53</v>
      </c>
    </row>
    <row r="3" spans="1:14" s="3" customFormat="1" x14ac:dyDescent="0.25">
      <c r="C3" s="79" t="s">
        <v>272</v>
      </c>
    </row>
    <row r="4" spans="1:14" s="3" customFormat="1" x14ac:dyDescent="0.25">
      <c r="C4" s="79" t="s">
        <v>273</v>
      </c>
    </row>
    <row r="5" spans="1:14" x14ac:dyDescent="0.25">
      <c r="A5" s="1" t="str">
        <f t="array" ref="A5:A12">R_CODE</f>
        <v>EU</v>
      </c>
      <c r="C5" s="45">
        <v>1</v>
      </c>
    </row>
    <row r="6" spans="1:14" x14ac:dyDescent="0.25">
      <c r="A6" s="1" t="str">
        <v>US</v>
      </c>
      <c r="C6" s="46">
        <f t="array" ref="C6:C12">WF</f>
        <v>0.8</v>
      </c>
    </row>
    <row r="7" spans="1:14" x14ac:dyDescent="0.25">
      <c r="A7" s="1" t="str">
        <v>OT</v>
      </c>
      <c r="C7" s="46">
        <v>0.8</v>
      </c>
    </row>
    <row r="8" spans="1:14" x14ac:dyDescent="0.25">
      <c r="A8" s="1" t="str">
        <v>EE</v>
      </c>
      <c r="C8" s="46">
        <v>0.4</v>
      </c>
    </row>
    <row r="9" spans="1:14" x14ac:dyDescent="0.25">
      <c r="A9" s="1" t="str">
        <v>CA</v>
      </c>
      <c r="C9" s="46">
        <v>0.8</v>
      </c>
    </row>
    <row r="10" spans="1:14" x14ac:dyDescent="0.25">
      <c r="A10" s="1" t="str">
        <v>IA</v>
      </c>
      <c r="C10" s="46">
        <v>0.8</v>
      </c>
    </row>
    <row r="11" spans="1:14" x14ac:dyDescent="0.25">
      <c r="A11" s="1" t="str">
        <v>AF</v>
      </c>
      <c r="C11" s="46">
        <v>0.6</v>
      </c>
    </row>
    <row r="12" spans="1:14" ht="13" thickBot="1" x14ac:dyDescent="0.3">
      <c r="A12" s="1" t="str">
        <v>LA</v>
      </c>
      <c r="C12" s="47">
        <v>0.6</v>
      </c>
    </row>
    <row r="13" spans="1:14" ht="13.5" thickTop="1" thickBot="1" x14ac:dyDescent="0.3">
      <c r="A13" t="s">
        <v>316</v>
      </c>
      <c r="C13" s="47">
        <f>ISAT*(1-SAVE/100)</f>
        <v>28.3333333305</v>
      </c>
      <c r="D13" t="s">
        <v>168</v>
      </c>
    </row>
    <row r="14" spans="1:14" ht="13" thickTop="1" x14ac:dyDescent="0.25"/>
    <row r="15" spans="1:14" x14ac:dyDescent="0.25">
      <c r="B15">
        <f>Y_0</f>
        <v>2000</v>
      </c>
      <c r="C15">
        <f t="array" ref="C15:L15">Y</f>
        <v>2010</v>
      </c>
      <c r="D15">
        <v>2020</v>
      </c>
      <c r="E15">
        <v>2030</v>
      </c>
      <c r="F15">
        <v>2040</v>
      </c>
      <c r="G15">
        <v>2050</v>
      </c>
      <c r="H15">
        <v>2060</v>
      </c>
      <c r="I15">
        <v>2080</v>
      </c>
      <c r="J15">
        <v>2100</v>
      </c>
      <c r="K15">
        <v>2200</v>
      </c>
      <c r="L15">
        <v>2300</v>
      </c>
    </row>
    <row r="16" spans="1:14" s="4" customFormat="1" x14ac:dyDescent="0.25">
      <c r="A16" s="4" t="s">
        <v>71</v>
      </c>
      <c r="C16" s="20">
        <f t="array" ref="C16:L16">YP</f>
        <v>10</v>
      </c>
      <c r="D16" s="20">
        <v>10</v>
      </c>
      <c r="E16" s="20">
        <v>10</v>
      </c>
      <c r="F16" s="20">
        <v>10</v>
      </c>
      <c r="G16" s="20">
        <v>10</v>
      </c>
      <c r="H16" s="20">
        <v>10</v>
      </c>
      <c r="I16" s="20">
        <v>20</v>
      </c>
      <c r="J16" s="20">
        <v>20</v>
      </c>
      <c r="K16" s="20">
        <v>100</v>
      </c>
      <c r="L16" s="20">
        <v>100</v>
      </c>
      <c r="N16" s="4" t="s">
        <v>47</v>
      </c>
    </row>
    <row r="17" spans="1:14" s="4" customFormat="1" x14ac:dyDescent="0.25">
      <c r="A17" s="4" t="s">
        <v>113</v>
      </c>
      <c r="C17" s="22">
        <f t="array" ref="C17:K17">(Y+Y_NOT_1)/2</f>
        <v>2015</v>
      </c>
      <c r="D17" s="22">
        <v>2025</v>
      </c>
      <c r="E17" s="22">
        <v>2035</v>
      </c>
      <c r="F17" s="22">
        <v>2045</v>
      </c>
      <c r="G17" s="22">
        <v>2055</v>
      </c>
      <c r="H17" s="22">
        <v>2070</v>
      </c>
      <c r="I17" s="22">
        <v>2090</v>
      </c>
      <c r="J17" s="22">
        <v>2150</v>
      </c>
      <c r="K17" s="22">
        <v>2250</v>
      </c>
      <c r="L17" s="22">
        <f>Y_LAST</f>
        <v>2300</v>
      </c>
    </row>
    <row r="18" spans="1:14" s="4" customFormat="1" x14ac:dyDescent="0.25">
      <c r="A18" s="4" t="s">
        <v>114</v>
      </c>
      <c r="C18" s="22">
        <f>Y_0</f>
        <v>2000</v>
      </c>
      <c r="D18" s="22">
        <f t="array" ref="D18:L18">(Y+Y_NOT_1)/2</f>
        <v>2015</v>
      </c>
      <c r="E18" s="22">
        <v>2025</v>
      </c>
      <c r="F18" s="22">
        <v>2035</v>
      </c>
      <c r="G18" s="22">
        <v>2045</v>
      </c>
      <c r="H18" s="22">
        <v>2055</v>
      </c>
      <c r="I18" s="22">
        <v>2070</v>
      </c>
      <c r="J18" s="22">
        <v>2090</v>
      </c>
      <c r="K18" s="22">
        <v>2150</v>
      </c>
      <c r="L18" s="22">
        <v>2250</v>
      </c>
    </row>
    <row r="19" spans="1:14" s="4" customFormat="1" ht="13" thickBot="1" x14ac:dyDescent="0.3">
      <c r="A19" s="4" t="s">
        <v>112</v>
      </c>
      <c r="C19" s="49">
        <f t="array" ref="C19:L19">Y_HI-Y_LO</f>
        <v>15</v>
      </c>
      <c r="D19" s="49">
        <v>10</v>
      </c>
      <c r="E19" s="49">
        <v>10</v>
      </c>
      <c r="F19" s="49">
        <v>10</v>
      </c>
      <c r="G19" s="49">
        <v>10</v>
      </c>
      <c r="H19" s="49">
        <v>15</v>
      </c>
      <c r="I19" s="49">
        <v>20</v>
      </c>
      <c r="J19" s="49">
        <v>60</v>
      </c>
      <c r="K19" s="49">
        <v>100</v>
      </c>
      <c r="L19" s="49">
        <v>50</v>
      </c>
      <c r="N19" s="4" t="s">
        <v>47</v>
      </c>
    </row>
    <row r="20" spans="1:14" s="4" customFormat="1" ht="13" thickTop="1" x14ac:dyDescent="0.25"/>
    <row r="21" spans="1:14" ht="13" x14ac:dyDescent="0.3">
      <c r="A21" s="2" t="s">
        <v>106</v>
      </c>
      <c r="B21" s="2"/>
    </row>
    <row r="22" spans="1:14" ht="15.5" x14ac:dyDescent="0.4">
      <c r="C22" s="3" t="s">
        <v>253</v>
      </c>
      <c r="D22" s="9"/>
      <c r="E22" s="9"/>
      <c r="F22" s="9"/>
      <c r="G22" s="9"/>
      <c r="H22" s="9"/>
      <c r="I22" s="9"/>
      <c r="J22" s="9"/>
      <c r="K22" s="9"/>
      <c r="L22" s="9"/>
    </row>
    <row r="23" spans="1:14" x14ac:dyDescent="0.25">
      <c r="A23" t="str">
        <f t="array" ref="A23:A30">R_CODE&amp;" sea level"</f>
        <v>EU sea level</v>
      </c>
      <c r="C23" s="21">
        <f t="array" ref="C23:L30">IF(Y-pstart_s_a&lt;0,0,IF(((Y-pstart_s_a)/pyears_s_a)&lt;1,((Y-pstart_s_a)/pyears_s_a)*plateau_s_a,plateau_s_a))</f>
        <v>0.125</v>
      </c>
      <c r="D23" s="21">
        <v>0.25</v>
      </c>
      <c r="E23" s="21">
        <v>0.25</v>
      </c>
      <c r="F23" s="21">
        <v>0.25</v>
      </c>
      <c r="G23" s="21">
        <v>0.25</v>
      </c>
      <c r="H23" s="21">
        <v>0.25</v>
      </c>
      <c r="I23" s="21">
        <v>0.25</v>
      </c>
      <c r="J23" s="21">
        <v>0.25</v>
      </c>
      <c r="K23" s="21">
        <v>0.25</v>
      </c>
      <c r="L23" s="21">
        <v>0.25</v>
      </c>
      <c r="N23" s="84" t="s">
        <v>228</v>
      </c>
    </row>
    <row r="24" spans="1:14" x14ac:dyDescent="0.25">
      <c r="A24" t="str">
        <v>US sea level</v>
      </c>
      <c r="C24" s="21">
        <v>0.125</v>
      </c>
      <c r="D24" s="21">
        <v>0.25</v>
      </c>
      <c r="E24" s="21">
        <v>0.25</v>
      </c>
      <c r="F24" s="21">
        <v>0.25</v>
      </c>
      <c r="G24" s="21">
        <v>0.25</v>
      </c>
      <c r="H24" s="21">
        <v>0.25</v>
      </c>
      <c r="I24" s="21">
        <v>0.25</v>
      </c>
      <c r="J24" s="21">
        <v>0.25</v>
      </c>
      <c r="K24" s="21">
        <v>0.25</v>
      </c>
      <c r="L24" s="21">
        <v>0.25</v>
      </c>
      <c r="N24" s="84" t="s">
        <v>228</v>
      </c>
    </row>
    <row r="25" spans="1:14" x14ac:dyDescent="0.25">
      <c r="A25" t="str">
        <v>OT sea level</v>
      </c>
      <c r="C25" s="21">
        <v>0.125</v>
      </c>
      <c r="D25" s="21">
        <v>0.25</v>
      </c>
      <c r="E25" s="21">
        <v>0.25</v>
      </c>
      <c r="F25" s="21">
        <v>0.25</v>
      </c>
      <c r="G25" s="21">
        <v>0.25</v>
      </c>
      <c r="H25" s="21">
        <v>0.25</v>
      </c>
      <c r="I25" s="21">
        <v>0.25</v>
      </c>
      <c r="J25" s="21">
        <v>0.25</v>
      </c>
      <c r="K25" s="21">
        <v>0.25</v>
      </c>
      <c r="L25" s="21">
        <v>0.25</v>
      </c>
      <c r="N25" s="84" t="s">
        <v>228</v>
      </c>
    </row>
    <row r="26" spans="1:14" x14ac:dyDescent="0.25">
      <c r="A26" t="str">
        <v>EE sea level</v>
      </c>
      <c r="C26" s="21">
        <v>0.125</v>
      </c>
      <c r="D26" s="21">
        <v>0.25</v>
      </c>
      <c r="E26" s="21">
        <v>0.25</v>
      </c>
      <c r="F26" s="21">
        <v>0.25</v>
      </c>
      <c r="G26" s="21">
        <v>0.25</v>
      </c>
      <c r="H26" s="21">
        <v>0.25</v>
      </c>
      <c r="I26" s="21">
        <v>0.25</v>
      </c>
      <c r="J26" s="21">
        <v>0.25</v>
      </c>
      <c r="K26" s="21">
        <v>0.25</v>
      </c>
      <c r="L26" s="21">
        <v>0.25</v>
      </c>
      <c r="N26" s="84" t="s">
        <v>228</v>
      </c>
    </row>
    <row r="27" spans="1:14" x14ac:dyDescent="0.25">
      <c r="A27" t="str">
        <v>CA sea level</v>
      </c>
      <c r="C27" s="21">
        <v>6.6666666666666666E-2</v>
      </c>
      <c r="D27" s="21">
        <v>0.13333333333333333</v>
      </c>
      <c r="E27" s="21">
        <v>0.2</v>
      </c>
      <c r="F27" s="21">
        <v>0.2</v>
      </c>
      <c r="G27" s="21">
        <v>0.2</v>
      </c>
      <c r="H27" s="21">
        <v>0.2</v>
      </c>
      <c r="I27" s="21">
        <v>0.2</v>
      </c>
      <c r="J27" s="21">
        <v>0.2</v>
      </c>
      <c r="K27" s="21">
        <v>0.2</v>
      </c>
      <c r="L27" s="21">
        <v>0.2</v>
      </c>
      <c r="N27" s="84" t="s">
        <v>228</v>
      </c>
    </row>
    <row r="28" spans="1:14" x14ac:dyDescent="0.25">
      <c r="A28" t="str">
        <v>IA sea level</v>
      </c>
      <c r="C28" s="21">
        <v>6.6666666666666666E-2</v>
      </c>
      <c r="D28" s="21">
        <v>0.13333333333333333</v>
      </c>
      <c r="E28" s="21">
        <v>0.2</v>
      </c>
      <c r="F28" s="21">
        <v>0.2</v>
      </c>
      <c r="G28" s="21">
        <v>0.2</v>
      </c>
      <c r="H28" s="21">
        <v>0.2</v>
      </c>
      <c r="I28" s="21">
        <v>0.2</v>
      </c>
      <c r="J28" s="21">
        <v>0.2</v>
      </c>
      <c r="K28" s="21">
        <v>0.2</v>
      </c>
      <c r="L28" s="21">
        <v>0.2</v>
      </c>
      <c r="N28" s="84" t="s">
        <v>228</v>
      </c>
    </row>
    <row r="29" spans="1:14" x14ac:dyDescent="0.25">
      <c r="A29" t="str">
        <v>AF sea level</v>
      </c>
      <c r="C29" s="21">
        <v>6.6666666666666666E-2</v>
      </c>
      <c r="D29" s="21">
        <v>0.13333333333333333</v>
      </c>
      <c r="E29" s="21">
        <v>0.2</v>
      </c>
      <c r="F29" s="21">
        <v>0.2</v>
      </c>
      <c r="G29" s="21">
        <v>0.2</v>
      </c>
      <c r="H29" s="21">
        <v>0.2</v>
      </c>
      <c r="I29" s="21">
        <v>0.2</v>
      </c>
      <c r="J29" s="21">
        <v>0.2</v>
      </c>
      <c r="K29" s="21">
        <v>0.2</v>
      </c>
      <c r="L29" s="21">
        <v>0.2</v>
      </c>
      <c r="N29" s="84" t="s">
        <v>228</v>
      </c>
    </row>
    <row r="30" spans="1:14" x14ac:dyDescent="0.25">
      <c r="A30" t="str">
        <v>LA sea level</v>
      </c>
      <c r="C30" s="21">
        <v>6.6666666666666666E-2</v>
      </c>
      <c r="D30" s="21">
        <v>0.13333333333333333</v>
      </c>
      <c r="E30" s="21">
        <v>0.2</v>
      </c>
      <c r="F30" s="21">
        <v>0.2</v>
      </c>
      <c r="G30" s="21">
        <v>0.2</v>
      </c>
      <c r="H30" s="21">
        <v>0.2</v>
      </c>
      <c r="I30" s="21">
        <v>0.2</v>
      </c>
      <c r="J30" s="21">
        <v>0.2</v>
      </c>
      <c r="K30" s="21">
        <v>0.2</v>
      </c>
      <c r="L30" s="21">
        <v>0.2</v>
      </c>
      <c r="N30" s="84" t="s">
        <v>228</v>
      </c>
    </row>
    <row r="31" spans="1:14" ht="15.5" x14ac:dyDescent="0.4">
      <c r="C31" t="s">
        <v>107</v>
      </c>
      <c r="D31" s="9"/>
      <c r="E31" s="9"/>
      <c r="F31" s="9"/>
      <c r="G31" s="9"/>
      <c r="H31" s="9"/>
      <c r="I31" s="9"/>
      <c r="J31" s="9"/>
      <c r="K31" s="9"/>
      <c r="L31" s="9"/>
    </row>
    <row r="32" spans="1:14" x14ac:dyDescent="0.25">
      <c r="A32" t="str">
        <f t="array" ref="A32:A39">R_CODE&amp;" "&amp;I_1_NAME</f>
        <v>EU Economic</v>
      </c>
      <c r="C32" s="21">
        <f t="array" ref="C32:L39">IF(Y-pstart_1_a&lt;0,0,IF(((Y-pstart_1_a)/pyears_1_a)&lt;1,((Y-pstart_1_a)/pyears_1_a)*plateau_1_a,plateau_1_a))</f>
        <v>0.5</v>
      </c>
      <c r="D32" s="21">
        <v>1</v>
      </c>
      <c r="E32" s="21">
        <v>1</v>
      </c>
      <c r="F32" s="21">
        <v>1</v>
      </c>
      <c r="G32" s="21">
        <v>1</v>
      </c>
      <c r="H32" s="21">
        <v>1</v>
      </c>
      <c r="I32" s="21">
        <v>1</v>
      </c>
      <c r="J32" s="21">
        <v>1</v>
      </c>
      <c r="K32" s="21">
        <v>1</v>
      </c>
      <c r="L32" s="21">
        <v>1</v>
      </c>
      <c r="N32" s="84" t="s">
        <v>49</v>
      </c>
    </row>
    <row r="33" spans="1:14" x14ac:dyDescent="0.25">
      <c r="A33" t="str">
        <v>US Economic</v>
      </c>
      <c r="C33" s="21">
        <v>0.5</v>
      </c>
      <c r="D33" s="21">
        <v>1</v>
      </c>
      <c r="E33" s="21">
        <v>1</v>
      </c>
      <c r="F33" s="21">
        <v>1</v>
      </c>
      <c r="G33" s="21">
        <v>1</v>
      </c>
      <c r="H33" s="21">
        <v>1</v>
      </c>
      <c r="I33" s="21">
        <v>1</v>
      </c>
      <c r="J33" s="21">
        <v>1</v>
      </c>
      <c r="K33" s="21">
        <v>1</v>
      </c>
      <c r="L33" s="21">
        <v>1</v>
      </c>
      <c r="N33" s="84" t="s">
        <v>49</v>
      </c>
    </row>
    <row r="34" spans="1:14" x14ac:dyDescent="0.25">
      <c r="A34" t="str">
        <v>OT Economic</v>
      </c>
      <c r="C34" s="21">
        <v>0.5</v>
      </c>
      <c r="D34" s="21">
        <v>1</v>
      </c>
      <c r="E34" s="21">
        <v>1</v>
      </c>
      <c r="F34" s="21">
        <v>1</v>
      </c>
      <c r="G34" s="21">
        <v>1</v>
      </c>
      <c r="H34" s="21">
        <v>1</v>
      </c>
      <c r="I34" s="21">
        <v>1</v>
      </c>
      <c r="J34" s="21">
        <v>1</v>
      </c>
      <c r="K34" s="21">
        <v>1</v>
      </c>
      <c r="L34" s="21">
        <v>1</v>
      </c>
      <c r="N34" s="84" t="s">
        <v>49</v>
      </c>
    </row>
    <row r="35" spans="1:14" x14ac:dyDescent="0.25">
      <c r="A35" t="str">
        <v>EE Economic</v>
      </c>
      <c r="C35" s="21">
        <v>0.5</v>
      </c>
      <c r="D35" s="21">
        <v>1</v>
      </c>
      <c r="E35" s="21">
        <v>1</v>
      </c>
      <c r="F35" s="21">
        <v>1</v>
      </c>
      <c r="G35" s="21">
        <v>1</v>
      </c>
      <c r="H35" s="21">
        <v>1</v>
      </c>
      <c r="I35" s="21">
        <v>1</v>
      </c>
      <c r="J35" s="21">
        <v>1</v>
      </c>
      <c r="K35" s="21">
        <v>1</v>
      </c>
      <c r="L35" s="21">
        <v>1</v>
      </c>
      <c r="N35" s="84" t="s">
        <v>49</v>
      </c>
    </row>
    <row r="36" spans="1:14" x14ac:dyDescent="0.25">
      <c r="A36" t="str">
        <v>CA Economic</v>
      </c>
      <c r="C36" s="21">
        <v>0</v>
      </c>
      <c r="D36" s="21">
        <v>0.33333333333333331</v>
      </c>
      <c r="E36" s="21">
        <v>0.66666666666666663</v>
      </c>
      <c r="F36" s="21">
        <v>1</v>
      </c>
      <c r="G36" s="21">
        <v>1</v>
      </c>
      <c r="H36" s="21">
        <v>1</v>
      </c>
      <c r="I36" s="21">
        <v>1</v>
      </c>
      <c r="J36" s="21">
        <v>1</v>
      </c>
      <c r="K36" s="21">
        <v>1</v>
      </c>
      <c r="L36" s="21">
        <v>1</v>
      </c>
      <c r="N36" s="84" t="s">
        <v>49</v>
      </c>
    </row>
    <row r="37" spans="1:14" x14ac:dyDescent="0.25">
      <c r="A37" t="str">
        <v>IA Economic</v>
      </c>
      <c r="C37" s="21">
        <v>0</v>
      </c>
      <c r="D37" s="21">
        <v>0.33333333333333331</v>
      </c>
      <c r="E37" s="21">
        <v>0.66666666666666663</v>
      </c>
      <c r="F37" s="21">
        <v>1</v>
      </c>
      <c r="G37" s="21">
        <v>1</v>
      </c>
      <c r="H37" s="21">
        <v>1</v>
      </c>
      <c r="I37" s="21">
        <v>1</v>
      </c>
      <c r="J37" s="21">
        <v>1</v>
      </c>
      <c r="K37" s="21">
        <v>1</v>
      </c>
      <c r="L37" s="21">
        <v>1</v>
      </c>
      <c r="N37" s="84" t="s">
        <v>49</v>
      </c>
    </row>
    <row r="38" spans="1:14" x14ac:dyDescent="0.25">
      <c r="A38" t="str">
        <v>AF Economic</v>
      </c>
      <c r="C38" s="21">
        <v>0</v>
      </c>
      <c r="D38" s="21">
        <v>0.33333333333333331</v>
      </c>
      <c r="E38" s="21">
        <v>0.66666666666666663</v>
      </c>
      <c r="F38" s="21">
        <v>1</v>
      </c>
      <c r="G38" s="21">
        <v>1</v>
      </c>
      <c r="H38" s="21">
        <v>1</v>
      </c>
      <c r="I38" s="21">
        <v>1</v>
      </c>
      <c r="J38" s="21">
        <v>1</v>
      </c>
      <c r="K38" s="21">
        <v>1</v>
      </c>
      <c r="L38" s="21">
        <v>1</v>
      </c>
      <c r="N38" s="84" t="s">
        <v>49</v>
      </c>
    </row>
    <row r="39" spans="1:14" x14ac:dyDescent="0.25">
      <c r="A39" t="str">
        <v>LA Economic</v>
      </c>
      <c r="C39" s="21">
        <v>0</v>
      </c>
      <c r="D39" s="21">
        <v>0.33333333333333331</v>
      </c>
      <c r="E39" s="21">
        <v>0.66666666666666663</v>
      </c>
      <c r="F39" s="21">
        <v>1</v>
      </c>
      <c r="G39" s="21">
        <v>1</v>
      </c>
      <c r="H39" s="21">
        <v>1</v>
      </c>
      <c r="I39" s="21">
        <v>1</v>
      </c>
      <c r="J39" s="21">
        <v>1</v>
      </c>
      <c r="K39" s="21">
        <v>1</v>
      </c>
      <c r="L39" s="21">
        <v>1</v>
      </c>
      <c r="N39" s="84" t="s">
        <v>49</v>
      </c>
    </row>
    <row r="40" spans="1:14" ht="15.5" x14ac:dyDescent="0.4">
      <c r="C40" t="s">
        <v>110</v>
      </c>
      <c r="D40" s="9"/>
      <c r="E40" s="9"/>
      <c r="F40" s="9"/>
      <c r="G40" s="9"/>
      <c r="H40" s="9"/>
      <c r="I40" s="9"/>
      <c r="J40" s="9"/>
      <c r="K40" s="9"/>
      <c r="L40" s="9"/>
      <c r="N40" s="1"/>
    </row>
    <row r="41" spans="1:14" x14ac:dyDescent="0.25">
      <c r="A41" t="str">
        <f t="array" ref="A41:A48">R_CODE&amp;" "&amp;I_2_NAME</f>
        <v>EU Non-econ</v>
      </c>
      <c r="C41" s="21">
        <f t="array" ref="C41:L48">IF(Y-pstart_2_a&lt;0,0,IF(((Y-pstart_2_a)/pyears_2_a)&lt;1,((Y-pstart_2_a)/pyears_2_a)*plateau_2_a,plateau_2_a))</f>
        <v>0</v>
      </c>
      <c r="D41" s="21">
        <v>0</v>
      </c>
      <c r="E41" s="21">
        <v>0</v>
      </c>
      <c r="F41" s="21">
        <v>0</v>
      </c>
      <c r="G41" s="21">
        <v>0</v>
      </c>
      <c r="H41" s="21">
        <v>0</v>
      </c>
      <c r="I41" s="21">
        <v>0</v>
      </c>
      <c r="J41" s="21">
        <v>0</v>
      </c>
      <c r="K41" s="21">
        <v>0</v>
      </c>
      <c r="L41" s="21">
        <v>0</v>
      </c>
      <c r="N41" s="84" t="s">
        <v>49</v>
      </c>
    </row>
    <row r="42" spans="1:14" x14ac:dyDescent="0.25">
      <c r="A42" t="str">
        <v>US Non-econ</v>
      </c>
      <c r="C42" s="21">
        <v>0</v>
      </c>
      <c r="D42" s="21">
        <v>0</v>
      </c>
      <c r="E42" s="21">
        <v>0</v>
      </c>
      <c r="F42" s="21">
        <v>0</v>
      </c>
      <c r="G42" s="21">
        <v>0</v>
      </c>
      <c r="H42" s="21">
        <v>0</v>
      </c>
      <c r="I42" s="21">
        <v>0</v>
      </c>
      <c r="J42" s="21">
        <v>0</v>
      </c>
      <c r="K42" s="21">
        <v>0</v>
      </c>
      <c r="L42" s="21">
        <v>0</v>
      </c>
      <c r="N42" s="84" t="s">
        <v>49</v>
      </c>
    </row>
    <row r="43" spans="1:14" x14ac:dyDescent="0.25">
      <c r="A43" t="str">
        <v>OT Non-econ</v>
      </c>
      <c r="C43" s="21">
        <v>0</v>
      </c>
      <c r="D43" s="21">
        <v>0</v>
      </c>
      <c r="E43" s="21">
        <v>0</v>
      </c>
      <c r="F43" s="21">
        <v>0</v>
      </c>
      <c r="G43" s="21">
        <v>0</v>
      </c>
      <c r="H43" s="21">
        <v>0</v>
      </c>
      <c r="I43" s="21">
        <v>0</v>
      </c>
      <c r="J43" s="21">
        <v>0</v>
      </c>
      <c r="K43" s="21">
        <v>0</v>
      </c>
      <c r="L43" s="21">
        <v>0</v>
      </c>
      <c r="N43" s="84" t="s">
        <v>49</v>
      </c>
    </row>
    <row r="44" spans="1:14" x14ac:dyDescent="0.25">
      <c r="A44" t="str">
        <v>EE Non-econ</v>
      </c>
      <c r="C44" s="21">
        <v>0</v>
      </c>
      <c r="D44" s="21">
        <v>0</v>
      </c>
      <c r="E44" s="21">
        <v>0</v>
      </c>
      <c r="F44" s="21">
        <v>0</v>
      </c>
      <c r="G44" s="21">
        <v>0</v>
      </c>
      <c r="H44" s="21">
        <v>0</v>
      </c>
      <c r="I44" s="21">
        <v>0</v>
      </c>
      <c r="J44" s="21">
        <v>0</v>
      </c>
      <c r="K44" s="21">
        <v>0</v>
      </c>
      <c r="L44" s="21">
        <v>0</v>
      </c>
      <c r="N44" s="84" t="s">
        <v>49</v>
      </c>
    </row>
    <row r="45" spans="1:14" x14ac:dyDescent="0.25">
      <c r="A45" t="str">
        <v>CA Non-econ</v>
      </c>
      <c r="C45" s="21">
        <v>0</v>
      </c>
      <c r="D45" s="21">
        <v>0</v>
      </c>
      <c r="E45" s="21">
        <v>0</v>
      </c>
      <c r="F45" s="21">
        <v>0</v>
      </c>
      <c r="G45" s="21">
        <v>0</v>
      </c>
      <c r="H45" s="21">
        <v>0</v>
      </c>
      <c r="I45" s="21">
        <v>0</v>
      </c>
      <c r="J45" s="21">
        <v>0</v>
      </c>
      <c r="K45" s="21">
        <v>0</v>
      </c>
      <c r="L45" s="21">
        <v>0</v>
      </c>
      <c r="N45" s="84" t="s">
        <v>49</v>
      </c>
    </row>
    <row r="46" spans="1:14" x14ac:dyDescent="0.25">
      <c r="A46" t="str">
        <v>IA Non-econ</v>
      </c>
      <c r="C46" s="21">
        <v>0</v>
      </c>
      <c r="D46" s="21">
        <v>0</v>
      </c>
      <c r="E46" s="21">
        <v>0</v>
      </c>
      <c r="F46" s="21">
        <v>0</v>
      </c>
      <c r="G46" s="21">
        <v>0</v>
      </c>
      <c r="H46" s="21">
        <v>0</v>
      </c>
      <c r="I46" s="21">
        <v>0</v>
      </c>
      <c r="J46" s="21">
        <v>0</v>
      </c>
      <c r="K46" s="21">
        <v>0</v>
      </c>
      <c r="L46" s="21">
        <v>0</v>
      </c>
      <c r="N46" s="84" t="s">
        <v>49</v>
      </c>
    </row>
    <row r="47" spans="1:14" x14ac:dyDescent="0.25">
      <c r="A47" t="str">
        <v>AF Non-econ</v>
      </c>
      <c r="C47" s="21">
        <v>0</v>
      </c>
      <c r="D47" s="21">
        <v>0</v>
      </c>
      <c r="E47" s="21">
        <v>0</v>
      </c>
      <c r="F47" s="21">
        <v>0</v>
      </c>
      <c r="G47" s="21">
        <v>0</v>
      </c>
      <c r="H47" s="21">
        <v>0</v>
      </c>
      <c r="I47" s="21">
        <v>0</v>
      </c>
      <c r="J47" s="21">
        <v>0</v>
      </c>
      <c r="K47" s="21">
        <v>0</v>
      </c>
      <c r="L47" s="21">
        <v>0</v>
      </c>
      <c r="N47" s="84" t="s">
        <v>49</v>
      </c>
    </row>
    <row r="48" spans="1:14" x14ac:dyDescent="0.25">
      <c r="A48" t="str">
        <v>LA Non-econ</v>
      </c>
      <c r="C48" s="21">
        <v>0</v>
      </c>
      <c r="D48" s="21">
        <v>0</v>
      </c>
      <c r="E48" s="21">
        <v>0</v>
      </c>
      <c r="F48" s="21">
        <v>0</v>
      </c>
      <c r="G48" s="21">
        <v>0</v>
      </c>
      <c r="H48" s="21">
        <v>0</v>
      </c>
      <c r="I48" s="21">
        <v>0</v>
      </c>
      <c r="J48" s="21">
        <v>0</v>
      </c>
      <c r="K48" s="21">
        <v>0</v>
      </c>
      <c r="L48" s="21">
        <v>0</v>
      </c>
      <c r="N48" s="84" t="s">
        <v>49</v>
      </c>
    </row>
    <row r="49" spans="1:14" ht="15.5" x14ac:dyDescent="0.4">
      <c r="C49" s="89" t="s">
        <v>286</v>
      </c>
      <c r="D49" s="9"/>
      <c r="E49" s="9"/>
      <c r="F49" s="9"/>
      <c r="G49" s="9"/>
      <c r="H49" s="9"/>
      <c r="I49" s="9"/>
      <c r="J49" s="9"/>
      <c r="K49" s="9"/>
      <c r="L49" s="9"/>
    </row>
    <row r="50" spans="1:14" x14ac:dyDescent="0.25">
      <c r="A50" t="str">
        <f t="array" ref="A50:A57">R_CODE&amp;" sea level"</f>
        <v>EU sea level</v>
      </c>
      <c r="C50" s="21">
        <f t="array" ref="C50:L57">IF(Y-istart_s_a&lt;0,0,IF(((Y-istart_s_a)/iyears_s_a)&lt;1,((Y-istart_s_a)/iyears_s_a)*impred_s_a,impred_s_a))</f>
        <v>0</v>
      </c>
      <c r="D50" s="21">
        <v>0</v>
      </c>
      <c r="E50" s="21">
        <v>12.5</v>
      </c>
      <c r="F50" s="21">
        <v>25</v>
      </c>
      <c r="G50" s="21">
        <v>37.5</v>
      </c>
      <c r="H50" s="21">
        <v>50</v>
      </c>
      <c r="I50" s="21">
        <v>50</v>
      </c>
      <c r="J50" s="21">
        <v>50</v>
      </c>
      <c r="K50" s="21">
        <v>50</v>
      </c>
      <c r="L50" s="21">
        <v>50</v>
      </c>
      <c r="N50" s="84" t="s">
        <v>46</v>
      </c>
    </row>
    <row r="51" spans="1:14" x14ac:dyDescent="0.25">
      <c r="A51" t="str">
        <v>US sea level</v>
      </c>
      <c r="C51" s="21">
        <v>0</v>
      </c>
      <c r="D51" s="21">
        <v>0</v>
      </c>
      <c r="E51" s="21">
        <v>12.5</v>
      </c>
      <c r="F51" s="21">
        <v>25</v>
      </c>
      <c r="G51" s="21">
        <v>37.5</v>
      </c>
      <c r="H51" s="21">
        <v>50</v>
      </c>
      <c r="I51" s="21">
        <v>50</v>
      </c>
      <c r="J51" s="21">
        <v>50</v>
      </c>
      <c r="K51" s="21">
        <v>50</v>
      </c>
      <c r="L51" s="21">
        <v>50</v>
      </c>
      <c r="N51" s="84" t="s">
        <v>46</v>
      </c>
    </row>
    <row r="52" spans="1:14" x14ac:dyDescent="0.25">
      <c r="A52" t="str">
        <v>OT sea level</v>
      </c>
      <c r="C52" s="21">
        <v>0</v>
      </c>
      <c r="D52" s="21">
        <v>0</v>
      </c>
      <c r="E52" s="21">
        <v>12.5</v>
      </c>
      <c r="F52" s="21">
        <v>25</v>
      </c>
      <c r="G52" s="21">
        <v>37.5</v>
      </c>
      <c r="H52" s="21">
        <v>50</v>
      </c>
      <c r="I52" s="21">
        <v>50</v>
      </c>
      <c r="J52" s="21">
        <v>50</v>
      </c>
      <c r="K52" s="21">
        <v>50</v>
      </c>
      <c r="L52" s="21">
        <v>50</v>
      </c>
      <c r="N52" s="84" t="s">
        <v>46</v>
      </c>
    </row>
    <row r="53" spans="1:14" x14ac:dyDescent="0.25">
      <c r="A53" t="str">
        <v>EE sea level</v>
      </c>
      <c r="C53" s="21">
        <v>0</v>
      </c>
      <c r="D53" s="21">
        <v>0</v>
      </c>
      <c r="E53" s="21">
        <v>12.5</v>
      </c>
      <c r="F53" s="21">
        <v>25</v>
      </c>
      <c r="G53" s="21">
        <v>37.5</v>
      </c>
      <c r="H53" s="21">
        <v>50</v>
      </c>
      <c r="I53" s="21">
        <v>50</v>
      </c>
      <c r="J53" s="21">
        <v>50</v>
      </c>
      <c r="K53" s="21">
        <v>50</v>
      </c>
      <c r="L53" s="21">
        <v>50</v>
      </c>
      <c r="N53" s="84" t="s">
        <v>46</v>
      </c>
    </row>
    <row r="54" spans="1:14" x14ac:dyDescent="0.25">
      <c r="A54" t="str">
        <v>CA sea level</v>
      </c>
      <c r="C54" s="21">
        <v>0</v>
      </c>
      <c r="D54" s="21">
        <v>0</v>
      </c>
      <c r="E54" s="21">
        <v>6.25</v>
      </c>
      <c r="F54" s="21">
        <v>12.5</v>
      </c>
      <c r="G54" s="21">
        <v>18.75</v>
      </c>
      <c r="H54" s="21">
        <v>25</v>
      </c>
      <c r="I54" s="21">
        <v>25</v>
      </c>
      <c r="J54" s="21">
        <v>25</v>
      </c>
      <c r="K54" s="21">
        <v>25</v>
      </c>
      <c r="L54" s="21">
        <v>25</v>
      </c>
      <c r="N54" s="84" t="s">
        <v>46</v>
      </c>
    </row>
    <row r="55" spans="1:14" x14ac:dyDescent="0.25">
      <c r="A55" t="str">
        <v>IA sea level</v>
      </c>
      <c r="C55" s="21">
        <v>0</v>
      </c>
      <c r="D55" s="21">
        <v>0</v>
      </c>
      <c r="E55" s="21">
        <v>6.25</v>
      </c>
      <c r="F55" s="21">
        <v>12.5</v>
      </c>
      <c r="G55" s="21">
        <v>18.75</v>
      </c>
      <c r="H55" s="21">
        <v>25</v>
      </c>
      <c r="I55" s="21">
        <v>25</v>
      </c>
      <c r="J55" s="21">
        <v>25</v>
      </c>
      <c r="K55" s="21">
        <v>25</v>
      </c>
      <c r="L55" s="21">
        <v>25</v>
      </c>
      <c r="N55" s="84" t="s">
        <v>46</v>
      </c>
    </row>
    <row r="56" spans="1:14" x14ac:dyDescent="0.25">
      <c r="A56" t="str">
        <v>AF sea level</v>
      </c>
      <c r="C56" s="21">
        <v>0</v>
      </c>
      <c r="D56" s="21">
        <v>0</v>
      </c>
      <c r="E56" s="21">
        <v>6.25</v>
      </c>
      <c r="F56" s="21">
        <v>12.5</v>
      </c>
      <c r="G56" s="21">
        <v>18.75</v>
      </c>
      <c r="H56" s="21">
        <v>25</v>
      </c>
      <c r="I56" s="21">
        <v>25</v>
      </c>
      <c r="J56" s="21">
        <v>25</v>
      </c>
      <c r="K56" s="21">
        <v>25</v>
      </c>
      <c r="L56" s="21">
        <v>25</v>
      </c>
      <c r="N56" s="84" t="s">
        <v>46</v>
      </c>
    </row>
    <row r="57" spans="1:14" x14ac:dyDescent="0.25">
      <c r="A57" t="str">
        <v>LA sea level</v>
      </c>
      <c r="C57" s="21">
        <v>0</v>
      </c>
      <c r="D57" s="21">
        <v>0</v>
      </c>
      <c r="E57" s="21">
        <v>6.25</v>
      </c>
      <c r="F57" s="21">
        <v>12.5</v>
      </c>
      <c r="G57" s="21">
        <v>18.75</v>
      </c>
      <c r="H57" s="21">
        <v>25</v>
      </c>
      <c r="I57" s="21">
        <v>25</v>
      </c>
      <c r="J57" s="21">
        <v>25</v>
      </c>
      <c r="K57" s="21">
        <v>25</v>
      </c>
      <c r="L57" s="21">
        <v>25</v>
      </c>
      <c r="N57" s="84" t="s">
        <v>46</v>
      </c>
    </row>
    <row r="58" spans="1:14" ht="15.5" x14ac:dyDescent="0.4">
      <c r="C58" s="89" t="s">
        <v>287</v>
      </c>
      <c r="D58" s="9"/>
      <c r="E58" s="9"/>
      <c r="F58" s="9"/>
      <c r="G58" s="9"/>
      <c r="H58" s="9"/>
      <c r="I58" s="9"/>
      <c r="J58" s="9"/>
      <c r="K58" s="9"/>
      <c r="L58" s="9"/>
    </row>
    <row r="59" spans="1:14" x14ac:dyDescent="0.25">
      <c r="A59" t="str">
        <f t="array" ref="A59:A66">R_CODE&amp;" "&amp;I_1_NAME</f>
        <v>EU Economic</v>
      </c>
      <c r="C59" s="21">
        <f t="array" ref="C59:L66">IF(Y-istart_1_a&lt;0,0,IF(((Y-istart_1_a)/iyears_1_a)&lt;1,((Y-istart_1_a)/iyears_1_a)*impred_1_a,impred_1_a))</f>
        <v>0</v>
      </c>
      <c r="D59" s="21">
        <v>15</v>
      </c>
      <c r="E59" s="21">
        <v>30</v>
      </c>
      <c r="F59" s="21">
        <v>30</v>
      </c>
      <c r="G59" s="21">
        <v>30</v>
      </c>
      <c r="H59" s="21">
        <v>30</v>
      </c>
      <c r="I59" s="21">
        <v>30</v>
      </c>
      <c r="J59" s="21">
        <v>30</v>
      </c>
      <c r="K59" s="21">
        <v>30</v>
      </c>
      <c r="L59" s="21">
        <v>30</v>
      </c>
      <c r="N59" s="84" t="s">
        <v>46</v>
      </c>
    </row>
    <row r="60" spans="1:14" x14ac:dyDescent="0.25">
      <c r="A60" t="str">
        <v>US Economic</v>
      </c>
      <c r="C60" s="21">
        <v>0</v>
      </c>
      <c r="D60" s="21">
        <v>15</v>
      </c>
      <c r="E60" s="21">
        <v>30</v>
      </c>
      <c r="F60" s="21">
        <v>30</v>
      </c>
      <c r="G60" s="21">
        <v>30</v>
      </c>
      <c r="H60" s="21">
        <v>30</v>
      </c>
      <c r="I60" s="21">
        <v>30</v>
      </c>
      <c r="J60" s="21">
        <v>30</v>
      </c>
      <c r="K60" s="21">
        <v>30</v>
      </c>
      <c r="L60" s="21">
        <v>30</v>
      </c>
      <c r="N60" s="84" t="s">
        <v>46</v>
      </c>
    </row>
    <row r="61" spans="1:14" x14ac:dyDescent="0.25">
      <c r="A61" t="str">
        <v>OT Economic</v>
      </c>
      <c r="C61" s="21">
        <v>0</v>
      </c>
      <c r="D61" s="21">
        <v>15</v>
      </c>
      <c r="E61" s="21">
        <v>30</v>
      </c>
      <c r="F61" s="21">
        <v>30</v>
      </c>
      <c r="G61" s="21">
        <v>30</v>
      </c>
      <c r="H61" s="21">
        <v>30</v>
      </c>
      <c r="I61" s="21">
        <v>30</v>
      </c>
      <c r="J61" s="21">
        <v>30</v>
      </c>
      <c r="K61" s="21">
        <v>30</v>
      </c>
      <c r="L61" s="21">
        <v>30</v>
      </c>
      <c r="N61" s="84" t="s">
        <v>46</v>
      </c>
    </row>
    <row r="62" spans="1:14" x14ac:dyDescent="0.25">
      <c r="A62" t="str">
        <v>EE Economic</v>
      </c>
      <c r="C62" s="21">
        <v>0</v>
      </c>
      <c r="D62" s="21">
        <v>15</v>
      </c>
      <c r="E62" s="21">
        <v>30</v>
      </c>
      <c r="F62" s="21">
        <v>30</v>
      </c>
      <c r="G62" s="21">
        <v>30</v>
      </c>
      <c r="H62" s="21">
        <v>30</v>
      </c>
      <c r="I62" s="21">
        <v>30</v>
      </c>
      <c r="J62" s="21">
        <v>30</v>
      </c>
      <c r="K62" s="21">
        <v>30</v>
      </c>
      <c r="L62" s="21">
        <v>30</v>
      </c>
      <c r="N62" s="84" t="s">
        <v>46</v>
      </c>
    </row>
    <row r="63" spans="1:14" x14ac:dyDescent="0.25">
      <c r="A63" t="str">
        <v>CA Economic</v>
      </c>
      <c r="C63" s="21">
        <v>0</v>
      </c>
      <c r="D63" s="21">
        <v>5</v>
      </c>
      <c r="E63" s="21">
        <v>10</v>
      </c>
      <c r="F63" s="21">
        <v>15</v>
      </c>
      <c r="G63" s="21">
        <v>15</v>
      </c>
      <c r="H63" s="21">
        <v>15</v>
      </c>
      <c r="I63" s="21">
        <v>15</v>
      </c>
      <c r="J63" s="21">
        <v>15</v>
      </c>
      <c r="K63" s="21">
        <v>15</v>
      </c>
      <c r="L63" s="21">
        <v>15</v>
      </c>
      <c r="N63" s="84" t="s">
        <v>46</v>
      </c>
    </row>
    <row r="64" spans="1:14" x14ac:dyDescent="0.25">
      <c r="A64" t="str">
        <v>IA Economic</v>
      </c>
      <c r="C64" s="21">
        <v>0</v>
      </c>
      <c r="D64" s="21">
        <v>5</v>
      </c>
      <c r="E64" s="21">
        <v>10</v>
      </c>
      <c r="F64" s="21">
        <v>15</v>
      </c>
      <c r="G64" s="21">
        <v>15</v>
      </c>
      <c r="H64" s="21">
        <v>15</v>
      </c>
      <c r="I64" s="21">
        <v>15</v>
      </c>
      <c r="J64" s="21">
        <v>15</v>
      </c>
      <c r="K64" s="21">
        <v>15</v>
      </c>
      <c r="L64" s="21">
        <v>15</v>
      </c>
      <c r="N64" s="84" t="s">
        <v>46</v>
      </c>
    </row>
    <row r="65" spans="1:14" x14ac:dyDescent="0.25">
      <c r="A65" t="str">
        <v>AF Economic</v>
      </c>
      <c r="C65" s="21">
        <v>0</v>
      </c>
      <c r="D65" s="21">
        <v>5</v>
      </c>
      <c r="E65" s="21">
        <v>10</v>
      </c>
      <c r="F65" s="21">
        <v>15</v>
      </c>
      <c r="G65" s="21">
        <v>15</v>
      </c>
      <c r="H65" s="21">
        <v>15</v>
      </c>
      <c r="I65" s="21">
        <v>15</v>
      </c>
      <c r="J65" s="21">
        <v>15</v>
      </c>
      <c r="K65" s="21">
        <v>15</v>
      </c>
      <c r="L65" s="21">
        <v>15</v>
      </c>
      <c r="N65" s="84" t="s">
        <v>46</v>
      </c>
    </row>
    <row r="66" spans="1:14" x14ac:dyDescent="0.25">
      <c r="A66" t="str">
        <v>LA Economic</v>
      </c>
      <c r="C66" s="21">
        <v>0</v>
      </c>
      <c r="D66" s="21">
        <v>5</v>
      </c>
      <c r="E66" s="21">
        <v>10</v>
      </c>
      <c r="F66" s="21">
        <v>15</v>
      </c>
      <c r="G66" s="21">
        <v>15</v>
      </c>
      <c r="H66" s="21">
        <v>15</v>
      </c>
      <c r="I66" s="21">
        <v>15</v>
      </c>
      <c r="J66" s="21">
        <v>15</v>
      </c>
      <c r="K66" s="21">
        <v>15</v>
      </c>
      <c r="L66" s="21">
        <v>15</v>
      </c>
      <c r="N66" s="84" t="s">
        <v>46</v>
      </c>
    </row>
    <row r="67" spans="1:14" ht="15.5" x14ac:dyDescent="0.4">
      <c r="C67" s="89" t="s">
        <v>288</v>
      </c>
      <c r="D67" s="9"/>
      <c r="E67" s="9"/>
      <c r="F67" s="9"/>
      <c r="G67" s="9"/>
      <c r="H67" s="9"/>
      <c r="I67" s="9"/>
      <c r="J67" s="9"/>
      <c r="K67" s="9"/>
      <c r="L67" s="9"/>
    </row>
    <row r="68" spans="1:14" x14ac:dyDescent="0.25">
      <c r="A68" t="str">
        <f t="array" ref="A68:A75">R_CODE&amp;" "&amp;I_2_NAME</f>
        <v>EU Non-econ</v>
      </c>
      <c r="C68" s="21">
        <f t="array" ref="C68:L75">IF(Y-istart_2_a&lt;0,0,IF(((Y-istart_2_a)/iyears_2_a)&lt;1,((Y-istart_2_a)/iyears_2_a)*impred_2_a,impred_2_a))</f>
        <v>0</v>
      </c>
      <c r="D68" s="21">
        <v>3.75</v>
      </c>
      <c r="E68" s="21">
        <v>7.5</v>
      </c>
      <c r="F68" s="21">
        <v>11.25</v>
      </c>
      <c r="G68" s="21">
        <v>15</v>
      </c>
      <c r="H68" s="21">
        <v>15</v>
      </c>
      <c r="I68" s="21">
        <v>15</v>
      </c>
      <c r="J68" s="21">
        <v>15</v>
      </c>
      <c r="K68" s="21">
        <v>15</v>
      </c>
      <c r="L68" s="21">
        <v>15</v>
      </c>
      <c r="N68" s="84" t="s">
        <v>46</v>
      </c>
    </row>
    <row r="69" spans="1:14" x14ac:dyDescent="0.25">
      <c r="A69" t="str">
        <v>US Non-econ</v>
      </c>
      <c r="C69" s="21">
        <v>0</v>
      </c>
      <c r="D69" s="21">
        <v>3.75</v>
      </c>
      <c r="E69" s="21">
        <v>7.5</v>
      </c>
      <c r="F69" s="21">
        <v>11.25</v>
      </c>
      <c r="G69" s="21">
        <v>15</v>
      </c>
      <c r="H69" s="21">
        <v>15</v>
      </c>
      <c r="I69" s="21">
        <v>15</v>
      </c>
      <c r="J69" s="21">
        <v>15</v>
      </c>
      <c r="K69" s="21">
        <v>15</v>
      </c>
      <c r="L69" s="21">
        <v>15</v>
      </c>
      <c r="N69" s="84" t="s">
        <v>46</v>
      </c>
    </row>
    <row r="70" spans="1:14" x14ac:dyDescent="0.25">
      <c r="A70" t="str">
        <v>OT Non-econ</v>
      </c>
      <c r="C70" s="21">
        <v>0</v>
      </c>
      <c r="D70" s="21">
        <v>3.75</v>
      </c>
      <c r="E70" s="21">
        <v>7.5</v>
      </c>
      <c r="F70" s="21">
        <v>11.25</v>
      </c>
      <c r="G70" s="21">
        <v>15</v>
      </c>
      <c r="H70" s="21">
        <v>15</v>
      </c>
      <c r="I70" s="21">
        <v>15</v>
      </c>
      <c r="J70" s="21">
        <v>15</v>
      </c>
      <c r="K70" s="21">
        <v>15</v>
      </c>
      <c r="L70" s="21">
        <v>15</v>
      </c>
      <c r="N70" s="84" t="s">
        <v>46</v>
      </c>
    </row>
    <row r="71" spans="1:14" x14ac:dyDescent="0.25">
      <c r="A71" t="str">
        <v>EE Non-econ</v>
      </c>
      <c r="C71" s="21">
        <v>0</v>
      </c>
      <c r="D71" s="21">
        <v>3.75</v>
      </c>
      <c r="E71" s="21">
        <v>7.5</v>
      </c>
      <c r="F71" s="21">
        <v>11.25</v>
      </c>
      <c r="G71" s="21">
        <v>15</v>
      </c>
      <c r="H71" s="21">
        <v>15</v>
      </c>
      <c r="I71" s="21">
        <v>15</v>
      </c>
      <c r="J71" s="21">
        <v>15</v>
      </c>
      <c r="K71" s="21">
        <v>15</v>
      </c>
      <c r="L71" s="21">
        <v>15</v>
      </c>
      <c r="N71" s="84" t="s">
        <v>46</v>
      </c>
    </row>
    <row r="72" spans="1:14" x14ac:dyDescent="0.25">
      <c r="A72" t="str">
        <v>CA Non-econ</v>
      </c>
      <c r="C72" s="21">
        <v>0</v>
      </c>
      <c r="D72" s="21">
        <v>3.75</v>
      </c>
      <c r="E72" s="21">
        <v>7.5</v>
      </c>
      <c r="F72" s="21">
        <v>11.25</v>
      </c>
      <c r="G72" s="21">
        <v>15</v>
      </c>
      <c r="H72" s="21">
        <v>15</v>
      </c>
      <c r="I72" s="21">
        <v>15</v>
      </c>
      <c r="J72" s="21">
        <v>15</v>
      </c>
      <c r="K72" s="21">
        <v>15</v>
      </c>
      <c r="L72" s="21">
        <v>15</v>
      </c>
      <c r="N72" s="84" t="s">
        <v>46</v>
      </c>
    </row>
    <row r="73" spans="1:14" x14ac:dyDescent="0.25">
      <c r="A73" t="str">
        <v>IA Non-econ</v>
      </c>
      <c r="C73" s="21">
        <v>0</v>
      </c>
      <c r="D73" s="21">
        <v>3.75</v>
      </c>
      <c r="E73" s="21">
        <v>7.5</v>
      </c>
      <c r="F73" s="21">
        <v>11.25</v>
      </c>
      <c r="G73" s="21">
        <v>15</v>
      </c>
      <c r="H73" s="21">
        <v>15</v>
      </c>
      <c r="I73" s="21">
        <v>15</v>
      </c>
      <c r="J73" s="21">
        <v>15</v>
      </c>
      <c r="K73" s="21">
        <v>15</v>
      </c>
      <c r="L73" s="21">
        <v>15</v>
      </c>
      <c r="N73" s="84" t="s">
        <v>46</v>
      </c>
    </row>
    <row r="74" spans="1:14" x14ac:dyDescent="0.25">
      <c r="A74" t="str">
        <v>AF Non-econ</v>
      </c>
      <c r="C74" s="21">
        <v>0</v>
      </c>
      <c r="D74" s="21">
        <v>3.75</v>
      </c>
      <c r="E74" s="21">
        <v>7.5</v>
      </c>
      <c r="F74" s="21">
        <v>11.25</v>
      </c>
      <c r="G74" s="21">
        <v>15</v>
      </c>
      <c r="H74" s="21">
        <v>15</v>
      </c>
      <c r="I74" s="21">
        <v>15</v>
      </c>
      <c r="J74" s="21">
        <v>15</v>
      </c>
      <c r="K74" s="21">
        <v>15</v>
      </c>
      <c r="L74" s="21">
        <v>15</v>
      </c>
      <c r="N74" s="84" t="s">
        <v>46</v>
      </c>
    </row>
    <row r="75" spans="1:14" x14ac:dyDescent="0.25">
      <c r="A75" t="str">
        <v>LA Non-econ</v>
      </c>
      <c r="C75" s="21">
        <v>0</v>
      </c>
      <c r="D75" s="21">
        <v>3.75</v>
      </c>
      <c r="E75" s="21">
        <v>7.5</v>
      </c>
      <c r="F75" s="21">
        <v>11.25</v>
      </c>
      <c r="G75" s="21">
        <v>15</v>
      </c>
      <c r="H75" s="21">
        <v>15</v>
      </c>
      <c r="I75" s="21">
        <v>15</v>
      </c>
      <c r="J75" s="21">
        <v>15</v>
      </c>
      <c r="K75" s="21">
        <v>15</v>
      </c>
      <c r="L75" s="21">
        <v>15</v>
      </c>
      <c r="N75" s="84" t="s">
        <v>46</v>
      </c>
    </row>
    <row r="76" spans="1:14" s="2" customFormat="1" ht="15" x14ac:dyDescent="0.4">
      <c r="A76" s="2" t="s">
        <v>108</v>
      </c>
      <c r="C76" s="2" t="s">
        <v>254</v>
      </c>
    </row>
    <row r="77" spans="1:14" x14ac:dyDescent="0.25">
      <c r="A77" t="str">
        <f t="array" ref="A77:A84">R_CODE&amp;" sea level"</f>
        <v>EU sea level</v>
      </c>
      <c r="C77" s="39">
        <f t="array" ref="C77:L84">IF((s-atl_s)&lt;0,0,s-atl_s)</f>
        <v>4.946701637987036E-2</v>
      </c>
      <c r="D77" s="39">
        <v>0</v>
      </c>
      <c r="E77" s="39">
        <v>0</v>
      </c>
      <c r="F77" s="39">
        <v>1.9193768551790724E-2</v>
      </c>
      <c r="G77" s="39">
        <v>5.9265002286146062E-2</v>
      </c>
      <c r="H77" s="39">
        <v>0.10300356094328</v>
      </c>
      <c r="I77" s="39">
        <v>0.2027613131299027</v>
      </c>
      <c r="J77" s="39">
        <v>0.311553838931514</v>
      </c>
      <c r="K77" s="39">
        <v>0.89966486161576209</v>
      </c>
      <c r="L77" s="39">
        <v>1.4803969090383089</v>
      </c>
      <c r="M77" s="6"/>
      <c r="N77" s="84" t="s">
        <v>228</v>
      </c>
    </row>
    <row r="78" spans="1:14" x14ac:dyDescent="0.25">
      <c r="A78" t="str">
        <v>US sea level</v>
      </c>
      <c r="C78" s="35">
        <v>4.946701637987036E-2</v>
      </c>
      <c r="D78" s="35">
        <v>0</v>
      </c>
      <c r="E78" s="35">
        <v>0</v>
      </c>
      <c r="F78" s="35">
        <v>1.9193768551790724E-2</v>
      </c>
      <c r="G78" s="35">
        <v>5.9265002286146062E-2</v>
      </c>
      <c r="H78" s="35">
        <v>0.10300356094328</v>
      </c>
      <c r="I78" s="35">
        <v>0.2027613131299027</v>
      </c>
      <c r="J78" s="35">
        <v>0.311553838931514</v>
      </c>
      <c r="K78" s="35">
        <v>0.89966486161576209</v>
      </c>
      <c r="L78" s="35">
        <v>1.4803969090383089</v>
      </c>
      <c r="M78" s="6"/>
      <c r="N78" s="84" t="s">
        <v>228</v>
      </c>
    </row>
    <row r="79" spans="1:14" x14ac:dyDescent="0.25">
      <c r="A79" t="str">
        <v>OT sea level</v>
      </c>
      <c r="C79" s="35">
        <v>4.946701637987036E-2</v>
      </c>
      <c r="D79" s="35">
        <v>0</v>
      </c>
      <c r="E79" s="35">
        <v>0</v>
      </c>
      <c r="F79" s="35">
        <v>1.9193768551790724E-2</v>
      </c>
      <c r="G79" s="35">
        <v>5.9265002286146062E-2</v>
      </c>
      <c r="H79" s="35">
        <v>0.10300356094328</v>
      </c>
      <c r="I79" s="35">
        <v>0.2027613131299027</v>
      </c>
      <c r="J79" s="35">
        <v>0.311553838931514</v>
      </c>
      <c r="K79" s="35">
        <v>0.89966486161576209</v>
      </c>
      <c r="L79" s="35">
        <v>1.4803969090383089</v>
      </c>
      <c r="M79" s="6"/>
      <c r="N79" s="84" t="s">
        <v>228</v>
      </c>
    </row>
    <row r="80" spans="1:14" x14ac:dyDescent="0.25">
      <c r="A80" t="str">
        <v>EE sea level</v>
      </c>
      <c r="C80" s="35">
        <v>4.946701637987036E-2</v>
      </c>
      <c r="D80" s="35">
        <v>0</v>
      </c>
      <c r="E80" s="35">
        <v>0</v>
      </c>
      <c r="F80" s="35">
        <v>1.9193768551790724E-2</v>
      </c>
      <c r="G80" s="35">
        <v>5.9265002286146062E-2</v>
      </c>
      <c r="H80" s="35">
        <v>0.10300356094328</v>
      </c>
      <c r="I80" s="35">
        <v>0.2027613131299027</v>
      </c>
      <c r="J80" s="35">
        <v>0.311553838931514</v>
      </c>
      <c r="K80" s="35">
        <v>0.89966486161576209</v>
      </c>
      <c r="L80" s="35">
        <v>1.4803969090383089</v>
      </c>
      <c r="M80" s="6"/>
      <c r="N80" s="84" t="s">
        <v>228</v>
      </c>
    </row>
    <row r="81" spans="1:14" x14ac:dyDescent="0.25">
      <c r="A81" t="str">
        <v>CA sea level</v>
      </c>
      <c r="C81" s="35">
        <v>0.10780034971320369</v>
      </c>
      <c r="D81" s="35">
        <v>6.8700875445047715E-2</v>
      </c>
      <c r="E81" s="35">
        <v>3.3280429384330762E-2</v>
      </c>
      <c r="F81" s="35">
        <v>6.9193768551790713E-2</v>
      </c>
      <c r="G81" s="35">
        <v>0.10926500228614605</v>
      </c>
      <c r="H81" s="35">
        <v>0.15300356094327999</v>
      </c>
      <c r="I81" s="35">
        <v>0.25276131312990269</v>
      </c>
      <c r="J81" s="35">
        <v>0.36155383893151399</v>
      </c>
      <c r="K81" s="35">
        <v>0.94966486161576213</v>
      </c>
      <c r="L81" s="35">
        <v>1.5303969090383089</v>
      </c>
      <c r="M81" s="6"/>
      <c r="N81" s="84" t="s">
        <v>228</v>
      </c>
    </row>
    <row r="82" spans="1:14" x14ac:dyDescent="0.25">
      <c r="A82" t="str">
        <v>IA sea level</v>
      </c>
      <c r="C82" s="35">
        <v>0.10780034971320369</v>
      </c>
      <c r="D82" s="35">
        <v>6.8700875445047715E-2</v>
      </c>
      <c r="E82" s="35">
        <v>3.3280429384330762E-2</v>
      </c>
      <c r="F82" s="35">
        <v>6.9193768551790713E-2</v>
      </c>
      <c r="G82" s="35">
        <v>0.10926500228614605</v>
      </c>
      <c r="H82" s="35">
        <v>0.15300356094327999</v>
      </c>
      <c r="I82" s="35">
        <v>0.25276131312990269</v>
      </c>
      <c r="J82" s="35">
        <v>0.36155383893151399</v>
      </c>
      <c r="K82" s="35">
        <v>0.94966486161576213</v>
      </c>
      <c r="L82" s="35">
        <v>1.5303969090383089</v>
      </c>
      <c r="M82" s="6"/>
      <c r="N82" s="84" t="s">
        <v>228</v>
      </c>
    </row>
    <row r="83" spans="1:14" x14ac:dyDescent="0.25">
      <c r="A83" t="str">
        <v>AF sea level</v>
      </c>
      <c r="C83" s="35">
        <v>0.10780034971320369</v>
      </c>
      <c r="D83" s="35">
        <v>6.8700875445047715E-2</v>
      </c>
      <c r="E83" s="35">
        <v>3.3280429384330762E-2</v>
      </c>
      <c r="F83" s="35">
        <v>6.9193768551790713E-2</v>
      </c>
      <c r="G83" s="35">
        <v>0.10926500228614605</v>
      </c>
      <c r="H83" s="35">
        <v>0.15300356094327999</v>
      </c>
      <c r="I83" s="35">
        <v>0.25276131312990269</v>
      </c>
      <c r="J83" s="35">
        <v>0.36155383893151399</v>
      </c>
      <c r="K83" s="35">
        <v>0.94966486161576213</v>
      </c>
      <c r="L83" s="35">
        <v>1.5303969090383089</v>
      </c>
      <c r="M83" s="6"/>
      <c r="N83" s="84" t="s">
        <v>228</v>
      </c>
    </row>
    <row r="84" spans="1:14" x14ac:dyDescent="0.25">
      <c r="A84" t="str">
        <v>LA sea level</v>
      </c>
      <c r="C84" s="35">
        <v>0.10780034971320369</v>
      </c>
      <c r="D84" s="35">
        <v>6.8700875445047715E-2</v>
      </c>
      <c r="E84" s="35">
        <v>3.3280429384330762E-2</v>
      </c>
      <c r="F84" s="35">
        <v>6.9193768551790713E-2</v>
      </c>
      <c r="G84" s="35">
        <v>0.10926500228614605</v>
      </c>
      <c r="H84" s="35">
        <v>0.15300356094327999</v>
      </c>
      <c r="I84" s="35">
        <v>0.25276131312990269</v>
      </c>
      <c r="J84" s="35">
        <v>0.36155383893151399</v>
      </c>
      <c r="K84" s="35">
        <v>0.94966486161576213</v>
      </c>
      <c r="L84" s="35">
        <v>1.5303969090383089</v>
      </c>
      <c r="M84" s="6"/>
      <c r="N84" s="84" t="s">
        <v>228</v>
      </c>
    </row>
    <row r="85" spans="1:14" s="2" customFormat="1" ht="15" x14ac:dyDescent="0.4">
      <c r="A85" s="2" t="s">
        <v>108</v>
      </c>
      <c r="C85" s="2" t="s">
        <v>109</v>
      </c>
    </row>
    <row r="86" spans="1:14" x14ac:dyDescent="0.25">
      <c r="A86" t="str">
        <f t="array" ref="A86:A93">R_CODE&amp;" "&amp;I_1_NAME</f>
        <v>EU Economic</v>
      </c>
      <c r="C86" s="39">
        <f t="array" ref="C86:L93">IF((rtl-atl_1)&lt;0,0,rtl-atl_1)</f>
        <v>0.63189641646720318</v>
      </c>
      <c r="D86" s="39">
        <v>0.45319140320742535</v>
      </c>
      <c r="E86" s="39">
        <v>0.78924830042360594</v>
      </c>
      <c r="F86" s="39">
        <v>1.1400607112284615</v>
      </c>
      <c r="G86" s="39">
        <v>1.4174518223613446</v>
      </c>
      <c r="H86" s="39">
        <v>1.6644076132263876</v>
      </c>
      <c r="I86" s="39">
        <v>2.0517877145800898</v>
      </c>
      <c r="J86" s="39">
        <v>2.3279747914277755</v>
      </c>
      <c r="K86" s="39">
        <v>2.7490389884066166</v>
      </c>
      <c r="L86" s="39">
        <v>3.1109489842275284</v>
      </c>
      <c r="M86" s="6"/>
      <c r="N86" s="84" t="s">
        <v>49</v>
      </c>
    </row>
    <row r="87" spans="1:14" x14ac:dyDescent="0.25">
      <c r="A87" t="str">
        <v>US Economic</v>
      </c>
      <c r="C87" s="35">
        <v>0.75334019566829946</v>
      </c>
      <c r="D87" s="35">
        <v>0.63926744040053607</v>
      </c>
      <c r="E87" s="35">
        <v>1.0235292473640589</v>
      </c>
      <c r="F87" s="35">
        <v>1.405784387667059</v>
      </c>
      <c r="G87" s="35">
        <v>1.7120433335174763</v>
      </c>
      <c r="H87" s="35">
        <v>1.9764800563436276</v>
      </c>
      <c r="I87" s="35">
        <v>2.3716904041289326</v>
      </c>
      <c r="J87" s="35">
        <v>2.6363349968077969</v>
      </c>
      <c r="K87" s="35">
        <v>3.0432844554430858</v>
      </c>
      <c r="L87" s="35">
        <v>3.4043838048706494</v>
      </c>
      <c r="M87" s="6"/>
      <c r="N87" s="84" t="s">
        <v>49</v>
      </c>
    </row>
    <row r="88" spans="1:14" x14ac:dyDescent="0.25">
      <c r="A88" t="str">
        <v>OT Economic</v>
      </c>
      <c r="C88" s="35">
        <v>1.2205145375430788</v>
      </c>
      <c r="D88" s="35">
        <v>1.2531371394646507</v>
      </c>
      <c r="E88" s="35">
        <v>1.7468521259717353</v>
      </c>
      <c r="F88" s="35">
        <v>2.2009349142525076</v>
      </c>
      <c r="G88" s="35">
        <v>2.5725783481105902</v>
      </c>
      <c r="H88" s="35">
        <v>2.877001494977331</v>
      </c>
      <c r="I88" s="35">
        <v>3.2907773005147192</v>
      </c>
      <c r="J88" s="35">
        <v>3.5283497366870806</v>
      </c>
      <c r="K88" s="35">
        <v>3.9021939815836255</v>
      </c>
      <c r="L88" s="35">
        <v>4.2613920118747579</v>
      </c>
      <c r="M88" s="6"/>
      <c r="N88" s="84" t="s">
        <v>49</v>
      </c>
    </row>
    <row r="89" spans="1:14" x14ac:dyDescent="0.25">
      <c r="A89" t="str">
        <v>EE Economic</v>
      </c>
      <c r="C89" s="35">
        <v>1.1070875142457062</v>
      </c>
      <c r="D89" s="35">
        <v>0.89679069424857549</v>
      </c>
      <c r="E89" s="35">
        <v>1.2889930007374542</v>
      </c>
      <c r="F89" s="35">
        <v>1.782834074409628</v>
      </c>
      <c r="G89" s="35">
        <v>2.2271616741976059</v>
      </c>
      <c r="H89" s="35">
        <v>2.596865883193562</v>
      </c>
      <c r="I89" s="35">
        <v>3.1389679868138716</v>
      </c>
      <c r="J89" s="35">
        <v>3.5009712341885111</v>
      </c>
      <c r="K89" s="35">
        <v>4.0269758213742781</v>
      </c>
      <c r="L89" s="35">
        <v>4.394912818671739</v>
      </c>
      <c r="M89" s="6"/>
      <c r="N89" s="84" t="s">
        <v>49</v>
      </c>
    </row>
    <row r="90" spans="1:14" x14ac:dyDescent="0.25">
      <c r="A90" t="str">
        <v>CA Economic</v>
      </c>
      <c r="C90" s="35">
        <v>0</v>
      </c>
      <c r="D90" s="35">
        <v>0</v>
      </c>
      <c r="E90" s="35">
        <v>0</v>
      </c>
      <c r="F90" s="35">
        <v>0</v>
      </c>
      <c r="G90" s="35">
        <v>0</v>
      </c>
      <c r="H90" s="35">
        <v>0</v>
      </c>
      <c r="I90" s="35">
        <v>0.61937937414161515</v>
      </c>
      <c r="J90" s="35">
        <v>1.314785660370835</v>
      </c>
      <c r="K90" s="35">
        <v>2.2484924880403527</v>
      </c>
      <c r="L90" s="35">
        <v>2.6398448928900704</v>
      </c>
      <c r="M90" s="6"/>
      <c r="N90" s="84" t="s">
        <v>49</v>
      </c>
    </row>
    <row r="91" spans="1:14" x14ac:dyDescent="0.25">
      <c r="A91" t="str">
        <v>IA Economic</v>
      </c>
      <c r="C91" s="35">
        <v>0.84912054966594597</v>
      </c>
      <c r="D91" s="35">
        <v>0.54505005560300623</v>
      </c>
      <c r="E91" s="35">
        <v>0.46767000043197815</v>
      </c>
      <c r="F91" s="35">
        <v>0.60031022693278646</v>
      </c>
      <c r="G91" s="35">
        <v>1.0524640901674553</v>
      </c>
      <c r="H91" s="35">
        <v>1.4360862035141646</v>
      </c>
      <c r="I91" s="35">
        <v>2.028447116579811</v>
      </c>
      <c r="J91" s="35">
        <v>2.4595448175267731</v>
      </c>
      <c r="K91" s="35">
        <v>3.0700416265687513</v>
      </c>
      <c r="L91" s="35">
        <v>3.4428312334751539</v>
      </c>
      <c r="M91" s="6"/>
      <c r="N91" s="84" t="s">
        <v>49</v>
      </c>
    </row>
    <row r="92" spans="1:14" x14ac:dyDescent="0.25">
      <c r="A92" t="str">
        <v>AF Economic</v>
      </c>
      <c r="C92" s="35">
        <v>1.0605331808856704</v>
      </c>
      <c r="D92" s="35">
        <v>1.038011752063333</v>
      </c>
      <c r="E92" s="35">
        <v>0.91738320854212929</v>
      </c>
      <c r="F92" s="35">
        <v>0.83461637430821067</v>
      </c>
      <c r="G92" s="35">
        <v>1.0612330753944397</v>
      </c>
      <c r="H92" s="35">
        <v>1.2930065665764698</v>
      </c>
      <c r="I92" s="35">
        <v>1.7549586547499345</v>
      </c>
      <c r="J92" s="35">
        <v>2.2038693875534636</v>
      </c>
      <c r="K92" s="35">
        <v>2.8361488804686337</v>
      </c>
      <c r="L92" s="35">
        <v>3.2101895239645524</v>
      </c>
      <c r="M92" s="6"/>
      <c r="N92" s="84" t="s">
        <v>49</v>
      </c>
    </row>
    <row r="93" spans="1:14" x14ac:dyDescent="0.25">
      <c r="A93" t="str">
        <v>LA Economic</v>
      </c>
      <c r="C93" s="35">
        <v>1.2512075344068878</v>
      </c>
      <c r="D93" s="35">
        <v>1.2692831158250042</v>
      </c>
      <c r="E93" s="35">
        <v>1.2426771444823075</v>
      </c>
      <c r="F93" s="35">
        <v>1.1846122526099117</v>
      </c>
      <c r="G93" s="35">
        <v>1.4299757071358425</v>
      </c>
      <c r="H93" s="35">
        <v>1.6678929083643292</v>
      </c>
      <c r="I93" s="35">
        <v>2.1082463840320962</v>
      </c>
      <c r="J93" s="35">
        <v>2.5093964930681238</v>
      </c>
      <c r="K93" s="35">
        <v>3.0832718593028385</v>
      </c>
      <c r="L93" s="35">
        <v>3.4539582008274614</v>
      </c>
      <c r="M93" s="6"/>
      <c r="N93" s="84" t="s">
        <v>49</v>
      </c>
    </row>
    <row r="94" spans="1:14" s="2" customFormat="1" ht="15" x14ac:dyDescent="0.4">
      <c r="A94" s="2" t="s">
        <v>108</v>
      </c>
      <c r="C94" s="2" t="s">
        <v>111</v>
      </c>
      <c r="D94" s="18"/>
      <c r="E94" s="18"/>
      <c r="F94" s="18"/>
      <c r="G94" s="18"/>
      <c r="H94" s="18"/>
      <c r="I94" s="18"/>
      <c r="J94" s="18"/>
      <c r="K94" s="18"/>
      <c r="L94" s="18"/>
    </row>
    <row r="95" spans="1:14" x14ac:dyDescent="0.25">
      <c r="A95" t="str">
        <f t="array" ref="A95:A102">R_CODE&amp;" "&amp;I_2_NAME</f>
        <v>EU Non-econ</v>
      </c>
      <c r="C95" s="39">
        <f t="array" ref="C95:L102">IF((rtl-atl_2)&lt;0,0,rtl-atl_2)</f>
        <v>1.1318964164672032</v>
      </c>
      <c r="D95" s="39">
        <v>1.4531914032074253</v>
      </c>
      <c r="E95" s="39">
        <v>1.7892483004236059</v>
      </c>
      <c r="F95" s="39">
        <v>2.1400607112284615</v>
      </c>
      <c r="G95" s="39">
        <v>2.4174518223613446</v>
      </c>
      <c r="H95" s="39">
        <v>2.6644076132263876</v>
      </c>
      <c r="I95" s="39">
        <v>3.0517877145800898</v>
      </c>
      <c r="J95" s="39">
        <v>3.3279747914277755</v>
      </c>
      <c r="K95" s="39">
        <v>3.7490389884066166</v>
      </c>
      <c r="L95" s="39">
        <v>4.1109489842275284</v>
      </c>
      <c r="M95" s="6"/>
      <c r="N95" s="84" t="s">
        <v>49</v>
      </c>
    </row>
    <row r="96" spans="1:14" x14ac:dyDescent="0.25">
      <c r="A96" t="str">
        <v>US Non-econ</v>
      </c>
      <c r="C96" s="35">
        <v>1.2533401956682995</v>
      </c>
      <c r="D96" s="35">
        <v>1.6392674404005361</v>
      </c>
      <c r="E96" s="35">
        <v>2.0235292473640589</v>
      </c>
      <c r="F96" s="35">
        <v>2.405784387667059</v>
      </c>
      <c r="G96" s="35">
        <v>2.7120433335174763</v>
      </c>
      <c r="H96" s="35">
        <v>2.9764800563436276</v>
      </c>
      <c r="I96" s="35">
        <v>3.3716904041289326</v>
      </c>
      <c r="J96" s="35">
        <v>3.6363349968077969</v>
      </c>
      <c r="K96" s="35">
        <v>4.0432844554430858</v>
      </c>
      <c r="L96" s="35">
        <v>4.4043838048706494</v>
      </c>
      <c r="M96" s="6"/>
      <c r="N96" s="84" t="s">
        <v>49</v>
      </c>
    </row>
    <row r="97" spans="1:16" x14ac:dyDescent="0.25">
      <c r="A97" t="str">
        <v>OT Non-econ</v>
      </c>
      <c r="C97" s="35">
        <v>1.7205145375430788</v>
      </c>
      <c r="D97" s="35">
        <v>2.2531371394646507</v>
      </c>
      <c r="E97" s="35">
        <v>2.7468521259717353</v>
      </c>
      <c r="F97" s="35">
        <v>3.2009349142525076</v>
      </c>
      <c r="G97" s="35">
        <v>3.5725783481105902</v>
      </c>
      <c r="H97" s="35">
        <v>3.877001494977331</v>
      </c>
      <c r="I97" s="35">
        <v>4.2907773005147192</v>
      </c>
      <c r="J97" s="35">
        <v>4.5283497366870806</v>
      </c>
      <c r="K97" s="35">
        <v>4.9021939815836255</v>
      </c>
      <c r="L97" s="35">
        <v>5.2613920118747579</v>
      </c>
      <c r="M97" s="6"/>
      <c r="N97" s="84" t="s">
        <v>49</v>
      </c>
    </row>
    <row r="98" spans="1:16" x14ac:dyDescent="0.25">
      <c r="A98" t="str">
        <v>EE Non-econ</v>
      </c>
      <c r="C98" s="35">
        <v>1.6070875142457062</v>
      </c>
      <c r="D98" s="35">
        <v>1.8967906942485755</v>
      </c>
      <c r="E98" s="35">
        <v>2.2889930007374542</v>
      </c>
      <c r="F98" s="35">
        <v>2.782834074409628</v>
      </c>
      <c r="G98" s="35">
        <v>3.2271616741976059</v>
      </c>
      <c r="H98" s="35">
        <v>3.596865883193562</v>
      </c>
      <c r="I98" s="35">
        <v>4.1389679868138716</v>
      </c>
      <c r="J98" s="35">
        <v>4.5009712341885111</v>
      </c>
      <c r="K98" s="35">
        <v>5.0269758213742781</v>
      </c>
      <c r="L98" s="35">
        <v>5.394912818671739</v>
      </c>
      <c r="M98" s="6"/>
      <c r="N98" s="84" t="s">
        <v>49</v>
      </c>
    </row>
    <row r="99" spans="1:16" x14ac:dyDescent="0.25">
      <c r="A99" t="str">
        <v>CA Non-econ</v>
      </c>
      <c r="C99" s="35">
        <v>0</v>
      </c>
      <c r="D99" s="35">
        <v>0</v>
      </c>
      <c r="E99" s="35">
        <v>0</v>
      </c>
      <c r="F99" s="35">
        <v>0</v>
      </c>
      <c r="G99" s="35">
        <v>0.26644986958699973</v>
      </c>
      <c r="H99" s="35">
        <v>0.76711094147461611</v>
      </c>
      <c r="I99" s="35">
        <v>1.6193793741416151</v>
      </c>
      <c r="J99" s="35">
        <v>2.314785660370835</v>
      </c>
      <c r="K99" s="35">
        <v>3.2484924880403527</v>
      </c>
      <c r="L99" s="35">
        <v>3.6398448928900704</v>
      </c>
      <c r="M99" s="6"/>
      <c r="N99" s="84" t="s">
        <v>49</v>
      </c>
    </row>
    <row r="100" spans="1:16" x14ac:dyDescent="0.25">
      <c r="A100" t="str">
        <v>IA Non-econ</v>
      </c>
      <c r="C100" s="35">
        <v>0.84912054966594597</v>
      </c>
      <c r="D100" s="35">
        <v>0.87838338893633949</v>
      </c>
      <c r="E100" s="35">
        <v>1.1343366670986448</v>
      </c>
      <c r="F100" s="35">
        <v>1.6003102269327865</v>
      </c>
      <c r="G100" s="35">
        <v>2.0524640901674553</v>
      </c>
      <c r="H100" s="35">
        <v>2.4360862035141646</v>
      </c>
      <c r="I100" s="35">
        <v>3.028447116579811</v>
      </c>
      <c r="J100" s="35">
        <v>3.4595448175267731</v>
      </c>
      <c r="K100" s="35">
        <v>4.0700416265687513</v>
      </c>
      <c r="L100" s="35">
        <v>4.4428312334751539</v>
      </c>
      <c r="M100" s="6"/>
      <c r="N100" s="84" t="s">
        <v>49</v>
      </c>
    </row>
    <row r="101" spans="1:16" x14ac:dyDescent="0.25">
      <c r="A101" t="str">
        <v>AF Non-econ</v>
      </c>
      <c r="C101" s="35">
        <v>1.0605331808856704</v>
      </c>
      <c r="D101" s="35">
        <v>1.3713450853966662</v>
      </c>
      <c r="E101" s="35">
        <v>1.5840498752087959</v>
      </c>
      <c r="F101" s="35">
        <v>1.8346163743082107</v>
      </c>
      <c r="G101" s="35">
        <v>2.0612330753944397</v>
      </c>
      <c r="H101" s="35">
        <v>2.2930065665764698</v>
      </c>
      <c r="I101" s="35">
        <v>2.7549586547499345</v>
      </c>
      <c r="J101" s="35">
        <v>3.2038693875534636</v>
      </c>
      <c r="K101" s="35">
        <v>3.8361488804686337</v>
      </c>
      <c r="L101" s="35">
        <v>4.2101895239645524</v>
      </c>
      <c r="M101" s="6"/>
      <c r="N101" s="84" t="s">
        <v>49</v>
      </c>
    </row>
    <row r="102" spans="1:16" x14ac:dyDescent="0.25">
      <c r="A102" t="str">
        <v>LA Non-econ</v>
      </c>
      <c r="C102" s="35">
        <v>1.2512075344068878</v>
      </c>
      <c r="D102" s="35">
        <v>1.6026164491583375</v>
      </c>
      <c r="E102" s="35">
        <v>1.909343811148974</v>
      </c>
      <c r="F102" s="35">
        <v>2.1846122526099117</v>
      </c>
      <c r="G102" s="35">
        <v>2.4299757071358425</v>
      </c>
      <c r="H102" s="35">
        <v>2.6678929083643292</v>
      </c>
      <c r="I102" s="35">
        <v>3.1082463840320962</v>
      </c>
      <c r="J102" s="35">
        <v>3.5093964930681238</v>
      </c>
      <c r="K102" s="35">
        <v>4.0832718593028385</v>
      </c>
      <c r="L102" s="35">
        <v>4.4539582008274614</v>
      </c>
      <c r="M102" s="6"/>
      <c r="N102" s="84" t="s">
        <v>49</v>
      </c>
    </row>
    <row r="103" spans="1:16" s="2" customFormat="1" ht="15" x14ac:dyDescent="0.4">
      <c r="A103" s="2" t="s">
        <v>108</v>
      </c>
      <c r="C103" s="2" t="s">
        <v>169</v>
      </c>
      <c r="D103" s="18"/>
      <c r="E103" s="18"/>
      <c r="F103" s="18"/>
      <c r="G103" s="18"/>
      <c r="H103" s="18"/>
      <c r="I103" s="18"/>
      <c r="J103" s="18"/>
      <c r="K103" s="18"/>
      <c r="L103" s="18"/>
    </row>
    <row r="104" spans="1:16" x14ac:dyDescent="0.25">
      <c r="A104" t="s">
        <v>170</v>
      </c>
      <c r="C104" s="35">
        <f t="array" ref="C104:L104">rt_g-TDIS</f>
        <v>-2.0717564217503455</v>
      </c>
      <c r="D104" s="35">
        <v>-1.8778887545617555</v>
      </c>
      <c r="E104" s="35">
        <v>-1.6486699508073674</v>
      </c>
      <c r="F104" s="35">
        <v>-1.360037916926832</v>
      </c>
      <c r="G104" s="35">
        <v>-1.0982387583879425</v>
      </c>
      <c r="H104" s="35">
        <v>-0.86248465570455535</v>
      </c>
      <c r="I104" s="35">
        <v>-0.46676751402460059</v>
      </c>
      <c r="J104" s="35">
        <v>-0.1459816230403046</v>
      </c>
      <c r="K104" s="35">
        <v>0.31247289622089003</v>
      </c>
      <c r="L104" s="35">
        <v>0.60703268544407951</v>
      </c>
      <c r="M104" s="6"/>
      <c r="N104" s="1" t="s">
        <v>49</v>
      </c>
    </row>
    <row r="105" spans="1:16" x14ac:dyDescent="0.25">
      <c r="A105" t="s">
        <v>171</v>
      </c>
      <c r="C105" s="35">
        <f t="array" ref="C105:L105">i_dis*PDIS/100</f>
        <v>-0.41435128435006907</v>
      </c>
      <c r="D105" s="35">
        <v>-0.37557775091235107</v>
      </c>
      <c r="E105" s="35">
        <v>-0.32973399016147348</v>
      </c>
      <c r="F105" s="35">
        <v>-0.27200758338536635</v>
      </c>
      <c r="G105" s="35">
        <v>-0.21964775167758852</v>
      </c>
      <c r="H105" s="35">
        <v>-0.17249693114091108</v>
      </c>
      <c r="I105" s="35">
        <v>-9.3353502804920122E-2</v>
      </c>
      <c r="J105" s="35">
        <v>-2.919632460806092E-2</v>
      </c>
      <c r="K105" s="35">
        <v>6.2494579244178006E-2</v>
      </c>
      <c r="L105" s="35">
        <v>0.12140653708881591</v>
      </c>
      <c r="M105" s="6"/>
      <c r="N105" s="1"/>
      <c r="P105" s="12"/>
    </row>
    <row r="106" spans="1:16" x14ac:dyDescent="0.25">
      <c r="A106" s="3" t="s">
        <v>306</v>
      </c>
      <c r="C106" s="35">
        <f t="array" ref="C106:L106">EXP(-YP/DISTAU)</f>
        <v>0.89483931681436979</v>
      </c>
      <c r="D106" s="35">
        <v>0.89483931681436979</v>
      </c>
      <c r="E106" s="35">
        <v>0.89483931681436979</v>
      </c>
      <c r="F106" s="35">
        <v>0.89483931681436979</v>
      </c>
      <c r="G106" s="35">
        <v>0.89483931681436979</v>
      </c>
      <c r="H106" s="35">
        <v>0.89483931681436979</v>
      </c>
      <c r="I106" s="35">
        <v>0.80073740291680806</v>
      </c>
      <c r="J106" s="35">
        <v>0.80073740291680806</v>
      </c>
      <c r="K106" s="35">
        <v>0.32919298780790557</v>
      </c>
      <c r="L106" s="35">
        <v>0.32919298780790557</v>
      </c>
      <c r="M106" s="6"/>
      <c r="N106" s="1"/>
      <c r="P106" s="12"/>
    </row>
    <row r="107" spans="1:16" x14ac:dyDescent="0.25">
      <c r="A107" t="s">
        <v>255</v>
      </c>
      <c r="B107" s="35">
        <f>0.5</f>
        <v>0.5</v>
      </c>
      <c r="C107" s="44"/>
      <c r="D107" s="44"/>
      <c r="E107" s="44"/>
      <c r="F107" s="44"/>
      <c r="G107" s="44"/>
      <c r="H107" s="44"/>
      <c r="I107" s="44"/>
      <c r="J107" s="44"/>
      <c r="K107" s="44"/>
      <c r="L107" s="44"/>
      <c r="M107" s="6"/>
      <c r="N107" s="1"/>
      <c r="P107" s="12"/>
    </row>
    <row r="108" spans="1:16" x14ac:dyDescent="0.25">
      <c r="A108" t="s">
        <v>256</v>
      </c>
      <c r="B108" s="22">
        <v>0</v>
      </c>
      <c r="C108" s="22">
        <f t="shared" ref="C108:L108" si="0">IF(C105&lt;RAND_DIS,B108,1)</f>
        <v>0</v>
      </c>
      <c r="D108" s="22">
        <f t="shared" si="0"/>
        <v>0</v>
      </c>
      <c r="E108" s="22">
        <f t="shared" si="0"/>
        <v>0</v>
      </c>
      <c r="F108" s="22">
        <f t="shared" si="0"/>
        <v>0</v>
      </c>
      <c r="G108" s="22">
        <f t="shared" si="0"/>
        <v>0</v>
      </c>
      <c r="H108" s="22">
        <f t="shared" si="0"/>
        <v>0</v>
      </c>
      <c r="I108" s="22">
        <f t="shared" si="0"/>
        <v>0</v>
      </c>
      <c r="J108" s="22">
        <f t="shared" si="0"/>
        <v>0</v>
      </c>
      <c r="K108" s="22">
        <f t="shared" si="0"/>
        <v>0</v>
      </c>
      <c r="L108" s="22">
        <f t="shared" si="0"/>
        <v>0</v>
      </c>
      <c r="M108" s="6"/>
      <c r="N108" s="1"/>
    </row>
    <row r="109" spans="1:16" ht="13" x14ac:dyDescent="0.3">
      <c r="A109" s="2" t="s">
        <v>23</v>
      </c>
      <c r="B109" s="2"/>
    </row>
    <row r="110" spans="1:16" s="1" customFormat="1" x14ac:dyDescent="0.25">
      <c r="A110" s="1" t="str">
        <f t="array" ref="A110:A117">R_CODE</f>
        <v>EU</v>
      </c>
      <c r="B110" s="37">
        <f t="array" ref="B110:B117">GDP_0</f>
        <v>9951014.6951500475</v>
      </c>
      <c r="C110" s="37">
        <f t="array" ref="C110:C117">GDP_0*(1+(GRW_1/100))^YP_1</f>
        <v>11940750.985157488</v>
      </c>
      <c r="D110" s="37">
        <f t="array" ref="D110:L117">GDP*(1+(GRW_NOT_1/100))^YP_NOT_1</f>
        <v>14350558.5364135</v>
      </c>
      <c r="E110" s="37">
        <v>16790640.029469609</v>
      </c>
      <c r="F110" s="37">
        <v>18970679.403544687</v>
      </c>
      <c r="G110" s="37">
        <v>21021502.247921091</v>
      </c>
      <c r="H110" s="37">
        <v>23129305.898608789</v>
      </c>
      <c r="I110" s="37">
        <v>27910799.197168358</v>
      </c>
      <c r="J110" s="37">
        <v>34152084.471011065</v>
      </c>
      <c r="K110" s="37">
        <v>102015483.33227719</v>
      </c>
      <c r="L110" s="37">
        <v>144326831.51046821</v>
      </c>
      <c r="N110" s="1" t="str">
        <f t="shared" ref="N110:N118" si="1">CURRENCY_NAME</f>
        <v>$million</v>
      </c>
    </row>
    <row r="111" spans="1:16" s="1" customFormat="1" x14ac:dyDescent="0.25">
      <c r="A111" s="1" t="str">
        <v>US</v>
      </c>
      <c r="B111" s="38">
        <v>9691134.6837654058</v>
      </c>
      <c r="C111" s="38">
        <v>12314072.094679188</v>
      </c>
      <c r="D111" s="38">
        <v>15122206.932276687</v>
      </c>
      <c r="E111" s="38">
        <v>18009319.245494634</v>
      </c>
      <c r="F111" s="38">
        <v>21218122.098966263</v>
      </c>
      <c r="G111" s="38">
        <v>24570334.805505894</v>
      </c>
      <c r="H111" s="38">
        <v>28104990.811294805</v>
      </c>
      <c r="I111" s="38">
        <v>36527410.093476795</v>
      </c>
      <c r="J111" s="38">
        <v>46836004.715268441</v>
      </c>
      <c r="K111" s="38">
        <v>139903544.17273062</v>
      </c>
      <c r="L111" s="38">
        <v>197929123.97197303</v>
      </c>
      <c r="N111" s="1" t="str">
        <f t="shared" si="1"/>
        <v>$million</v>
      </c>
    </row>
    <row r="112" spans="1:16" s="1" customFormat="1" x14ac:dyDescent="0.25">
      <c r="A112" s="1" t="str">
        <v>OT</v>
      </c>
      <c r="B112" s="38">
        <v>3335815.1355378567</v>
      </c>
      <c r="C112" s="38">
        <v>4881482.0258092359</v>
      </c>
      <c r="D112" s="38">
        <v>7065175.1376859955</v>
      </c>
      <c r="E112" s="38">
        <v>10045716.636436341</v>
      </c>
      <c r="F112" s="38">
        <v>13916816.479900775</v>
      </c>
      <c r="G112" s="38">
        <v>18580016.344591543</v>
      </c>
      <c r="H112" s="38">
        <v>24169769.481986865</v>
      </c>
      <c r="I112" s="38">
        <v>37289654.034856603</v>
      </c>
      <c r="J112" s="38">
        <v>52885451.840071663</v>
      </c>
      <c r="K112" s="38">
        <v>157973810.80180544</v>
      </c>
      <c r="L112" s="38">
        <v>223494109.22650596</v>
      </c>
      <c r="N112" s="1" t="str">
        <f t="shared" si="1"/>
        <v>$million</v>
      </c>
    </row>
    <row r="113" spans="1:26" s="1" customFormat="1" x14ac:dyDescent="0.25">
      <c r="A113" s="1" t="str">
        <v>EE</v>
      </c>
      <c r="B113" s="38">
        <v>1334326.0542151425</v>
      </c>
      <c r="C113" s="38">
        <v>1952592.810323694</v>
      </c>
      <c r="D113" s="38">
        <v>2826070.0550743975</v>
      </c>
      <c r="E113" s="38">
        <v>4018286.6545745358</v>
      </c>
      <c r="F113" s="38">
        <v>5566726.5919603091</v>
      </c>
      <c r="G113" s="38">
        <v>7432006.5378366159</v>
      </c>
      <c r="H113" s="38">
        <v>9667907.7927947436</v>
      </c>
      <c r="I113" s="38">
        <v>14915861.613942636</v>
      </c>
      <c r="J113" s="38">
        <v>21154180.736028656</v>
      </c>
      <c r="K113" s="38">
        <v>63189524.320722148</v>
      </c>
      <c r="L113" s="38">
        <v>89397643.690602347</v>
      </c>
      <c r="N113" s="1" t="str">
        <f t="shared" si="1"/>
        <v>$million</v>
      </c>
    </row>
    <row r="114" spans="1:26" s="1" customFormat="1" x14ac:dyDescent="0.25">
      <c r="A114" s="1" t="str">
        <v>CA</v>
      </c>
      <c r="B114" s="38">
        <v>2668652.108430285</v>
      </c>
      <c r="C114" s="38">
        <v>3905185.620647388</v>
      </c>
      <c r="D114" s="38">
        <v>5652140.1101487949</v>
      </c>
      <c r="E114" s="38">
        <v>8036573.3091490716</v>
      </c>
      <c r="F114" s="38">
        <v>11133453.183920618</v>
      </c>
      <c r="G114" s="38">
        <v>14864013.075673232</v>
      </c>
      <c r="H114" s="38">
        <v>19335815.585589487</v>
      </c>
      <c r="I114" s="38">
        <v>29831723.227885272</v>
      </c>
      <c r="J114" s="38">
        <v>42308361.472057313</v>
      </c>
      <c r="K114" s="38">
        <v>126379048.6414443</v>
      </c>
      <c r="L114" s="38">
        <v>178795287.38120469</v>
      </c>
      <c r="N114" s="1" t="str">
        <f t="shared" si="1"/>
        <v>$million</v>
      </c>
    </row>
    <row r="115" spans="1:26" s="1" customFormat="1" x14ac:dyDescent="0.25">
      <c r="A115" s="1" t="str">
        <v>IA</v>
      </c>
      <c r="B115" s="38">
        <v>2223876.7570252372</v>
      </c>
      <c r="C115" s="38">
        <v>3254321.3505394896</v>
      </c>
      <c r="D115" s="38">
        <v>4710116.7584573291</v>
      </c>
      <c r="E115" s="38">
        <v>6697144.4242908927</v>
      </c>
      <c r="F115" s="38">
        <v>9277877.6532671805</v>
      </c>
      <c r="G115" s="38">
        <v>12386677.563061025</v>
      </c>
      <c r="H115" s="38">
        <v>16113179.654657906</v>
      </c>
      <c r="I115" s="38">
        <v>24859769.35657106</v>
      </c>
      <c r="J115" s="38">
        <v>35256967.893381096</v>
      </c>
      <c r="K115" s="38">
        <v>105315873.86787024</v>
      </c>
      <c r="L115" s="38">
        <v>148996072.81767055</v>
      </c>
      <c r="N115" s="1" t="str">
        <f t="shared" si="1"/>
        <v>$million</v>
      </c>
    </row>
    <row r="116" spans="1:26" s="1" customFormat="1" x14ac:dyDescent="0.25">
      <c r="A116" s="1" t="str">
        <v>AF</v>
      </c>
      <c r="B116" s="38">
        <v>1556713.7299176662</v>
      </c>
      <c r="C116" s="38">
        <v>2278024.9453776428</v>
      </c>
      <c r="D116" s="38">
        <v>3297081.7309201304</v>
      </c>
      <c r="E116" s="38">
        <v>4688001.0970036248</v>
      </c>
      <c r="F116" s="38">
        <v>6494514.3572870269</v>
      </c>
      <c r="G116" s="38">
        <v>8670674.2941427175</v>
      </c>
      <c r="H116" s="38">
        <v>11279225.758260533</v>
      </c>
      <c r="I116" s="38">
        <v>17401838.549599741</v>
      </c>
      <c r="J116" s="38">
        <v>24679877.525366765</v>
      </c>
      <c r="K116" s="38">
        <v>73721111.70750916</v>
      </c>
      <c r="L116" s="38">
        <v>104297250.97236939</v>
      </c>
      <c r="N116" s="1" t="str">
        <f t="shared" si="1"/>
        <v>$million</v>
      </c>
    </row>
    <row r="117" spans="1:26" s="1" customFormat="1" x14ac:dyDescent="0.25">
      <c r="A117" s="1" t="str">
        <v>LA</v>
      </c>
      <c r="B117" s="38">
        <v>1779101.4056201898</v>
      </c>
      <c r="C117" s="38">
        <v>2603457.0804315917</v>
      </c>
      <c r="D117" s="38">
        <v>3768093.4067658628</v>
      </c>
      <c r="E117" s="38">
        <v>5357715.5394327138</v>
      </c>
      <c r="F117" s="38">
        <v>7422302.1226137448</v>
      </c>
      <c r="G117" s="38">
        <v>9909342.05044882</v>
      </c>
      <c r="H117" s="38">
        <v>12890543.723726325</v>
      </c>
      <c r="I117" s="38">
        <v>19887815.485256847</v>
      </c>
      <c r="J117" s="38">
        <v>28205574.314704876</v>
      </c>
      <c r="K117" s="38">
        <v>84252699.094296202</v>
      </c>
      <c r="L117" s="38">
        <v>119196858.25413647</v>
      </c>
      <c r="N117" s="1" t="str">
        <f t="shared" si="1"/>
        <v>$million</v>
      </c>
    </row>
    <row r="118" spans="1:26" s="1" customFormat="1" ht="13.5" thickBot="1" x14ac:dyDescent="0.35">
      <c r="A118" s="61" t="s">
        <v>257</v>
      </c>
      <c r="B118" s="50">
        <f>SUM(B110:B117)</f>
        <v>32540634.56966183</v>
      </c>
      <c r="C118" s="50">
        <f>SUM(C110:C117)</f>
        <v>43129886.912965715</v>
      </c>
      <c r="D118" s="50">
        <f t="shared" ref="D118:L118" si="2">SUM(D110:D117)</f>
        <v>56791442.667742692</v>
      </c>
      <c r="E118" s="50">
        <f t="shared" si="2"/>
        <v>73643396.93585144</v>
      </c>
      <c r="F118" s="50">
        <f t="shared" si="2"/>
        <v>94000491.891460612</v>
      </c>
      <c r="G118" s="50">
        <f t="shared" si="2"/>
        <v>117434566.91918094</v>
      </c>
      <c r="H118" s="50">
        <f t="shared" si="2"/>
        <v>144690738.70691946</v>
      </c>
      <c r="I118" s="50">
        <f t="shared" si="2"/>
        <v>208624871.55875731</v>
      </c>
      <c r="J118" s="50">
        <f t="shared" si="2"/>
        <v>285478502.96788985</v>
      </c>
      <c r="K118" s="50">
        <f t="shared" si="2"/>
        <v>852751095.93865526</v>
      </c>
      <c r="L118" s="50">
        <f t="shared" si="2"/>
        <v>1206433177.8249307</v>
      </c>
      <c r="N118" s="1" t="str">
        <f t="shared" si="1"/>
        <v>$million</v>
      </c>
      <c r="Q118" s="126">
        <v>2010</v>
      </c>
      <c r="R118" s="126">
        <v>2020</v>
      </c>
      <c r="S118" s="126">
        <v>2030</v>
      </c>
      <c r="T118" s="126">
        <v>2040</v>
      </c>
      <c r="U118" s="126">
        <v>2050</v>
      </c>
      <c r="V118" s="126">
        <v>2060</v>
      </c>
      <c r="W118" s="126">
        <v>2080</v>
      </c>
      <c r="X118" s="126">
        <v>2100</v>
      </c>
      <c r="Y118" s="126">
        <v>2200</v>
      </c>
      <c r="Z118" s="126">
        <v>2300</v>
      </c>
    </row>
    <row r="119" spans="1:26" s="1" customFormat="1" ht="14" thickTop="1" thickBot="1" x14ac:dyDescent="0.35">
      <c r="A119" s="61" t="s">
        <v>258</v>
      </c>
      <c r="B119" s="61"/>
      <c r="C119" s="49">
        <f>((GDP_G_1/GDP_G_0)^(1/YP_1)-1)*100</f>
        <v>2.8573261092961655</v>
      </c>
      <c r="D119" s="49">
        <f t="array" ref="D119:L119">((GDP_G_NOT_1/GDP_G)^(1/YP_NOT_1)-1)*100</f>
        <v>2.7899034606995166</v>
      </c>
      <c r="E119" s="49">
        <v>2.632543310019364</v>
      </c>
      <c r="F119" s="49">
        <v>2.4706830945357305</v>
      </c>
      <c r="G119" s="49">
        <v>2.2507688890923028</v>
      </c>
      <c r="H119" s="49">
        <v>2.1091070642184517</v>
      </c>
      <c r="I119" s="49">
        <v>1.846537181528296</v>
      </c>
      <c r="J119" s="49">
        <v>1.5805047327239086</v>
      </c>
      <c r="K119" s="49">
        <v>1.1003103496429301</v>
      </c>
      <c r="L119" s="49">
        <v>0.34755838021982566</v>
      </c>
      <c r="N119" s="1" t="s">
        <v>46</v>
      </c>
      <c r="P119" s="84" t="s">
        <v>2167</v>
      </c>
      <c r="Q119" s="7">
        <f>C119</f>
        <v>2.8573261092961655</v>
      </c>
      <c r="R119" s="7">
        <f t="shared" ref="R119:Y119" si="3">D119</f>
        <v>2.7899034606995166</v>
      </c>
      <c r="S119" s="7">
        <f t="shared" si="3"/>
        <v>2.632543310019364</v>
      </c>
      <c r="T119" s="7">
        <f t="shared" si="3"/>
        <v>2.4706830945357305</v>
      </c>
      <c r="U119" s="7">
        <f t="shared" si="3"/>
        <v>2.2507688890923028</v>
      </c>
      <c r="V119" s="7">
        <f t="shared" si="3"/>
        <v>2.1091070642184517</v>
      </c>
      <c r="W119" s="7">
        <f t="shared" si="3"/>
        <v>1.846537181528296</v>
      </c>
      <c r="X119" s="7">
        <f t="shared" si="3"/>
        <v>1.5805047327239086</v>
      </c>
      <c r="Y119" s="7">
        <f t="shared" si="3"/>
        <v>1.1003103496429301</v>
      </c>
      <c r="Z119" s="7">
        <f>L119</f>
        <v>0.34755838021982566</v>
      </c>
    </row>
    <row r="120" spans="1:26" s="1" customFormat="1" ht="13.5" thickTop="1" x14ac:dyDescent="0.3">
      <c r="A120" s="2" t="s">
        <v>173</v>
      </c>
      <c r="B120" s="2"/>
      <c r="C120"/>
      <c r="D120"/>
      <c r="E120"/>
      <c r="F120"/>
      <c r="G120"/>
      <c r="H120"/>
      <c r="I120"/>
      <c r="J120"/>
      <c r="K120"/>
      <c r="L120"/>
      <c r="M120"/>
      <c r="N120"/>
    </row>
    <row r="121" spans="1:26" s="1" customFormat="1" x14ac:dyDescent="0.25">
      <c r="A121" s="1" t="str">
        <f t="array" ref="A121:A128">R_CODE</f>
        <v>EU</v>
      </c>
      <c r="B121" s="37">
        <f t="array" ref="B121:B128">POP_0</f>
        <v>542.26326511697175</v>
      </c>
      <c r="C121" s="37">
        <f t="array" ref="C121:C128">POP_0*(1+(POP_GRW_1/100))^YP_1</f>
        <v>555.72276812244309</v>
      </c>
      <c r="D121" s="37">
        <f t="array" ref="D121:L128">POP*(1+(POP_GRW_NOT_1/100))^YP_NOT_1</f>
        <v>560.02590660778344</v>
      </c>
      <c r="E121" s="37">
        <v>557.93296448359752</v>
      </c>
      <c r="F121" s="37">
        <v>549.73543850903911</v>
      </c>
      <c r="G121" s="37">
        <v>536.80533662879986</v>
      </c>
      <c r="H121" s="37">
        <v>522.82678267752885</v>
      </c>
      <c r="I121" s="37">
        <v>499.10556962483452</v>
      </c>
      <c r="J121" s="37">
        <v>487.85303967322955</v>
      </c>
      <c r="K121" s="37">
        <v>466.19710198337117</v>
      </c>
      <c r="L121" s="37">
        <v>466.19710198337117</v>
      </c>
      <c r="N121" s="1" t="str">
        <f t="shared" ref="N121:N129" si="4">POP_UNIT_NAME</f>
        <v>million</v>
      </c>
    </row>
    <row r="122" spans="1:26" s="1" customFormat="1" x14ac:dyDescent="0.25">
      <c r="A122" s="1" t="str">
        <v>US</v>
      </c>
      <c r="B122" s="38">
        <v>288.93292437115696</v>
      </c>
      <c r="C122" s="38">
        <v>316.3013498989888</v>
      </c>
      <c r="D122" s="38">
        <v>343.28681563512714</v>
      </c>
      <c r="E122" s="38">
        <v>366.51562828872665</v>
      </c>
      <c r="F122" s="38">
        <v>384.9263513395901</v>
      </c>
      <c r="G122" s="38">
        <v>401.22108617964392</v>
      </c>
      <c r="H122" s="38">
        <v>413.31619317116895</v>
      </c>
      <c r="I122" s="38">
        <v>433.06348505714919</v>
      </c>
      <c r="J122" s="38">
        <v>446.60830024191569</v>
      </c>
      <c r="K122" s="38">
        <v>477.36724361626619</v>
      </c>
      <c r="L122" s="38">
        <v>477.36724361626619</v>
      </c>
      <c r="N122" s="1" t="str">
        <f t="shared" si="4"/>
        <v>million</v>
      </c>
    </row>
    <row r="123" spans="1:26" s="1" customFormat="1" x14ac:dyDescent="0.25">
      <c r="A123" s="1" t="str">
        <v>OT</v>
      </c>
      <c r="B123" s="38">
        <v>193.83313893635838</v>
      </c>
      <c r="C123" s="38">
        <v>221.06502392264255</v>
      </c>
      <c r="D123" s="38">
        <v>247.22164366329289</v>
      </c>
      <c r="E123" s="38">
        <v>269.17905858143462</v>
      </c>
      <c r="F123" s="38">
        <v>286.71342017520254</v>
      </c>
      <c r="G123" s="38">
        <v>299.80769471933223</v>
      </c>
      <c r="H123" s="38">
        <v>309.03326839254237</v>
      </c>
      <c r="I123" s="38">
        <v>317.68597690475093</v>
      </c>
      <c r="J123" s="38">
        <v>315.50197030503773</v>
      </c>
      <c r="K123" s="38">
        <v>308.36851343616826</v>
      </c>
      <c r="L123" s="38">
        <v>308.36851343616826</v>
      </c>
      <c r="N123" s="1" t="str">
        <f t="shared" si="4"/>
        <v>million</v>
      </c>
    </row>
    <row r="124" spans="1:26" s="1" customFormat="1" x14ac:dyDescent="0.25">
      <c r="A124" s="1" t="str">
        <v>EE</v>
      </c>
      <c r="B124" s="38">
        <v>581.49941680907511</v>
      </c>
      <c r="C124" s="38">
        <v>663.19507176792763</v>
      </c>
      <c r="D124" s="38">
        <v>741.6649309898786</v>
      </c>
      <c r="E124" s="38">
        <v>807.53717574430368</v>
      </c>
      <c r="F124" s="38">
        <v>860.14026052560746</v>
      </c>
      <c r="G124" s="38">
        <v>899.42308415799641</v>
      </c>
      <c r="H124" s="38">
        <v>927.09980517762676</v>
      </c>
      <c r="I124" s="38">
        <v>953.05793071425239</v>
      </c>
      <c r="J124" s="38">
        <v>946.50591091511285</v>
      </c>
      <c r="K124" s="38">
        <v>925.10554030850437</v>
      </c>
      <c r="L124" s="38">
        <v>925.10554030850437</v>
      </c>
      <c r="N124" s="1" t="str">
        <f t="shared" si="4"/>
        <v>million</v>
      </c>
    </row>
    <row r="125" spans="1:26" s="1" customFormat="1" x14ac:dyDescent="0.25">
      <c r="A125" s="1" t="str">
        <v>CA</v>
      </c>
      <c r="B125" s="38">
        <v>1259.9154030863294</v>
      </c>
      <c r="C125" s="38">
        <v>1436.9226554971765</v>
      </c>
      <c r="D125" s="38">
        <v>1606.9406838114037</v>
      </c>
      <c r="E125" s="38">
        <v>1749.6638807793247</v>
      </c>
      <c r="F125" s="38">
        <v>1863.6372311388161</v>
      </c>
      <c r="G125" s="38">
        <v>1948.7500156756589</v>
      </c>
      <c r="H125" s="38">
        <v>2008.7162445515246</v>
      </c>
      <c r="I125" s="38">
        <v>2064.9588498808803</v>
      </c>
      <c r="J125" s="38">
        <v>2050.7628069827447</v>
      </c>
      <c r="K125" s="38">
        <v>2004.395337335093</v>
      </c>
      <c r="L125" s="38">
        <v>2004.395337335093</v>
      </c>
      <c r="N125" s="1" t="str">
        <f t="shared" si="4"/>
        <v>million</v>
      </c>
    </row>
    <row r="126" spans="1:26" s="1" customFormat="1" x14ac:dyDescent="0.25">
      <c r="A126" s="1" t="str">
        <v>IA</v>
      </c>
      <c r="B126" s="38">
        <v>1938.3313893635836</v>
      </c>
      <c r="C126" s="38">
        <v>2210.6502392264256</v>
      </c>
      <c r="D126" s="38">
        <v>2472.2164366329289</v>
      </c>
      <c r="E126" s="38">
        <v>2691.7905858143458</v>
      </c>
      <c r="F126" s="38">
        <v>2867.1342017520251</v>
      </c>
      <c r="G126" s="38">
        <v>2998.0769471933218</v>
      </c>
      <c r="H126" s="38">
        <v>3090.3326839254228</v>
      </c>
      <c r="I126" s="38">
        <v>3176.8597690475081</v>
      </c>
      <c r="J126" s="38">
        <v>3155.0197030503764</v>
      </c>
      <c r="K126" s="38">
        <v>3083.6851343616818</v>
      </c>
      <c r="L126" s="38">
        <v>3083.6851343616818</v>
      </c>
      <c r="N126" s="1" t="str">
        <f t="shared" si="4"/>
        <v>million</v>
      </c>
    </row>
    <row r="127" spans="1:26" s="1" customFormat="1" x14ac:dyDescent="0.25">
      <c r="A127" s="1" t="str">
        <v>AF</v>
      </c>
      <c r="B127" s="38">
        <v>775.33255574543352</v>
      </c>
      <c r="C127" s="38">
        <v>884.26009569057021</v>
      </c>
      <c r="D127" s="38">
        <v>988.88657465317158</v>
      </c>
      <c r="E127" s="38">
        <v>1076.7162343257385</v>
      </c>
      <c r="F127" s="38">
        <v>1146.8536807008102</v>
      </c>
      <c r="G127" s="38">
        <v>1199.2307788773289</v>
      </c>
      <c r="H127" s="38">
        <v>1236.1330735701695</v>
      </c>
      <c r="I127" s="38">
        <v>1270.7439076190037</v>
      </c>
      <c r="J127" s="38">
        <v>1262.0078812201509</v>
      </c>
      <c r="K127" s="38">
        <v>1233.474053744673</v>
      </c>
      <c r="L127" s="38">
        <v>1233.474053744673</v>
      </c>
      <c r="N127" s="1" t="str">
        <f t="shared" si="4"/>
        <v>million</v>
      </c>
    </row>
    <row r="128" spans="1:26" s="1" customFormat="1" x14ac:dyDescent="0.25">
      <c r="A128" s="1" t="str">
        <v>LA</v>
      </c>
      <c r="B128" s="38">
        <v>484.58284734089591</v>
      </c>
      <c r="C128" s="38">
        <v>552.6625598066064</v>
      </c>
      <c r="D128" s="38">
        <v>618.05410915823222</v>
      </c>
      <c r="E128" s="38">
        <v>672.94764645358646</v>
      </c>
      <c r="F128" s="38">
        <v>716.78355043800627</v>
      </c>
      <c r="G128" s="38">
        <v>749.51923679833044</v>
      </c>
      <c r="H128" s="38">
        <v>772.58317098135569</v>
      </c>
      <c r="I128" s="38">
        <v>794.21494226187701</v>
      </c>
      <c r="J128" s="38">
        <v>788.7549257625941</v>
      </c>
      <c r="K128" s="38">
        <v>770.92128359042044</v>
      </c>
      <c r="L128" s="38">
        <v>770.92128359042044</v>
      </c>
      <c r="N128" s="1" t="str">
        <f t="shared" si="4"/>
        <v>million</v>
      </c>
    </row>
    <row r="129" spans="1:26" s="1" customFormat="1" ht="13.5" thickBot="1" x14ac:dyDescent="0.35">
      <c r="A129" s="61" t="s">
        <v>257</v>
      </c>
      <c r="B129" s="50">
        <f>SUM(B121:B128)</f>
        <v>6064.6909407698049</v>
      </c>
      <c r="C129" s="50">
        <f t="shared" ref="C129:L129" si="5">SUM(C121:C128)</f>
        <v>6840.779763932781</v>
      </c>
      <c r="D129" s="50">
        <f t="shared" si="5"/>
        <v>7578.2971011518184</v>
      </c>
      <c r="E129" s="50">
        <f t="shared" si="5"/>
        <v>8192.2831744710584</v>
      </c>
      <c r="F129" s="50">
        <f t="shared" si="5"/>
        <v>8675.9241345790979</v>
      </c>
      <c r="G129" s="50">
        <f t="shared" si="5"/>
        <v>9032.834180230413</v>
      </c>
      <c r="H129" s="50">
        <f t="shared" si="5"/>
        <v>9280.0412224473384</v>
      </c>
      <c r="I129" s="50">
        <f t="shared" si="5"/>
        <v>9509.6904311102553</v>
      </c>
      <c r="J129" s="50">
        <f t="shared" si="5"/>
        <v>9453.0145381511611</v>
      </c>
      <c r="K129" s="50">
        <f t="shared" si="5"/>
        <v>9269.5142083761784</v>
      </c>
      <c r="L129" s="50">
        <f t="shared" si="5"/>
        <v>9269.5142083761784</v>
      </c>
      <c r="N129" s="1" t="str">
        <f t="shared" si="4"/>
        <v>million</v>
      </c>
    </row>
    <row r="130" spans="1:26" s="1" customFormat="1" ht="14" thickTop="1" thickBot="1" x14ac:dyDescent="0.35">
      <c r="A130" s="61" t="s">
        <v>258</v>
      </c>
      <c r="B130" s="61"/>
      <c r="C130" s="49">
        <f>((POP_G_1/POP_G_0)^(1/YP_1)-1)*100</f>
        <v>1.2114608788774239</v>
      </c>
      <c r="D130" s="49">
        <f t="array" ref="D130:L130">((POP_G_NOT_1/POP_G)^(1/YP_NOT_1)-1)*100</f>
        <v>1.0291273808620494</v>
      </c>
      <c r="E130" s="49">
        <v>0.78208359439599917</v>
      </c>
      <c r="F130" s="49">
        <v>0.5752403269390971</v>
      </c>
      <c r="G130" s="49">
        <v>0.403957038293834</v>
      </c>
      <c r="H130" s="49">
        <v>0.27036290280522124</v>
      </c>
      <c r="I130" s="49">
        <v>0.12230140340143691</v>
      </c>
      <c r="J130" s="49">
        <v>-2.9883707486466626E-2</v>
      </c>
      <c r="K130" s="49">
        <v>-1.9600794677032685E-2</v>
      </c>
      <c r="L130" s="49">
        <v>0</v>
      </c>
      <c r="N130" s="1" t="s">
        <v>46</v>
      </c>
    </row>
    <row r="131" spans="1:26" s="1" customFormat="1" ht="13.5" thickTop="1" x14ac:dyDescent="0.3">
      <c r="A131" s="2" t="s">
        <v>176</v>
      </c>
      <c r="B131" s="2"/>
      <c r="C131"/>
      <c r="D131"/>
      <c r="E131"/>
      <c r="F131"/>
      <c r="G131"/>
      <c r="H131"/>
      <c r="I131"/>
      <c r="J131"/>
      <c r="K131"/>
      <c r="L131"/>
      <c r="M131"/>
      <c r="N131"/>
    </row>
    <row r="132" spans="1:26" s="1" customFormat="1" x14ac:dyDescent="0.25">
      <c r="A132" s="1" t="str">
        <f t="array" ref="A132:A139">R_CODE</f>
        <v>EU</v>
      </c>
      <c r="B132" s="37">
        <f t="array" ref="B132:B139">GDP_0/POP_0</f>
        <v>18350.892150150557</v>
      </c>
      <c r="C132" s="37">
        <f t="array" ref="C132:L139">GDP/POP</f>
        <v>21486.884594454059</v>
      </c>
      <c r="D132" s="37">
        <v>25624.811936537742</v>
      </c>
      <c r="E132" s="37">
        <v>30094.368137954378</v>
      </c>
      <c r="F132" s="37">
        <v>34508.743796826842</v>
      </c>
      <c r="G132" s="37">
        <v>39160.382383563054</v>
      </c>
      <c r="H132" s="37">
        <v>44238.946176700694</v>
      </c>
      <c r="I132" s="37">
        <v>55921.634411229323</v>
      </c>
      <c r="J132" s="37">
        <v>70004.861492482625</v>
      </c>
      <c r="K132" s="37">
        <v>218824.79084118371</v>
      </c>
      <c r="L132" s="37">
        <v>309583.28761901276</v>
      </c>
      <c r="N132" s="1" t="str">
        <f t="shared" ref="N132:N140" si="6">CURRENCY_NAME&amp;"/"&amp;POP_UNIT_NAME</f>
        <v>$million/million</v>
      </c>
    </row>
    <row r="133" spans="1:26" s="1" customFormat="1" x14ac:dyDescent="0.25">
      <c r="A133" s="1" t="str">
        <v>US</v>
      </c>
      <c r="B133" s="38">
        <v>33541.122753170159</v>
      </c>
      <c r="C133" s="38">
        <v>38931.45602638655</v>
      </c>
      <c r="D133" s="38">
        <v>44051.231342219056</v>
      </c>
      <c r="E133" s="38">
        <v>49136.565689110532</v>
      </c>
      <c r="F133" s="38">
        <v>55122.550132316588</v>
      </c>
      <c r="G133" s="38">
        <v>61238.892101759324</v>
      </c>
      <c r="H133" s="38">
        <v>67998.765293126387</v>
      </c>
      <c r="I133" s="38">
        <v>84346.548147915208</v>
      </c>
      <c r="J133" s="38">
        <v>104870.43050901346</v>
      </c>
      <c r="K133" s="38">
        <v>293073.19688066555</v>
      </c>
      <c r="L133" s="38">
        <v>414626.53045184485</v>
      </c>
      <c r="N133" s="1" t="str">
        <f t="shared" si="6"/>
        <v>$million/million</v>
      </c>
    </row>
    <row r="134" spans="1:26" s="1" customFormat="1" x14ac:dyDescent="0.25">
      <c r="A134" s="1" t="str">
        <v>OT</v>
      </c>
      <c r="B134" s="38">
        <v>17209.725611641214</v>
      </c>
      <c r="C134" s="38">
        <v>22081.656967668554</v>
      </c>
      <c r="D134" s="38">
        <v>28578.303392030324</v>
      </c>
      <c r="E134" s="38">
        <v>37319.8297422428</v>
      </c>
      <c r="F134" s="38">
        <v>48539.117811076292</v>
      </c>
      <c r="G134" s="38">
        <v>61973.113672033665</v>
      </c>
      <c r="H134" s="38">
        <v>78210.89815898324</v>
      </c>
      <c r="I134" s="38">
        <v>117378.97403648018</v>
      </c>
      <c r="J134" s="38">
        <v>167623.20624793647</v>
      </c>
      <c r="K134" s="38">
        <v>512289.04352618265</v>
      </c>
      <c r="L134" s="38">
        <v>724763.06590481021</v>
      </c>
      <c r="N134" s="1" t="str">
        <f t="shared" si="6"/>
        <v>$million/million</v>
      </c>
    </row>
    <row r="135" spans="1:26" s="1" customFormat="1" x14ac:dyDescent="0.25">
      <c r="A135" s="1" t="str">
        <v>EE</v>
      </c>
      <c r="B135" s="38">
        <v>2294.6300815521618</v>
      </c>
      <c r="C135" s="38">
        <v>2944.2209290224737</v>
      </c>
      <c r="D135" s="38">
        <v>3810.4404522707096</v>
      </c>
      <c r="E135" s="38">
        <v>4975.9772989657067</v>
      </c>
      <c r="F135" s="38">
        <v>6471.8823748101731</v>
      </c>
      <c r="G135" s="38">
        <v>8263.0818229378237</v>
      </c>
      <c r="H135" s="38">
        <v>10428.119754531099</v>
      </c>
      <c r="I135" s="38">
        <v>15650.529871530693</v>
      </c>
      <c r="J135" s="38">
        <v>22349.760833058193</v>
      </c>
      <c r="K135" s="38">
        <v>68305.205803491015</v>
      </c>
      <c r="L135" s="38">
        <v>96635.075453974699</v>
      </c>
      <c r="N135" s="1" t="str">
        <f t="shared" si="6"/>
        <v>$million/million</v>
      </c>
    </row>
    <row r="136" spans="1:26" s="1" customFormat="1" x14ac:dyDescent="0.25">
      <c r="A136" s="1" t="str">
        <v>CA</v>
      </c>
      <c r="B136" s="38">
        <v>2118.1200752789186</v>
      </c>
      <c r="C136" s="38">
        <v>2717.7423960207452</v>
      </c>
      <c r="D136" s="38">
        <v>3517.3296482498854</v>
      </c>
      <c r="E136" s="38">
        <v>4593.2098144298834</v>
      </c>
      <c r="F136" s="38">
        <v>5974.0452690555439</v>
      </c>
      <c r="G136" s="38">
        <v>7627.4601442502981</v>
      </c>
      <c r="H136" s="38">
        <v>9625.956696490246</v>
      </c>
      <c r="I136" s="38">
        <v>14446.642958336024</v>
      </c>
      <c r="J136" s="38">
        <v>20630.548461284485</v>
      </c>
      <c r="K136" s="38">
        <v>63050.959203222475</v>
      </c>
      <c r="L136" s="38">
        <v>89201.608111361245</v>
      </c>
      <c r="N136" s="1" t="str">
        <f t="shared" si="6"/>
        <v>$million/million</v>
      </c>
    </row>
    <row r="137" spans="1:26" s="1" customFormat="1" x14ac:dyDescent="0.25">
      <c r="A137" s="1" t="str">
        <v>IA</v>
      </c>
      <c r="B137" s="38">
        <v>1147.3150407760807</v>
      </c>
      <c r="C137" s="38">
        <v>1472.1104645112366</v>
      </c>
      <c r="D137" s="38">
        <v>1905.2202261353546</v>
      </c>
      <c r="E137" s="38">
        <v>2487.9886494828534</v>
      </c>
      <c r="F137" s="38">
        <v>3235.9411874050857</v>
      </c>
      <c r="G137" s="38">
        <v>4131.5409114689101</v>
      </c>
      <c r="H137" s="38">
        <v>5214.0598772655494</v>
      </c>
      <c r="I137" s="38">
        <v>7825.2649357653463</v>
      </c>
      <c r="J137" s="38">
        <v>11174.880416529097</v>
      </c>
      <c r="K137" s="38">
        <v>34152.6029017455</v>
      </c>
      <c r="L137" s="38">
        <v>48317.537726987328</v>
      </c>
      <c r="N137" s="1" t="str">
        <f t="shared" si="6"/>
        <v>$million/million</v>
      </c>
    </row>
    <row r="138" spans="1:26" s="1" customFormat="1" x14ac:dyDescent="0.25">
      <c r="A138" s="1" t="str">
        <v>AF</v>
      </c>
      <c r="B138" s="38">
        <v>2007.8013213581412</v>
      </c>
      <c r="C138" s="38">
        <v>2576.1933128946639</v>
      </c>
      <c r="D138" s="38">
        <v>3334.1353957368701</v>
      </c>
      <c r="E138" s="38">
        <v>4353.9801365949925</v>
      </c>
      <c r="F138" s="38">
        <v>5662.8970779588999</v>
      </c>
      <c r="G138" s="38">
        <v>7230.1965950705917</v>
      </c>
      <c r="H138" s="38">
        <v>9124.6047852147076</v>
      </c>
      <c r="I138" s="38">
        <v>13694.21363758935</v>
      </c>
      <c r="J138" s="38">
        <v>19556.040728925909</v>
      </c>
      <c r="K138" s="38">
        <v>59767.055078054604</v>
      </c>
      <c r="L138" s="38">
        <v>84555.691022227809</v>
      </c>
      <c r="N138" s="1" t="str">
        <f t="shared" si="6"/>
        <v>$million/million</v>
      </c>
    </row>
    <row r="139" spans="1:26" s="1" customFormat="1" x14ac:dyDescent="0.25">
      <c r="A139" s="1" t="str">
        <v>LA</v>
      </c>
      <c r="B139" s="38">
        <v>3671.4081304834585</v>
      </c>
      <c r="C139" s="38">
        <v>4710.7534864359568</v>
      </c>
      <c r="D139" s="38">
        <v>6096.7047236331337</v>
      </c>
      <c r="E139" s="38">
        <v>7961.56367834513</v>
      </c>
      <c r="F139" s="38">
        <v>10355.011799696274</v>
      </c>
      <c r="G139" s="38">
        <v>13220.930916700514</v>
      </c>
      <c r="H139" s="38">
        <v>16684.991607249758</v>
      </c>
      <c r="I139" s="38">
        <v>25040.847794449106</v>
      </c>
      <c r="J139" s="38">
        <v>35759.617332893111</v>
      </c>
      <c r="K139" s="38">
        <v>109288.32928558561</v>
      </c>
      <c r="L139" s="38">
        <v>154616.12072635948</v>
      </c>
      <c r="N139" s="1" t="str">
        <f t="shared" si="6"/>
        <v>$million/million</v>
      </c>
    </row>
    <row r="140" spans="1:26" s="1" customFormat="1" ht="13.5" thickBot="1" x14ac:dyDescent="0.35">
      <c r="A140" s="61" t="s">
        <v>177</v>
      </c>
      <c r="B140" s="50">
        <f>GDP_G_0/POP_G_0</f>
        <v>5365.5882694545644</v>
      </c>
      <c r="C140" s="50">
        <f t="array" ref="C140:L140">GDP_G/POP_G</f>
        <v>6304.8202692276473</v>
      </c>
      <c r="D140" s="50">
        <v>7493.9583272752679</v>
      </c>
      <c r="E140" s="50">
        <v>8989.3617404901634</v>
      </c>
      <c r="F140" s="50">
        <v>10834.637375032895</v>
      </c>
      <c r="G140" s="50">
        <v>13000.854944974244</v>
      </c>
      <c r="H140" s="50">
        <v>15591.605170559957</v>
      </c>
      <c r="I140" s="50">
        <v>21938.134902504957</v>
      </c>
      <c r="J140" s="50">
        <v>30199.731716875609</v>
      </c>
      <c r="K140" s="50">
        <v>91995.230469368806</v>
      </c>
      <c r="L140" s="50">
        <v>130150.63688394433</v>
      </c>
      <c r="N140" s="1" t="str">
        <f t="shared" si="6"/>
        <v>$million/million</v>
      </c>
      <c r="Q140" s="126">
        <v>2010</v>
      </c>
      <c r="R140" s="126">
        <v>2020</v>
      </c>
      <c r="S140" s="126">
        <v>2030</v>
      </c>
      <c r="T140" s="126">
        <v>2040</v>
      </c>
      <c r="U140" s="126">
        <v>2050</v>
      </c>
      <c r="V140" s="126">
        <v>2060</v>
      </c>
      <c r="W140" s="126">
        <v>2080</v>
      </c>
      <c r="X140" s="126">
        <v>2100</v>
      </c>
      <c r="Y140" s="126">
        <v>2200</v>
      </c>
      <c r="Z140" s="126">
        <v>2300</v>
      </c>
    </row>
    <row r="141" spans="1:26" s="1" customFormat="1" ht="14" thickTop="1" thickBot="1" x14ac:dyDescent="0.35">
      <c r="A141" s="61" t="s">
        <v>178</v>
      </c>
      <c r="B141" s="61"/>
      <c r="C141" s="49">
        <f t="array" ref="C141:L141">GRW_G-POP_GRW_G</f>
        <v>1.6458652304187416</v>
      </c>
      <c r="D141" s="49">
        <v>1.7607760798374672</v>
      </c>
      <c r="E141" s="49">
        <v>1.8504597156233649</v>
      </c>
      <c r="F141" s="49">
        <v>1.8954427675966334</v>
      </c>
      <c r="G141" s="49">
        <v>1.8468118507984688</v>
      </c>
      <c r="H141" s="49">
        <v>1.8387441614132305</v>
      </c>
      <c r="I141" s="49">
        <v>1.7242357781268591</v>
      </c>
      <c r="J141" s="49">
        <v>1.6103884402103752</v>
      </c>
      <c r="K141" s="49">
        <v>1.1199111443199627</v>
      </c>
      <c r="L141" s="49">
        <v>0.34755838021982566</v>
      </c>
      <c r="N141" s="1" t="s">
        <v>46</v>
      </c>
      <c r="P141" s="84" t="s">
        <v>2168</v>
      </c>
      <c r="Q141" s="7">
        <f>C141</f>
        <v>1.6458652304187416</v>
      </c>
      <c r="R141" s="7">
        <f t="shared" ref="R141:Y141" si="7">D141</f>
        <v>1.7607760798374672</v>
      </c>
      <c r="S141" s="7">
        <f t="shared" si="7"/>
        <v>1.8504597156233649</v>
      </c>
      <c r="T141" s="7">
        <f t="shared" si="7"/>
        <v>1.8954427675966334</v>
      </c>
      <c r="U141" s="7">
        <f t="shared" si="7"/>
        <v>1.8468118507984688</v>
      </c>
      <c r="V141" s="7">
        <f t="shared" si="7"/>
        <v>1.8387441614132305</v>
      </c>
      <c r="W141" s="7">
        <f t="shared" si="7"/>
        <v>1.7242357781268591</v>
      </c>
      <c r="X141" s="7">
        <f t="shared" si="7"/>
        <v>1.6103884402103752</v>
      </c>
      <c r="Y141" s="7">
        <f t="shared" si="7"/>
        <v>1.1199111443199627</v>
      </c>
      <c r="Z141" s="7">
        <f>L141</f>
        <v>0.34755838021982566</v>
      </c>
    </row>
    <row r="142" spans="1:26" s="1" customFormat="1" ht="13.5" thickTop="1" x14ac:dyDescent="0.3">
      <c r="A142" s="2" t="s">
        <v>271</v>
      </c>
      <c r="B142" s="2"/>
      <c r="C142"/>
      <c r="D142"/>
      <c r="E142"/>
      <c r="F142"/>
      <c r="G142"/>
      <c r="H142"/>
      <c r="I142"/>
      <c r="J142"/>
      <c r="K142"/>
      <c r="L142"/>
      <c r="M142"/>
      <c r="N142"/>
    </row>
    <row r="143" spans="1:26" s="1" customFormat="1" x14ac:dyDescent="0.25">
      <c r="A143" s="1" t="str">
        <f t="array" ref="A143:A150">R_CODE</f>
        <v>EU</v>
      </c>
      <c r="B143" s="37">
        <f t="array" ref="B143:B150">GDP_PER_CAP_0*(1-SAVE/100)</f>
        <v>15598.258327627973</v>
      </c>
      <c r="C143" s="37">
        <f t="array" ref="C143:L150">GDP_PER_CAP*(1-SAVE/100)</f>
        <v>18263.851905285948</v>
      </c>
      <c r="D143" s="37">
        <v>21781.090146057082</v>
      </c>
      <c r="E143" s="37">
        <v>25580.212917261222</v>
      </c>
      <c r="F143" s="37">
        <v>29332.432227302816</v>
      </c>
      <c r="G143" s="37">
        <v>33286.325026028593</v>
      </c>
      <c r="H143" s="37">
        <v>37603.104250195589</v>
      </c>
      <c r="I143" s="37">
        <v>47533.389249544925</v>
      </c>
      <c r="J143" s="37">
        <v>59504.132268610228</v>
      </c>
      <c r="K143" s="37">
        <v>186001.07221500616</v>
      </c>
      <c r="L143" s="37">
        <v>263145.79447616084</v>
      </c>
      <c r="N143" s="1" t="str">
        <f t="shared" ref="N143:N151" si="8">CURRENCY_NAME&amp;"/"&amp;POP_UNIT_NAME</f>
        <v>$million/million</v>
      </c>
    </row>
    <row r="144" spans="1:26" s="1" customFormat="1" x14ac:dyDescent="0.25">
      <c r="A144" s="1" t="str">
        <v>US</v>
      </c>
      <c r="B144" s="38">
        <v>28509.954340194636</v>
      </c>
      <c r="C144" s="38">
        <v>33091.737622428569</v>
      </c>
      <c r="D144" s="38">
        <v>37443.546640886198</v>
      </c>
      <c r="E144" s="38">
        <v>41766.080835743953</v>
      </c>
      <c r="F144" s="38">
        <v>46854.1676124691</v>
      </c>
      <c r="G144" s="38">
        <v>52053.058286495427</v>
      </c>
      <c r="H144" s="38">
        <v>57798.950499157429</v>
      </c>
      <c r="I144" s="38">
        <v>71694.565925727919</v>
      </c>
      <c r="J144" s="38">
        <v>89139.865932661443</v>
      </c>
      <c r="K144" s="38">
        <v>249112.2173485657</v>
      </c>
      <c r="L144" s="38">
        <v>352432.55088406813</v>
      </c>
      <c r="N144" s="1" t="str">
        <f t="shared" si="8"/>
        <v>$million/million</v>
      </c>
    </row>
    <row r="145" spans="1:14" s="1" customFormat="1" x14ac:dyDescent="0.25">
      <c r="A145" s="1" t="str">
        <v>OT</v>
      </c>
      <c r="B145" s="38">
        <v>14628.266769895032</v>
      </c>
      <c r="C145" s="38">
        <v>18769.408422518271</v>
      </c>
      <c r="D145" s="38">
        <v>24291.557883225774</v>
      </c>
      <c r="E145" s="38">
        <v>31721.85528090638</v>
      </c>
      <c r="F145" s="38">
        <v>41258.250139414849</v>
      </c>
      <c r="G145" s="38">
        <v>52677.146621228618</v>
      </c>
      <c r="H145" s="38">
        <v>66479.263435135756</v>
      </c>
      <c r="I145" s="38">
        <v>99772.127931008159</v>
      </c>
      <c r="J145" s="38">
        <v>142479.725310746</v>
      </c>
      <c r="K145" s="38">
        <v>435445.68699725525</v>
      </c>
      <c r="L145" s="38">
        <v>616048.60601908865</v>
      </c>
      <c r="N145" s="1" t="str">
        <f t="shared" si="8"/>
        <v>$million/million</v>
      </c>
    </row>
    <row r="146" spans="1:14" s="1" customFormat="1" x14ac:dyDescent="0.25">
      <c r="A146" s="1" t="str">
        <v>EE</v>
      </c>
      <c r="B146" s="38">
        <v>1950.4355693193374</v>
      </c>
      <c r="C146" s="38">
        <v>2502.5877896691027</v>
      </c>
      <c r="D146" s="38">
        <v>3238.874384430103</v>
      </c>
      <c r="E146" s="38">
        <v>4229.5807041208509</v>
      </c>
      <c r="F146" s="38">
        <v>5501.1000185886469</v>
      </c>
      <c r="G146" s="38">
        <v>7023.6195494971498</v>
      </c>
      <c r="H146" s="38">
        <v>8863.9017913514344</v>
      </c>
      <c r="I146" s="38">
        <v>13302.950390801088</v>
      </c>
      <c r="J146" s="38">
        <v>18997.296708099464</v>
      </c>
      <c r="K146" s="38">
        <v>58059.424932967362</v>
      </c>
      <c r="L146" s="38">
        <v>82139.814135878492</v>
      </c>
      <c r="N146" s="1" t="str">
        <f t="shared" si="8"/>
        <v>$million/million</v>
      </c>
    </row>
    <row r="147" spans="1:14" s="1" customFormat="1" x14ac:dyDescent="0.25">
      <c r="A147" s="1" t="str">
        <v>CA</v>
      </c>
      <c r="B147" s="38">
        <v>1800.4020639870807</v>
      </c>
      <c r="C147" s="38">
        <v>2310.0810366176333</v>
      </c>
      <c r="D147" s="38">
        <v>2989.7302010124026</v>
      </c>
      <c r="E147" s="38">
        <v>3904.2283422654009</v>
      </c>
      <c r="F147" s="38">
        <v>5077.9384786972123</v>
      </c>
      <c r="G147" s="38">
        <v>6483.3411226127528</v>
      </c>
      <c r="H147" s="38">
        <v>8182.0631920167089</v>
      </c>
      <c r="I147" s="38">
        <v>12279.64651458562</v>
      </c>
      <c r="J147" s="38">
        <v>17535.966192091812</v>
      </c>
      <c r="K147" s="38">
        <v>53593.315322739101</v>
      </c>
      <c r="L147" s="38">
        <v>75821.366894657054</v>
      </c>
      <c r="N147" s="1" t="str">
        <f t="shared" si="8"/>
        <v>$million/million</v>
      </c>
    </row>
    <row r="148" spans="1:14" s="1" customFormat="1" x14ac:dyDescent="0.25">
      <c r="A148" s="1" t="str">
        <v>IA</v>
      </c>
      <c r="B148" s="38">
        <v>975.2177846596685</v>
      </c>
      <c r="C148" s="38">
        <v>1251.2938948345511</v>
      </c>
      <c r="D148" s="38">
        <v>1619.4371922150513</v>
      </c>
      <c r="E148" s="38">
        <v>2114.7903520604254</v>
      </c>
      <c r="F148" s="38">
        <v>2750.5500092943225</v>
      </c>
      <c r="G148" s="38">
        <v>3511.8097747485735</v>
      </c>
      <c r="H148" s="38">
        <v>4431.9508956757172</v>
      </c>
      <c r="I148" s="38">
        <v>6651.4751954005442</v>
      </c>
      <c r="J148" s="38">
        <v>9498.648354049732</v>
      </c>
      <c r="K148" s="38">
        <v>29029.712466483674</v>
      </c>
      <c r="L148" s="38">
        <v>41069.907067939224</v>
      </c>
      <c r="N148" s="1" t="str">
        <f t="shared" si="8"/>
        <v>$million/million</v>
      </c>
    </row>
    <row r="149" spans="1:14" s="1" customFormat="1" x14ac:dyDescent="0.25">
      <c r="A149" s="1" t="str">
        <v>AF</v>
      </c>
      <c r="B149" s="38">
        <v>1706.63112315442</v>
      </c>
      <c r="C149" s="38">
        <v>2189.764315960464</v>
      </c>
      <c r="D149" s="38">
        <v>2834.0150863763397</v>
      </c>
      <c r="E149" s="38">
        <v>3700.8831161057433</v>
      </c>
      <c r="F149" s="38">
        <v>4813.4625162650646</v>
      </c>
      <c r="G149" s="38">
        <v>6145.6671058100028</v>
      </c>
      <c r="H149" s="38">
        <v>7755.9140674325008</v>
      </c>
      <c r="I149" s="38">
        <v>11640.081591950948</v>
      </c>
      <c r="J149" s="38">
        <v>16622.634619587021</v>
      </c>
      <c r="K149" s="38">
        <v>50801.996816346415</v>
      </c>
      <c r="L149" s="38">
        <v>71872.337368893641</v>
      </c>
      <c r="N149" s="1" t="str">
        <f t="shared" si="8"/>
        <v>$million/million</v>
      </c>
    </row>
    <row r="150" spans="1:14" s="1" customFormat="1" x14ac:dyDescent="0.25">
      <c r="A150" s="1" t="str">
        <v>LA</v>
      </c>
      <c r="B150" s="38">
        <v>3120.6969109109396</v>
      </c>
      <c r="C150" s="38">
        <v>4004.1404634705632</v>
      </c>
      <c r="D150" s="38">
        <v>5182.1990150881638</v>
      </c>
      <c r="E150" s="38">
        <v>6767.3291265933603</v>
      </c>
      <c r="F150" s="38">
        <v>8801.7600297418339</v>
      </c>
      <c r="G150" s="38">
        <v>11237.791279195437</v>
      </c>
      <c r="H150" s="38">
        <v>14182.242866162294</v>
      </c>
      <c r="I150" s="38">
        <v>21284.720625281738</v>
      </c>
      <c r="J150" s="38">
        <v>30395.674732959142</v>
      </c>
      <c r="K150" s="38">
        <v>92895.079892747774</v>
      </c>
      <c r="L150" s="38">
        <v>131423.70261740556</v>
      </c>
      <c r="N150" s="1" t="str">
        <f t="shared" si="8"/>
        <v>$million/million</v>
      </c>
    </row>
    <row r="151" spans="1:14" s="1" customFormat="1" ht="13.5" thickBot="1" x14ac:dyDescent="0.35">
      <c r="A151" s="61" t="s">
        <v>177</v>
      </c>
      <c r="B151" s="50">
        <f>GDP_PER_CAP_G_0*(1-SAVE/100)</f>
        <v>4560.7500290363796</v>
      </c>
      <c r="C151" s="50">
        <f t="array" ref="C151:L151">GDP_PER_CAP_G*(1-SAVE/100)</f>
        <v>5359.0972288434996</v>
      </c>
      <c r="D151" s="50">
        <v>6369.8645781839778</v>
      </c>
      <c r="E151" s="50">
        <v>7640.9574794166383</v>
      </c>
      <c r="F151" s="50">
        <v>9209.4417687779605</v>
      </c>
      <c r="G151" s="50">
        <v>11050.726703228107</v>
      </c>
      <c r="H151" s="50">
        <v>13252.864394975963</v>
      </c>
      <c r="I151" s="50">
        <v>18647.414667129211</v>
      </c>
      <c r="J151" s="50">
        <v>25669.771959344267</v>
      </c>
      <c r="K151" s="50">
        <v>78195.945898963488</v>
      </c>
      <c r="L151" s="50">
        <v>110628.04135135267</v>
      </c>
      <c r="N151" s="1" t="str">
        <f t="shared" si="8"/>
        <v>$million/million</v>
      </c>
    </row>
    <row r="152" spans="1:14" s="1" customFormat="1" ht="14" thickTop="1" thickBot="1" x14ac:dyDescent="0.35">
      <c r="A152" s="61" t="s">
        <v>178</v>
      </c>
      <c r="B152" s="61"/>
      <c r="C152" s="49">
        <f>((CONS_PER_CAP_G_1/CONS_PER_CAP_G_0)^(1/YP_1)-1)*100</f>
        <v>1.6261648790826033</v>
      </c>
      <c r="D152" s="49">
        <f t="array" ref="D152:L152">((CONS_PER_CAP_G_NOT_1/CONS_PER_CAP_G)^(1/YP_NOT_1)-1)*100</f>
        <v>1.7428400358241669</v>
      </c>
      <c r="E152" s="49">
        <v>1.8360998796875805</v>
      </c>
      <c r="F152" s="49">
        <v>1.8846017781664282</v>
      </c>
      <c r="G152" s="49">
        <v>1.8393815396081648</v>
      </c>
      <c r="H152" s="49">
        <v>1.8337862835856811</v>
      </c>
      <c r="I152" s="49">
        <v>1.7221295894705335</v>
      </c>
      <c r="J152" s="49">
        <v>1.6108698278377354</v>
      </c>
      <c r="K152" s="49">
        <v>1.1201306988383619</v>
      </c>
      <c r="L152" s="49">
        <v>0.34755838021982566</v>
      </c>
      <c r="N152" s="1" t="s">
        <v>46</v>
      </c>
    </row>
    <row r="153" spans="1:14" ht="13.5" thickTop="1" x14ac:dyDescent="0.3">
      <c r="A153" s="2" t="s">
        <v>116</v>
      </c>
      <c r="B153" s="2"/>
    </row>
    <row r="154" spans="1:14" s="7" customFormat="1" x14ac:dyDescent="0.25">
      <c r="A154" s="1" t="str">
        <f t="array" ref="A154:A161">R_CODE</f>
        <v>EU</v>
      </c>
      <c r="C154" s="51">
        <f t="array" ref="C154:L161">(1+PTP/100)^(-(Y-Y_0))</f>
        <v>0.74409391489672516</v>
      </c>
      <c r="D154" s="51">
        <v>0.55367575418633497</v>
      </c>
      <c r="E154" s="51">
        <v>0.41198675951590691</v>
      </c>
      <c r="F154" s="51">
        <v>0.30655684077380685</v>
      </c>
      <c r="G154" s="51">
        <v>0.22810707978975397</v>
      </c>
      <c r="H154" s="51">
        <v>0.1697330900164177</v>
      </c>
      <c r="I154" s="51">
        <v>9.3977096625217166E-2</v>
      </c>
      <c r="J154" s="51">
        <v>5.2032839850209185E-2</v>
      </c>
      <c r="K154" s="51">
        <v>2.707416422877518E-3</v>
      </c>
      <c r="L154" s="51">
        <v>1.4087456513941214E-4</v>
      </c>
    </row>
    <row r="155" spans="1:14" s="7" customFormat="1" x14ac:dyDescent="0.25">
      <c r="A155" s="1" t="str">
        <v>US</v>
      </c>
      <c r="C155" s="52">
        <v>0.74409391489672516</v>
      </c>
      <c r="D155" s="52">
        <v>0.55367575418633497</v>
      </c>
      <c r="E155" s="52">
        <v>0.41198675951590691</v>
      </c>
      <c r="F155" s="52">
        <v>0.30655684077380685</v>
      </c>
      <c r="G155" s="52">
        <v>0.22810707978975397</v>
      </c>
      <c r="H155" s="52">
        <v>0.1697330900164177</v>
      </c>
      <c r="I155" s="52">
        <v>9.3977096625217166E-2</v>
      </c>
      <c r="J155" s="52">
        <v>5.2032839850209185E-2</v>
      </c>
      <c r="K155" s="52">
        <v>2.707416422877518E-3</v>
      </c>
      <c r="L155" s="52">
        <v>1.4087456513941214E-4</v>
      </c>
    </row>
    <row r="156" spans="1:14" s="7" customFormat="1" x14ac:dyDescent="0.25">
      <c r="A156" s="1" t="str">
        <v>OT</v>
      </c>
      <c r="C156" s="52">
        <v>0.74409391489672516</v>
      </c>
      <c r="D156" s="52">
        <v>0.55367575418633497</v>
      </c>
      <c r="E156" s="52">
        <v>0.41198675951590691</v>
      </c>
      <c r="F156" s="52">
        <v>0.30655684077380685</v>
      </c>
      <c r="G156" s="52">
        <v>0.22810707978975397</v>
      </c>
      <c r="H156" s="52">
        <v>0.1697330900164177</v>
      </c>
      <c r="I156" s="52">
        <v>9.3977096625217166E-2</v>
      </c>
      <c r="J156" s="52">
        <v>5.2032839850209185E-2</v>
      </c>
      <c r="K156" s="52">
        <v>2.707416422877518E-3</v>
      </c>
      <c r="L156" s="52">
        <v>1.4087456513941214E-4</v>
      </c>
    </row>
    <row r="157" spans="1:14" s="7" customFormat="1" x14ac:dyDescent="0.25">
      <c r="A157" s="1" t="str">
        <v>EE</v>
      </c>
      <c r="C157" s="52">
        <v>0.74409391489672516</v>
      </c>
      <c r="D157" s="52">
        <v>0.55367575418633497</v>
      </c>
      <c r="E157" s="52">
        <v>0.41198675951590691</v>
      </c>
      <c r="F157" s="52">
        <v>0.30655684077380685</v>
      </c>
      <c r="G157" s="52">
        <v>0.22810707978975397</v>
      </c>
      <c r="H157" s="52">
        <v>0.1697330900164177</v>
      </c>
      <c r="I157" s="52">
        <v>9.3977096625217166E-2</v>
      </c>
      <c r="J157" s="52">
        <v>5.2032839850209185E-2</v>
      </c>
      <c r="K157" s="52">
        <v>2.707416422877518E-3</v>
      </c>
      <c r="L157" s="52">
        <v>1.4087456513941214E-4</v>
      </c>
    </row>
    <row r="158" spans="1:14" s="7" customFormat="1" x14ac:dyDescent="0.25">
      <c r="A158" s="1" t="str">
        <v>CA</v>
      </c>
      <c r="C158" s="52">
        <v>0.74409391489672516</v>
      </c>
      <c r="D158" s="52">
        <v>0.55367575418633497</v>
      </c>
      <c r="E158" s="52">
        <v>0.41198675951590691</v>
      </c>
      <c r="F158" s="52">
        <v>0.30655684077380685</v>
      </c>
      <c r="G158" s="52">
        <v>0.22810707978975397</v>
      </c>
      <c r="H158" s="52">
        <v>0.1697330900164177</v>
      </c>
      <c r="I158" s="52">
        <v>9.3977096625217166E-2</v>
      </c>
      <c r="J158" s="52">
        <v>5.2032839850209185E-2</v>
      </c>
      <c r="K158" s="52">
        <v>2.707416422877518E-3</v>
      </c>
      <c r="L158" s="52">
        <v>1.4087456513941214E-4</v>
      </c>
    </row>
    <row r="159" spans="1:14" s="7" customFormat="1" x14ac:dyDescent="0.25">
      <c r="A159" s="1" t="str">
        <v>IA</v>
      </c>
      <c r="C159" s="52">
        <v>0.74409391489672516</v>
      </c>
      <c r="D159" s="52">
        <v>0.55367575418633497</v>
      </c>
      <c r="E159" s="52">
        <v>0.41198675951590691</v>
      </c>
      <c r="F159" s="52">
        <v>0.30655684077380685</v>
      </c>
      <c r="G159" s="52">
        <v>0.22810707978975397</v>
      </c>
      <c r="H159" s="52">
        <v>0.1697330900164177</v>
      </c>
      <c r="I159" s="52">
        <v>9.3977096625217166E-2</v>
      </c>
      <c r="J159" s="52">
        <v>5.2032839850209185E-2</v>
      </c>
      <c r="K159" s="52">
        <v>2.707416422877518E-3</v>
      </c>
      <c r="L159" s="52">
        <v>1.4087456513941214E-4</v>
      </c>
    </row>
    <row r="160" spans="1:14" s="7" customFormat="1" x14ac:dyDescent="0.25">
      <c r="A160" s="1" t="str">
        <v>AF</v>
      </c>
      <c r="C160" s="52">
        <v>0.74409391489672516</v>
      </c>
      <c r="D160" s="52">
        <v>0.55367575418633497</v>
      </c>
      <c r="E160" s="52">
        <v>0.41198675951590691</v>
      </c>
      <c r="F160" s="52">
        <v>0.30655684077380685</v>
      </c>
      <c r="G160" s="52">
        <v>0.22810707978975397</v>
      </c>
      <c r="H160" s="52">
        <v>0.1697330900164177</v>
      </c>
      <c r="I160" s="52">
        <v>9.3977096625217166E-2</v>
      </c>
      <c r="J160" s="52">
        <v>5.2032839850209185E-2</v>
      </c>
      <c r="K160" s="52">
        <v>2.707416422877518E-3</v>
      </c>
      <c r="L160" s="52">
        <v>1.4087456513941214E-4</v>
      </c>
    </row>
    <row r="161" spans="1:14" s="7" customFormat="1" ht="13" thickBot="1" x14ac:dyDescent="0.3">
      <c r="A161" s="1" t="str">
        <v>LA</v>
      </c>
      <c r="C161" s="53">
        <v>0.74409391489672516</v>
      </c>
      <c r="D161" s="53">
        <v>0.55367575418633497</v>
      </c>
      <c r="E161" s="53">
        <v>0.41198675951590691</v>
      </c>
      <c r="F161" s="53">
        <v>0.30655684077380685</v>
      </c>
      <c r="G161" s="53">
        <v>0.22810707978975397</v>
      </c>
      <c r="H161" s="53">
        <v>0.1697330900164177</v>
      </c>
      <c r="I161" s="53">
        <v>9.3977096625217166E-2</v>
      </c>
      <c r="J161" s="53">
        <v>5.2032839850209185E-2</v>
      </c>
      <c r="K161" s="53">
        <v>2.707416422877518E-3</v>
      </c>
      <c r="L161" s="53">
        <v>1.4087456513941214E-4</v>
      </c>
    </row>
    <row r="162" spans="1:14" s="1" customFormat="1" ht="13.5" thickTop="1" x14ac:dyDescent="0.3">
      <c r="A162" s="61" t="s">
        <v>179</v>
      </c>
      <c r="B162" s="61"/>
      <c r="C162"/>
      <c r="D162"/>
      <c r="E162"/>
      <c r="F162"/>
      <c r="G162"/>
      <c r="H162"/>
      <c r="I162"/>
      <c r="J162"/>
      <c r="K162"/>
      <c r="L162"/>
    </row>
    <row r="163" spans="1:14" s="1" customFormat="1" x14ac:dyDescent="0.25">
      <c r="A163" s="1" t="str">
        <f t="array" ref="A163:A170">R_CODE</f>
        <v>EU</v>
      </c>
      <c r="B163" s="39">
        <f t="array" ref="B163:B170">(CONS_PER_CAP_FOCUS_0/CONS_PER_CAP_0)^EMUC</f>
        <v>1</v>
      </c>
      <c r="C163" s="39">
        <f t="array" ref="C163:L170">(CONS_PER_CAP_FOCUS_0/CONS_PER_CAP)^EMUC</f>
        <v>1</v>
      </c>
      <c r="D163" s="39">
        <v>1</v>
      </c>
      <c r="E163" s="39">
        <v>1</v>
      </c>
      <c r="F163" s="39">
        <v>1</v>
      </c>
      <c r="G163" s="39">
        <v>1</v>
      </c>
      <c r="H163" s="39">
        <v>1</v>
      </c>
      <c r="I163" s="39">
        <v>1</v>
      </c>
      <c r="J163" s="39">
        <v>1</v>
      </c>
      <c r="K163" s="39">
        <v>1</v>
      </c>
      <c r="L163" s="39">
        <v>1</v>
      </c>
    </row>
    <row r="164" spans="1:14" s="1" customFormat="1" x14ac:dyDescent="0.25">
      <c r="A164" s="1" t="str">
        <v>US</v>
      </c>
      <c r="B164" s="35">
        <v>1</v>
      </c>
      <c r="C164" s="35">
        <v>1</v>
      </c>
      <c r="D164" s="35">
        <v>1</v>
      </c>
      <c r="E164" s="35">
        <v>1</v>
      </c>
      <c r="F164" s="35">
        <v>1</v>
      </c>
      <c r="G164" s="35">
        <v>1</v>
      </c>
      <c r="H164" s="35">
        <v>1</v>
      </c>
      <c r="I164" s="35">
        <v>1</v>
      </c>
      <c r="J164" s="35">
        <v>1</v>
      </c>
      <c r="K164" s="35">
        <v>1</v>
      </c>
      <c r="L164" s="35">
        <v>1</v>
      </c>
    </row>
    <row r="165" spans="1:14" s="1" customFormat="1" x14ac:dyDescent="0.25">
      <c r="A165" s="1" t="str">
        <v>OT</v>
      </c>
      <c r="B165" s="35">
        <v>1</v>
      </c>
      <c r="C165" s="35">
        <v>1</v>
      </c>
      <c r="D165" s="35">
        <v>1</v>
      </c>
      <c r="E165" s="35">
        <v>1</v>
      </c>
      <c r="F165" s="35">
        <v>1</v>
      </c>
      <c r="G165" s="35">
        <v>1</v>
      </c>
      <c r="H165" s="35">
        <v>1</v>
      </c>
      <c r="I165" s="35">
        <v>1</v>
      </c>
      <c r="J165" s="35">
        <v>1</v>
      </c>
      <c r="K165" s="35">
        <v>1</v>
      </c>
      <c r="L165" s="35">
        <v>1</v>
      </c>
    </row>
    <row r="166" spans="1:14" s="1" customFormat="1" x14ac:dyDescent="0.25">
      <c r="A166" s="1" t="str">
        <v>EE</v>
      </c>
      <c r="B166" s="35">
        <v>1</v>
      </c>
      <c r="C166" s="35">
        <v>1</v>
      </c>
      <c r="D166" s="35">
        <v>1</v>
      </c>
      <c r="E166" s="35">
        <v>1</v>
      </c>
      <c r="F166" s="35">
        <v>1</v>
      </c>
      <c r="G166" s="35">
        <v>1</v>
      </c>
      <c r="H166" s="35">
        <v>1</v>
      </c>
      <c r="I166" s="35">
        <v>1</v>
      </c>
      <c r="J166" s="35">
        <v>1</v>
      </c>
      <c r="K166" s="35">
        <v>1</v>
      </c>
      <c r="L166" s="35">
        <v>1</v>
      </c>
    </row>
    <row r="167" spans="1:14" s="1" customFormat="1" x14ac:dyDescent="0.25">
      <c r="A167" s="1" t="str">
        <v>CA</v>
      </c>
      <c r="B167" s="35">
        <v>1</v>
      </c>
      <c r="C167" s="35">
        <v>1</v>
      </c>
      <c r="D167" s="35">
        <v>1</v>
      </c>
      <c r="E167" s="35">
        <v>1</v>
      </c>
      <c r="F167" s="35">
        <v>1</v>
      </c>
      <c r="G167" s="35">
        <v>1</v>
      </c>
      <c r="H167" s="35">
        <v>1</v>
      </c>
      <c r="I167" s="35">
        <v>1</v>
      </c>
      <c r="J167" s="35">
        <v>1</v>
      </c>
      <c r="K167" s="35">
        <v>1</v>
      </c>
      <c r="L167" s="35">
        <v>1</v>
      </c>
    </row>
    <row r="168" spans="1:14" s="1" customFormat="1" x14ac:dyDescent="0.25">
      <c r="A168" s="1" t="str">
        <v>IA</v>
      </c>
      <c r="B168" s="35">
        <v>1</v>
      </c>
      <c r="C168" s="35">
        <v>1</v>
      </c>
      <c r="D168" s="35">
        <v>1</v>
      </c>
      <c r="E168" s="35">
        <v>1</v>
      </c>
      <c r="F168" s="35">
        <v>1</v>
      </c>
      <c r="G168" s="35">
        <v>1</v>
      </c>
      <c r="H168" s="35">
        <v>1</v>
      </c>
      <c r="I168" s="35">
        <v>1</v>
      </c>
      <c r="J168" s="35">
        <v>1</v>
      </c>
      <c r="K168" s="35">
        <v>1</v>
      </c>
      <c r="L168" s="35">
        <v>1</v>
      </c>
    </row>
    <row r="169" spans="1:14" s="1" customFormat="1" x14ac:dyDescent="0.25">
      <c r="A169" s="1" t="str">
        <v>AF</v>
      </c>
      <c r="B169" s="35">
        <v>1</v>
      </c>
      <c r="C169" s="35">
        <v>1</v>
      </c>
      <c r="D169" s="35">
        <v>1</v>
      </c>
      <c r="E169" s="35">
        <v>1</v>
      </c>
      <c r="F169" s="35">
        <v>1</v>
      </c>
      <c r="G169" s="35">
        <v>1</v>
      </c>
      <c r="H169" s="35">
        <v>1</v>
      </c>
      <c r="I169" s="35">
        <v>1</v>
      </c>
      <c r="J169" s="35">
        <v>1</v>
      </c>
      <c r="K169" s="35">
        <v>1</v>
      </c>
      <c r="L169" s="35">
        <v>1</v>
      </c>
    </row>
    <row r="170" spans="1:14" s="1" customFormat="1" ht="13" thickBot="1" x14ac:dyDescent="0.3">
      <c r="A170" s="1" t="str">
        <v>LA</v>
      </c>
      <c r="B170" s="49">
        <v>1</v>
      </c>
      <c r="C170" s="49">
        <v>1</v>
      </c>
      <c r="D170" s="49">
        <v>1</v>
      </c>
      <c r="E170" s="49">
        <v>1</v>
      </c>
      <c r="F170" s="49">
        <v>1</v>
      </c>
      <c r="G170" s="49">
        <v>1</v>
      </c>
      <c r="H170" s="49">
        <v>1</v>
      </c>
      <c r="I170" s="49">
        <v>1</v>
      </c>
      <c r="J170" s="49">
        <v>1</v>
      </c>
      <c r="K170" s="49">
        <v>1</v>
      </c>
      <c r="L170" s="49">
        <v>1</v>
      </c>
    </row>
    <row r="171" spans="1:14" s="1" customFormat="1" ht="14" thickTop="1" thickBot="1" x14ac:dyDescent="0.35">
      <c r="A171" s="61" t="s">
        <v>177</v>
      </c>
      <c r="B171" s="49">
        <f>(CONS_PER_CAP_FOCUS_0/CONS_PER_CAP_G_0)^EMUC</f>
        <v>1</v>
      </c>
      <c r="C171" s="49">
        <f t="array" ref="C171:L171">(CONS_PER_CAP_FOCUS_0/CONS_PER_CAP_G)^EMUC</f>
        <v>1</v>
      </c>
      <c r="D171" s="49">
        <v>1</v>
      </c>
      <c r="E171" s="49">
        <v>1</v>
      </c>
      <c r="F171" s="49">
        <v>1</v>
      </c>
      <c r="G171" s="49">
        <v>1</v>
      </c>
      <c r="H171" s="49">
        <v>1</v>
      </c>
      <c r="I171" s="49">
        <v>1</v>
      </c>
      <c r="J171" s="49">
        <v>1</v>
      </c>
      <c r="K171" s="49">
        <v>1</v>
      </c>
      <c r="L171" s="49">
        <v>1</v>
      </c>
    </row>
    <row r="172" spans="1:14" s="13" customFormat="1" ht="13.5" thickTop="1" x14ac:dyDescent="0.3">
      <c r="A172" s="63" t="s">
        <v>472</v>
      </c>
      <c r="B172" s="44"/>
      <c r="C172" s="44"/>
      <c r="D172" s="44"/>
      <c r="E172" s="44"/>
      <c r="F172" s="44"/>
      <c r="G172" s="44"/>
      <c r="H172" s="44"/>
      <c r="I172" s="44"/>
      <c r="J172" s="44"/>
      <c r="K172" s="44"/>
      <c r="L172" s="44"/>
    </row>
    <row r="173" spans="1:14" s="1" customFormat="1" x14ac:dyDescent="0.25">
      <c r="A173" s="1" t="str">
        <f t="array" ref="A173:A180">R_CODE</f>
        <v>EU</v>
      </c>
      <c r="B173" s="44"/>
      <c r="C173" s="35">
        <f t="array" ref="C173:L180">CONS_PER_CAP-(tct_per_cap+act_per_cap)</f>
        <v>18261.937760227775</v>
      </c>
      <c r="D173" s="35">
        <v>21821.981621930358</v>
      </c>
      <c r="E173" s="35">
        <v>25599.523380493389</v>
      </c>
      <c r="F173" s="35">
        <v>29263.676146847294</v>
      </c>
      <c r="G173" s="35">
        <v>33022.178824603157</v>
      </c>
      <c r="H173" s="35">
        <v>37244.25124789332</v>
      </c>
      <c r="I173" s="35">
        <v>47063.737704782536</v>
      </c>
      <c r="J173" s="35">
        <v>59075.221460458277</v>
      </c>
      <c r="K173" s="35">
        <v>185128.78497796541</v>
      </c>
      <c r="L173" s="35">
        <v>262064.57923426077</v>
      </c>
      <c r="N173" s="1" t="str">
        <f t="shared" ref="N173:N180" si="9">CURRENCY_NAME&amp;"/"&amp;POP_UNIT_NAME</f>
        <v>$million/million</v>
      </c>
    </row>
    <row r="174" spans="1:14" s="1" customFormat="1" x14ac:dyDescent="0.25">
      <c r="A174" s="1" t="str">
        <v>US</v>
      </c>
      <c r="B174" s="44"/>
      <c r="C174" s="35">
        <v>33456.083880167454</v>
      </c>
      <c r="D174" s="35">
        <v>37842.783574206485</v>
      </c>
      <c r="E174" s="35">
        <v>41967.045402325952</v>
      </c>
      <c r="F174" s="35">
        <v>46750.974941625631</v>
      </c>
      <c r="G174" s="35">
        <v>51502.419310044308</v>
      </c>
      <c r="H174" s="35">
        <v>57130.103527742052</v>
      </c>
      <c r="I174" s="35">
        <v>70903.45716097868</v>
      </c>
      <c r="J174" s="35">
        <v>88670.733045607005</v>
      </c>
      <c r="K174" s="35">
        <v>248112.13302416986</v>
      </c>
      <c r="L174" s="35">
        <v>351205.24203321943</v>
      </c>
      <c r="N174" s="1" t="str">
        <f t="shared" si="9"/>
        <v>$million/million</v>
      </c>
    </row>
    <row r="175" spans="1:14" s="1" customFormat="1" x14ac:dyDescent="0.25">
      <c r="A175" s="1" t="str">
        <v>OT</v>
      </c>
      <c r="B175" s="44"/>
      <c r="C175" s="35">
        <v>18767.695684784645</v>
      </c>
      <c r="D175" s="35">
        <v>24251.406231765213</v>
      </c>
      <c r="E175" s="35">
        <v>31619.591008059204</v>
      </c>
      <c r="F175" s="35">
        <v>41106.269236487002</v>
      </c>
      <c r="G175" s="35">
        <v>52459.575874578433</v>
      </c>
      <c r="H175" s="35">
        <v>66262.796020235779</v>
      </c>
      <c r="I175" s="35">
        <v>99419.858979496479</v>
      </c>
      <c r="J175" s="35">
        <v>141963.39044627544</v>
      </c>
      <c r="K175" s="35">
        <v>433951.56371457409</v>
      </c>
      <c r="L175" s="35">
        <v>614242.1646894142</v>
      </c>
      <c r="N175" s="1" t="str">
        <f t="shared" si="9"/>
        <v>$million/million</v>
      </c>
    </row>
    <row r="176" spans="1:14" s="1" customFormat="1" x14ac:dyDescent="0.25">
      <c r="A176" s="1" t="str">
        <v>EE</v>
      </c>
      <c r="B176" s="44"/>
      <c r="C176" s="35">
        <v>2502.4457212926091</v>
      </c>
      <c r="D176" s="35">
        <v>3236.1731337434667</v>
      </c>
      <c r="E176" s="35">
        <v>4222.7403464571198</v>
      </c>
      <c r="F176" s="35">
        <v>5490.9474574304213</v>
      </c>
      <c r="G176" s="35">
        <v>7009.0960104221158</v>
      </c>
      <c r="H176" s="35">
        <v>8853.7001892631397</v>
      </c>
      <c r="I176" s="35">
        <v>13291.66825659073</v>
      </c>
      <c r="J176" s="35">
        <v>18973.531165029464</v>
      </c>
      <c r="K176" s="35">
        <v>57959.807079812657</v>
      </c>
      <c r="L176" s="35">
        <v>82025.473986549579</v>
      </c>
      <c r="N176" s="1" t="str">
        <f t="shared" si="9"/>
        <v>$million/million</v>
      </c>
    </row>
    <row r="177" spans="1:14" s="1" customFormat="1" x14ac:dyDescent="0.25">
      <c r="A177" s="1" t="str">
        <v>CA</v>
      </c>
      <c r="B177" s="44"/>
      <c r="C177" s="35">
        <v>2310.0210016365759</v>
      </c>
      <c r="D177" s="35">
        <v>2987.2598176101837</v>
      </c>
      <c r="E177" s="35">
        <v>3897.7045630786874</v>
      </c>
      <c r="F177" s="35">
        <v>5087.4029078328249</v>
      </c>
      <c r="G177" s="35">
        <v>6463.0159807554701</v>
      </c>
      <c r="H177" s="35">
        <v>8131.2194754165694</v>
      </c>
      <c r="I177" s="35">
        <v>12174.270446923754</v>
      </c>
      <c r="J177" s="35">
        <v>17436.891186336539</v>
      </c>
      <c r="K177" s="35">
        <v>53457.38409859586</v>
      </c>
      <c r="L177" s="35">
        <v>75633.686009004174</v>
      </c>
      <c r="N177" s="1" t="str">
        <f t="shared" si="9"/>
        <v>$million/million</v>
      </c>
    </row>
    <row r="178" spans="1:14" s="1" customFormat="1" x14ac:dyDescent="0.25">
      <c r="A178" s="1" t="str">
        <v>IA</v>
      </c>
      <c r="B178" s="44"/>
      <c r="C178" s="35">
        <v>1251.2544059622223</v>
      </c>
      <c r="D178" s="35">
        <v>1618.0929913468108</v>
      </c>
      <c r="E178" s="35">
        <v>2111.2509597240287</v>
      </c>
      <c r="F178" s="35">
        <v>2767.2906563593215</v>
      </c>
      <c r="G178" s="35">
        <v>3493.635019454684</v>
      </c>
      <c r="H178" s="35">
        <v>4378.5115466166926</v>
      </c>
      <c r="I178" s="35">
        <v>6537.3146168585154</v>
      </c>
      <c r="J178" s="35">
        <v>9404.0243488672968</v>
      </c>
      <c r="K178" s="35">
        <v>28946.448673041046</v>
      </c>
      <c r="L178" s="35">
        <v>40942.984236776596</v>
      </c>
      <c r="N178" s="1" t="str">
        <f t="shared" si="9"/>
        <v>$million/million</v>
      </c>
    </row>
    <row r="179" spans="1:14" s="1" customFormat="1" x14ac:dyDescent="0.25">
      <c r="A179" s="1" t="str">
        <v>AF</v>
      </c>
      <c r="B179" s="44"/>
      <c r="C179" s="35">
        <v>2189.6872085595983</v>
      </c>
      <c r="D179" s="35">
        <v>2832.2289322706629</v>
      </c>
      <c r="E179" s="35">
        <v>3696.217072818109</v>
      </c>
      <c r="F179" s="35">
        <v>4838.3637288468663</v>
      </c>
      <c r="G179" s="35">
        <v>6115.8171014883328</v>
      </c>
      <c r="H179" s="35">
        <v>7662.177845614684</v>
      </c>
      <c r="I179" s="35">
        <v>11453.556865760962</v>
      </c>
      <c r="J179" s="35">
        <v>16484.280533791767</v>
      </c>
      <c r="K179" s="35">
        <v>50687.242638191346</v>
      </c>
      <c r="L179" s="35">
        <v>71695.085866489986</v>
      </c>
      <c r="N179" s="1" t="str">
        <f t="shared" si="9"/>
        <v>$million/million</v>
      </c>
    </row>
    <row r="180" spans="1:14" s="1" customFormat="1" x14ac:dyDescent="0.25">
      <c r="A180" s="1" t="str">
        <v>LA</v>
      </c>
      <c r="B180" s="44"/>
      <c r="C180" s="35">
        <v>4004.0488386731909</v>
      </c>
      <c r="D180" s="35">
        <v>5178.9758141026632</v>
      </c>
      <c r="E180" s="35">
        <v>6758.8371648442235</v>
      </c>
      <c r="F180" s="35">
        <v>8831.6212772275976</v>
      </c>
      <c r="G180" s="35">
        <v>11222.447211857625</v>
      </c>
      <c r="H180" s="35">
        <v>14113.876216522318</v>
      </c>
      <c r="I180" s="35">
        <v>21135.029246883558</v>
      </c>
      <c r="J180" s="35">
        <v>30269.945458860228</v>
      </c>
      <c r="K180" s="35">
        <v>92726.970737411393</v>
      </c>
      <c r="L180" s="35">
        <v>131183.11201608391</v>
      </c>
      <c r="N180" s="1" t="str">
        <f t="shared" si="9"/>
        <v>$million/million</v>
      </c>
    </row>
    <row r="181" spans="1:14" s="13" customFormat="1" ht="13" x14ac:dyDescent="0.3">
      <c r="A181" s="63" t="s">
        <v>473</v>
      </c>
      <c r="B181" s="44"/>
      <c r="C181" s="44"/>
      <c r="D181" s="44"/>
      <c r="E181" s="44"/>
      <c r="F181" s="44"/>
      <c r="G181" s="44"/>
      <c r="H181" s="44"/>
      <c r="I181" s="44"/>
      <c r="J181" s="44"/>
      <c r="K181" s="44"/>
      <c r="L181" s="44"/>
    </row>
    <row r="182" spans="1:14" s="1" customFormat="1" x14ac:dyDescent="0.25">
      <c r="A182" s="1" t="str">
        <f t="array" ref="A182:A189">R_CODE</f>
        <v>EU</v>
      </c>
      <c r="B182" s="44"/>
      <c r="C182" s="35">
        <f t="array" ref="C182:L189">cons_per_cap_after_costs/(1-SAVE/100)</f>
        <v>21484.632659091501</v>
      </c>
      <c r="D182" s="35">
        <v>25672.919555212186</v>
      </c>
      <c r="E182" s="35">
        <v>30117.086329992224</v>
      </c>
      <c r="F182" s="35">
        <v>34427.854290408584</v>
      </c>
      <c r="G182" s="35">
        <v>38849.622146591952</v>
      </c>
      <c r="H182" s="35">
        <v>43816.766173992146</v>
      </c>
      <c r="I182" s="35">
        <v>55369.103182097104</v>
      </c>
      <c r="J182" s="35">
        <v>69500.260541715616</v>
      </c>
      <c r="K182" s="35">
        <v>217798.57056231223</v>
      </c>
      <c r="L182" s="35">
        <v>308311.26968736562</v>
      </c>
      <c r="N182" s="1" t="str">
        <f t="shared" ref="N182:N189" si="10">CURRENCY_NAME&amp;"/"&amp;POP_UNIT_NAME</f>
        <v>$million/million</v>
      </c>
    </row>
    <row r="183" spans="1:14" s="1" customFormat="1" x14ac:dyDescent="0.25">
      <c r="A183" s="1" t="str">
        <v>US</v>
      </c>
      <c r="B183" s="44"/>
      <c r="C183" s="35">
        <v>39360.098682549949</v>
      </c>
      <c r="D183" s="35">
        <v>44520.921852007632</v>
      </c>
      <c r="E183" s="35">
        <v>49372.994590971706</v>
      </c>
      <c r="F183" s="35">
        <v>55001.146990147805</v>
      </c>
      <c r="G183" s="35">
        <v>60591.081541228603</v>
      </c>
      <c r="H183" s="35">
        <v>67211.886503225949</v>
      </c>
      <c r="I183" s="35">
        <v>83415.831954092573</v>
      </c>
      <c r="J183" s="35">
        <v>104318.50946542001</v>
      </c>
      <c r="K183" s="35">
        <v>291896.62708725868</v>
      </c>
      <c r="L183" s="35">
        <v>413182.63768614054</v>
      </c>
      <c r="N183" s="1" t="str">
        <f t="shared" si="10"/>
        <v>$million/million</v>
      </c>
    </row>
    <row r="184" spans="1:14" s="1" customFormat="1" x14ac:dyDescent="0.25">
      <c r="A184" s="1" t="str">
        <v>OT</v>
      </c>
      <c r="B184" s="44"/>
      <c r="C184" s="35">
        <v>22079.641982099583</v>
      </c>
      <c r="D184" s="35">
        <v>28531.066155017899</v>
      </c>
      <c r="E184" s="35">
        <v>37199.518833010829</v>
      </c>
      <c r="F184" s="35">
        <v>48360.31674880824</v>
      </c>
      <c r="G184" s="35">
        <v>61717.148087739333</v>
      </c>
      <c r="H184" s="35">
        <v>77956.230612042098</v>
      </c>
      <c r="I184" s="35">
        <v>116964.53997587822</v>
      </c>
      <c r="J184" s="35">
        <v>167015.7534662064</v>
      </c>
      <c r="K184" s="35">
        <v>510531.25142891071</v>
      </c>
      <c r="L184" s="35">
        <v>722637.84081107553</v>
      </c>
      <c r="N184" s="1" t="str">
        <f t="shared" si="10"/>
        <v>$million/million</v>
      </c>
    </row>
    <row r="185" spans="1:14" s="1" customFormat="1" x14ac:dyDescent="0.25">
      <c r="A185" s="1" t="str">
        <v>EE</v>
      </c>
      <c r="B185" s="44"/>
      <c r="C185" s="35">
        <v>2944.0537897560107</v>
      </c>
      <c r="D185" s="35">
        <v>3807.2625102864313</v>
      </c>
      <c r="E185" s="35">
        <v>4967.9298193613176</v>
      </c>
      <c r="F185" s="35">
        <v>6459.9381852122606</v>
      </c>
      <c r="G185" s="35">
        <v>8245.9953063789599</v>
      </c>
      <c r="H185" s="35">
        <v>10416.117869721342</v>
      </c>
      <c r="I185" s="35">
        <v>15637.256772459683</v>
      </c>
      <c r="J185" s="35">
        <v>22321.801370622899</v>
      </c>
      <c r="K185" s="35">
        <v>68188.008329191362</v>
      </c>
      <c r="L185" s="35">
        <v>96500.557631234798</v>
      </c>
      <c r="N185" s="1" t="str">
        <f t="shared" si="10"/>
        <v>$million/million</v>
      </c>
    </row>
    <row r="186" spans="1:14" s="1" customFormat="1" x14ac:dyDescent="0.25">
      <c r="A186" s="1" t="str">
        <v>CA</v>
      </c>
      <c r="B186" s="44"/>
      <c r="C186" s="35">
        <v>2717.6717666312657</v>
      </c>
      <c r="D186" s="35">
        <v>3514.4233148355102</v>
      </c>
      <c r="E186" s="35">
        <v>4585.5347800925738</v>
      </c>
      <c r="F186" s="35">
        <v>5985.1798915680292</v>
      </c>
      <c r="G186" s="35">
        <v>7603.5482126534944</v>
      </c>
      <c r="H186" s="35">
        <v>9566.1405593136114</v>
      </c>
      <c r="I186" s="35">
        <v>14322.671114027946</v>
      </c>
      <c r="J186" s="35">
        <v>20513.989630984164</v>
      </c>
      <c r="K186" s="35">
        <v>62891.040115995129</v>
      </c>
      <c r="L186" s="35">
        <v>88980.807069416682</v>
      </c>
      <c r="N186" s="1" t="str">
        <f t="shared" si="10"/>
        <v>$million/million</v>
      </c>
    </row>
    <row r="187" spans="1:14" s="1" customFormat="1" x14ac:dyDescent="0.25">
      <c r="A187" s="1" t="str">
        <v>IA</v>
      </c>
      <c r="B187" s="44"/>
      <c r="C187" s="35">
        <v>1472.0640070143793</v>
      </c>
      <c r="D187" s="35">
        <v>1903.6388133491891</v>
      </c>
      <c r="E187" s="35">
        <v>2483.8246584988574</v>
      </c>
      <c r="F187" s="35">
        <v>3255.6360663050841</v>
      </c>
      <c r="G187" s="35">
        <v>4110.1588464172755</v>
      </c>
      <c r="H187" s="35">
        <v>5151.1900548431677</v>
      </c>
      <c r="I187" s="35">
        <v>7690.958372774724</v>
      </c>
      <c r="J187" s="35">
        <v>11063.558057490938</v>
      </c>
      <c r="K187" s="35">
        <v>34054.645497695346</v>
      </c>
      <c r="L187" s="35">
        <v>48168.216749148938</v>
      </c>
      <c r="N187" s="1" t="str">
        <f t="shared" si="10"/>
        <v>$million/million</v>
      </c>
    </row>
    <row r="188" spans="1:14" s="1" customFormat="1" x14ac:dyDescent="0.25">
      <c r="A188" s="1" t="str">
        <v>AF</v>
      </c>
      <c r="B188" s="44"/>
      <c r="C188" s="35">
        <v>2576.1025983054096</v>
      </c>
      <c r="D188" s="35">
        <v>3332.0340379654858</v>
      </c>
      <c r="E188" s="35">
        <v>4348.4906739036578</v>
      </c>
      <c r="F188" s="35">
        <v>5692.1926221727836</v>
      </c>
      <c r="G188" s="35">
        <v>7195.078942927451</v>
      </c>
      <c r="H188" s="35">
        <v>9014.3268771937455</v>
      </c>
      <c r="I188" s="35">
        <v>13474.772783248191</v>
      </c>
      <c r="J188" s="35">
        <v>19393.27121622561</v>
      </c>
      <c r="K188" s="35">
        <v>59632.05016257806</v>
      </c>
      <c r="L188" s="35">
        <v>84347.159842929395</v>
      </c>
      <c r="N188" s="1" t="str">
        <f t="shared" si="10"/>
        <v>$million/million</v>
      </c>
    </row>
    <row r="189" spans="1:14" s="1" customFormat="1" x14ac:dyDescent="0.25">
      <c r="A189" s="1" t="str">
        <v>LA</v>
      </c>
      <c r="B189" s="44"/>
      <c r="C189" s="35">
        <v>4710.6456925566954</v>
      </c>
      <c r="D189" s="35">
        <v>6092.9127224737213</v>
      </c>
      <c r="E189" s="35">
        <v>7951.5731351108516</v>
      </c>
      <c r="F189" s="35">
        <v>10390.142679091292</v>
      </c>
      <c r="G189" s="35">
        <v>13202.879072773676</v>
      </c>
      <c r="H189" s="35">
        <v>16604.56025473214</v>
      </c>
      <c r="I189" s="35">
        <v>24864.740290451246</v>
      </c>
      <c r="J189" s="35">
        <v>35611.700539835561</v>
      </c>
      <c r="K189" s="35">
        <v>109090.55380871928</v>
      </c>
      <c r="L189" s="35">
        <v>154333.07296009871</v>
      </c>
      <c r="N189" s="1" t="str">
        <f t="shared" si="10"/>
        <v>$million/million</v>
      </c>
    </row>
    <row r="190" spans="1:14" s="2" customFormat="1" ht="15" x14ac:dyDescent="0.4">
      <c r="A190" s="2" t="s">
        <v>276</v>
      </c>
      <c r="C190" s="2" t="s">
        <v>274</v>
      </c>
    </row>
    <row r="191" spans="1:14" x14ac:dyDescent="0.25">
      <c r="A191" t="str">
        <f t="array" ref="A191:A198">R_CODE&amp;" sea level"</f>
        <v>EU sea level</v>
      </c>
      <c r="C191" s="39">
        <f t="array" ref="C191:L198">WINCF*((W_S+IBEN_S*SCAL)*(i_s/SCAL)^POW_S-i_s*IBEN_S)</f>
        <v>0.18333843604430011</v>
      </c>
      <c r="D191" s="39">
        <v>0</v>
      </c>
      <c r="E191" s="39">
        <v>0</v>
      </c>
      <c r="F191" s="39">
        <v>9.1567111844029783E-2</v>
      </c>
      <c r="G191" s="39">
        <v>0.20931840697989962</v>
      </c>
      <c r="H191" s="39">
        <v>0.31394022999331667</v>
      </c>
      <c r="I191" s="39">
        <v>0.51587490266845659</v>
      </c>
      <c r="J191" s="39">
        <v>0.70688094577515626</v>
      </c>
      <c r="K191" s="39">
        <v>1.5384423256168673</v>
      </c>
      <c r="L191" s="39">
        <v>2.2166612085410371</v>
      </c>
      <c r="M191" s="6"/>
      <c r="N191" s="84" t="s">
        <v>168</v>
      </c>
    </row>
    <row r="192" spans="1:14" x14ac:dyDescent="0.25">
      <c r="A192" t="str">
        <v>US sea level</v>
      </c>
      <c r="C192" s="35">
        <v>0.1466707488354401</v>
      </c>
      <c r="D192" s="35">
        <v>0</v>
      </c>
      <c r="E192" s="35">
        <v>0</v>
      </c>
      <c r="F192" s="35">
        <v>7.3253689475223829E-2</v>
      </c>
      <c r="G192" s="35">
        <v>0.16745472558391972</v>
      </c>
      <c r="H192" s="35">
        <v>0.25115218399465333</v>
      </c>
      <c r="I192" s="35">
        <v>0.41269992213476531</v>
      </c>
      <c r="J192" s="35">
        <v>0.565504756620125</v>
      </c>
      <c r="K192" s="35">
        <v>1.230753860493494</v>
      </c>
      <c r="L192" s="35">
        <v>1.7733289668328298</v>
      </c>
      <c r="M192" s="6"/>
      <c r="N192" s="84" t="s">
        <v>168</v>
      </c>
    </row>
    <row r="193" spans="1:16" x14ac:dyDescent="0.25">
      <c r="A193" t="str">
        <v>OT sea level</v>
      </c>
      <c r="C193" s="35">
        <v>0.1466707488354401</v>
      </c>
      <c r="D193" s="35">
        <v>0</v>
      </c>
      <c r="E193" s="35">
        <v>0</v>
      </c>
      <c r="F193" s="35">
        <v>7.3253689475223829E-2</v>
      </c>
      <c r="G193" s="35">
        <v>0.16745472558391972</v>
      </c>
      <c r="H193" s="35">
        <v>0.25115218399465333</v>
      </c>
      <c r="I193" s="35">
        <v>0.41269992213476531</v>
      </c>
      <c r="J193" s="35">
        <v>0.565504756620125</v>
      </c>
      <c r="K193" s="35">
        <v>1.230753860493494</v>
      </c>
      <c r="L193" s="35">
        <v>1.7733289668328298</v>
      </c>
      <c r="M193" s="6"/>
      <c r="N193" s="84" t="s">
        <v>168</v>
      </c>
    </row>
    <row r="194" spans="1:16" x14ac:dyDescent="0.25">
      <c r="A194" t="str">
        <v>EE sea level</v>
      </c>
      <c r="C194" s="35">
        <v>7.3335374417720048E-2</v>
      </c>
      <c r="D194" s="35">
        <v>0</v>
      </c>
      <c r="E194" s="35">
        <v>0</v>
      </c>
      <c r="F194" s="35">
        <v>3.6626844737611915E-2</v>
      </c>
      <c r="G194" s="35">
        <v>8.3727362791959858E-2</v>
      </c>
      <c r="H194" s="35">
        <v>0.12557609199732667</v>
      </c>
      <c r="I194" s="35">
        <v>0.20634996106738265</v>
      </c>
      <c r="J194" s="35">
        <v>0.2827523783100625</v>
      </c>
      <c r="K194" s="35">
        <v>0.615376930246747</v>
      </c>
      <c r="L194" s="35">
        <v>0.88666448341641491</v>
      </c>
      <c r="M194" s="6"/>
      <c r="N194" s="84" t="s">
        <v>168</v>
      </c>
    </row>
    <row r="195" spans="1:16" x14ac:dyDescent="0.25">
      <c r="A195" t="str">
        <v>CA sea level</v>
      </c>
      <c r="C195" s="35">
        <v>0.25967697396372635</v>
      </c>
      <c r="D195" s="35">
        <v>0.18661690512019324</v>
      </c>
      <c r="E195" s="35">
        <v>0.1096774116073574</v>
      </c>
      <c r="F195" s="35">
        <v>0.18759781360870365</v>
      </c>
      <c r="G195" s="35">
        <v>0.2622596286275452</v>
      </c>
      <c r="H195" s="35">
        <v>0.33570652206633211</v>
      </c>
      <c r="I195" s="35">
        <v>0.48510203068370689</v>
      </c>
      <c r="J195" s="35">
        <v>0.63072324027294202</v>
      </c>
      <c r="K195" s="35">
        <v>1.2805511223061032</v>
      </c>
      <c r="L195" s="35">
        <v>1.8170559872895045</v>
      </c>
      <c r="M195" s="6"/>
      <c r="N195" s="84" t="s">
        <v>168</v>
      </c>
    </row>
    <row r="196" spans="1:16" x14ac:dyDescent="0.25">
      <c r="A196" t="str">
        <v>IA sea level</v>
      </c>
      <c r="C196" s="35">
        <v>0.25967697396372635</v>
      </c>
      <c r="D196" s="35">
        <v>0.18661690512019324</v>
      </c>
      <c r="E196" s="35">
        <v>0.1096774116073574</v>
      </c>
      <c r="F196" s="35">
        <v>0.18759781360870365</v>
      </c>
      <c r="G196" s="35">
        <v>0.2622596286275452</v>
      </c>
      <c r="H196" s="35">
        <v>0.33570652206633211</v>
      </c>
      <c r="I196" s="35">
        <v>0.48510203068370689</v>
      </c>
      <c r="J196" s="35">
        <v>0.63072324027294202</v>
      </c>
      <c r="K196" s="35">
        <v>1.2805511223061032</v>
      </c>
      <c r="L196" s="35">
        <v>1.8170559872895045</v>
      </c>
      <c r="M196" s="6"/>
      <c r="N196" s="84" t="s">
        <v>168</v>
      </c>
    </row>
    <row r="197" spans="1:16" x14ac:dyDescent="0.25">
      <c r="A197" t="str">
        <v>AF sea level</v>
      </c>
      <c r="C197" s="35">
        <v>0.19475773047279477</v>
      </c>
      <c r="D197" s="35">
        <v>0.13996267884014493</v>
      </c>
      <c r="E197" s="35">
        <v>8.2258058705518042E-2</v>
      </c>
      <c r="F197" s="35">
        <v>0.14069836020652771</v>
      </c>
      <c r="G197" s="35">
        <v>0.19669472147065889</v>
      </c>
      <c r="H197" s="35">
        <v>0.25177989154974906</v>
      </c>
      <c r="I197" s="35">
        <v>0.36382652301278012</v>
      </c>
      <c r="J197" s="35">
        <v>0.47304243020470643</v>
      </c>
      <c r="K197" s="35">
        <v>0.96041334172957737</v>
      </c>
      <c r="L197" s="35">
        <v>1.3627919904671282</v>
      </c>
      <c r="M197" s="6"/>
      <c r="N197" s="84" t="s">
        <v>168</v>
      </c>
    </row>
    <row r="198" spans="1:16" x14ac:dyDescent="0.25">
      <c r="A198" t="str">
        <v>LA sea level</v>
      </c>
      <c r="C198" s="35">
        <v>0.19475773047279477</v>
      </c>
      <c r="D198" s="35">
        <v>0.13996267884014493</v>
      </c>
      <c r="E198" s="35">
        <v>8.2258058705518042E-2</v>
      </c>
      <c r="F198" s="35">
        <v>0.14069836020652771</v>
      </c>
      <c r="G198" s="35">
        <v>0.19669472147065889</v>
      </c>
      <c r="H198" s="35">
        <v>0.25177989154974906</v>
      </c>
      <c r="I198" s="35">
        <v>0.36382652301278012</v>
      </c>
      <c r="J198" s="35">
        <v>0.47304243020470643</v>
      </c>
      <c r="K198" s="35">
        <v>0.96041334172957737</v>
      </c>
      <c r="L198" s="35">
        <v>1.3627919904671282</v>
      </c>
      <c r="M198" s="6"/>
      <c r="N198" s="84" t="s">
        <v>168</v>
      </c>
      <c r="P198" s="12"/>
    </row>
    <row r="199" spans="1:16" s="2" customFormat="1" ht="15" x14ac:dyDescent="0.4">
      <c r="A199" s="2" t="s">
        <v>275</v>
      </c>
      <c r="C199" s="2" t="s">
        <v>277</v>
      </c>
    </row>
    <row r="200" spans="1:16" x14ac:dyDescent="0.25">
      <c r="A200" t="str">
        <f t="array" ref="A200:A207">R_CODE&amp;" sea level"</f>
        <v>EU sea level</v>
      </c>
      <c r="C200" s="39">
        <f t="array" ref="C200:L207">iref_s*(gdp_per_cap_after_costs/GDP_PER_CAP_FOCUS_0)^IPOW_S</f>
        <v>0.17486878695069005</v>
      </c>
      <c r="D200" s="39">
        <v>0</v>
      </c>
      <c r="E200" s="39">
        <v>0</v>
      </c>
      <c r="F200" s="39">
        <v>7.5816491687338089E-2</v>
      </c>
      <c r="G200" s="39">
        <v>0.16714313202603828</v>
      </c>
      <c r="H200" s="39">
        <v>0.24179762475615313</v>
      </c>
      <c r="I200" s="39">
        <v>0.37039175277260938</v>
      </c>
      <c r="J200" s="39">
        <v>0.47407548749564749</v>
      </c>
      <c r="K200" s="39">
        <v>0.73242281987641888</v>
      </c>
      <c r="L200" s="39">
        <v>0.9508229508614886</v>
      </c>
      <c r="M200" s="6"/>
      <c r="N200" s="84" t="s">
        <v>168</v>
      </c>
    </row>
    <row r="201" spans="1:16" x14ac:dyDescent="0.25">
      <c r="A201" t="str">
        <v>US sea level</v>
      </c>
      <c r="C201" s="35">
        <v>0.11666049385188484</v>
      </c>
      <c r="D201" s="35">
        <v>0</v>
      </c>
      <c r="E201" s="35">
        <v>0</v>
      </c>
      <c r="F201" s="35">
        <v>5.2700548350891593E-2</v>
      </c>
      <c r="G201" s="35">
        <v>0.11702319504261874</v>
      </c>
      <c r="H201" s="35">
        <v>0.17013759454902821</v>
      </c>
      <c r="I201" s="35">
        <v>0.26203360758568972</v>
      </c>
      <c r="J201" s="35">
        <v>0.3357569454078223</v>
      </c>
      <c r="K201" s="35">
        <v>0.53666050939121401</v>
      </c>
      <c r="L201" s="35">
        <v>0.69669684514737096</v>
      </c>
      <c r="M201" s="6"/>
      <c r="N201" s="84" t="s">
        <v>168</v>
      </c>
    </row>
    <row r="202" spans="1:16" x14ac:dyDescent="0.25">
      <c r="A202" t="str">
        <v>OT sea level</v>
      </c>
      <c r="C202" s="35">
        <v>0.13875321539455734</v>
      </c>
      <c r="D202" s="35">
        <v>0</v>
      </c>
      <c r="E202" s="35">
        <v>0</v>
      </c>
      <c r="F202" s="35">
        <v>5.4774688566985183E-2</v>
      </c>
      <c r="G202" s="35">
        <v>0.11637851410295798</v>
      </c>
      <c r="H202" s="35">
        <v>0.1627342116798616</v>
      </c>
      <c r="I202" s="35">
        <v>0.23676378636734866</v>
      </c>
      <c r="J202" s="35">
        <v>0.29154539492600928</v>
      </c>
      <c r="K202" s="35">
        <v>0.45379704333771814</v>
      </c>
      <c r="L202" s="35">
        <v>0.58912879880171631</v>
      </c>
      <c r="M202" s="6"/>
      <c r="N202" s="84" t="s">
        <v>168</v>
      </c>
    </row>
    <row r="203" spans="1:16" x14ac:dyDescent="0.25">
      <c r="A203" t="str">
        <v>EE sea level</v>
      </c>
      <c r="C203" s="35">
        <v>0.12697755090667209</v>
      </c>
      <c r="D203" s="35">
        <v>0</v>
      </c>
      <c r="E203" s="35">
        <v>0</v>
      </c>
      <c r="F203" s="35">
        <v>5.0098895764494007E-2</v>
      </c>
      <c r="G203" s="35">
        <v>0.10643675906515299</v>
      </c>
      <c r="H203" s="35">
        <v>0.14883064111117972</v>
      </c>
      <c r="I203" s="35">
        <v>0.21649774433595048</v>
      </c>
      <c r="J203" s="35">
        <v>0.26661504303032435</v>
      </c>
      <c r="K203" s="35">
        <v>0.41507441474653656</v>
      </c>
      <c r="L203" s="35">
        <v>0.53888676873526498</v>
      </c>
      <c r="M203" s="6"/>
      <c r="N203" s="84" t="s">
        <v>168</v>
      </c>
    </row>
    <row r="204" spans="1:16" x14ac:dyDescent="0.25">
      <c r="A204" t="str">
        <v>CA sea level</v>
      </c>
      <c r="C204" s="35">
        <v>0.46054438924349833</v>
      </c>
      <c r="D204" s="35">
        <v>0.30640222605802331</v>
      </c>
      <c r="E204" s="35">
        <v>0.16626366510877483</v>
      </c>
      <c r="F204" s="35">
        <v>0.26254379883927897</v>
      </c>
      <c r="G204" s="35">
        <v>0.34160459631670148</v>
      </c>
      <c r="H204" s="35">
        <v>0.4081651361476365</v>
      </c>
      <c r="I204" s="35">
        <v>0.52254421202685342</v>
      </c>
      <c r="J204" s="35">
        <v>0.60998751918127936</v>
      </c>
      <c r="K204" s="35">
        <v>0.88494736970860599</v>
      </c>
      <c r="L204" s="35">
        <v>1.1315573286406702</v>
      </c>
      <c r="M204" s="6"/>
      <c r="N204" s="84" t="s">
        <v>168</v>
      </c>
    </row>
    <row r="205" spans="1:16" x14ac:dyDescent="0.25">
      <c r="A205" t="str">
        <v>IA sea level</v>
      </c>
      <c r="C205" s="35">
        <v>0.55354456155861631</v>
      </c>
      <c r="D205" s="35">
        <v>0.36827545291001373</v>
      </c>
      <c r="E205" s="35">
        <v>0.19983799655320625</v>
      </c>
      <c r="F205" s="35">
        <v>0.31516223529659904</v>
      </c>
      <c r="G205" s="35">
        <v>0.41083838637034725</v>
      </c>
      <c r="H205" s="35">
        <v>0.4914560225709953</v>
      </c>
      <c r="I205" s="35">
        <v>0.62970350299162381</v>
      </c>
      <c r="J205" s="35">
        <v>0.73412082303997883</v>
      </c>
      <c r="K205" s="35">
        <v>1.0637539036890375</v>
      </c>
      <c r="L205" s="35">
        <v>1.3603081290050185</v>
      </c>
      <c r="M205" s="6"/>
      <c r="N205" s="84" t="s">
        <v>168</v>
      </c>
    </row>
    <row r="206" spans="1:16" x14ac:dyDescent="0.25">
      <c r="A206" t="str">
        <v>AF sea level</v>
      </c>
      <c r="C206" s="35">
        <v>0.35099660289774559</v>
      </c>
      <c r="D206" s="35">
        <v>0.2335052084826115</v>
      </c>
      <c r="E206" s="35">
        <v>0.1266992511096055</v>
      </c>
      <c r="F206" s="35">
        <v>0.19989517635336404</v>
      </c>
      <c r="G206" s="35">
        <v>0.26048288370874728</v>
      </c>
      <c r="H206" s="35">
        <v>0.31162924412765242</v>
      </c>
      <c r="I206" s="35">
        <v>0.39914902767266208</v>
      </c>
      <c r="J206" s="35">
        <v>0.46526665742928253</v>
      </c>
      <c r="K206" s="35">
        <v>0.67439045851107704</v>
      </c>
      <c r="L206" s="35">
        <v>0.86239372581360918</v>
      </c>
      <c r="M206" s="6"/>
      <c r="N206" s="84" t="s">
        <v>168</v>
      </c>
    </row>
    <row r="207" spans="1:16" x14ac:dyDescent="0.25">
      <c r="A207" t="str">
        <v>LA sea level</v>
      </c>
      <c r="C207" s="35">
        <v>0.29286517202029505</v>
      </c>
      <c r="D207" s="35">
        <v>0.19483272907613214</v>
      </c>
      <c r="E207" s="35">
        <v>0.10571574956344905</v>
      </c>
      <c r="F207" s="35">
        <v>0.16687825020720334</v>
      </c>
      <c r="G207" s="35">
        <v>0.21711471880668354</v>
      </c>
      <c r="H207" s="35">
        <v>0.25944779463610768</v>
      </c>
      <c r="I207" s="35">
        <v>0.33213629183828064</v>
      </c>
      <c r="J207" s="35">
        <v>0.3877211017615399</v>
      </c>
      <c r="K207" s="35">
        <v>0.56262521952235334</v>
      </c>
      <c r="L207" s="35">
        <v>0.71943079911035357</v>
      </c>
      <c r="M207" s="6"/>
      <c r="N207" s="84" t="s">
        <v>168</v>
      </c>
    </row>
    <row r="208" spans="1:16" s="2" customFormat="1" ht="15" x14ac:dyDescent="0.4">
      <c r="A208" s="2" t="s">
        <v>279</v>
      </c>
      <c r="C208" s="2" t="s">
        <v>278</v>
      </c>
    </row>
    <row r="209" spans="1:15" x14ac:dyDescent="0.25">
      <c r="A209" t="str">
        <f t="array" ref="A209:A216">R_CODE&amp;" sea level"</f>
        <v>EU sea level</v>
      </c>
      <c r="C209" s="39">
        <f t="array" ref="C209:L216">IF(igdp_s&lt;ISATG,igdp_s,ISATG+(100-SAVE-ISATG)*((igdp_s-ISATG)/((100-SAVE-ISATG)+(igdp_s-ISATG))))*(1-imp_s/100*IF(i_s&lt;impmax_s_a,1,impmax_s_a/i_s))</f>
        <v>0.17486878695069005</v>
      </c>
      <c r="D209" s="39">
        <v>0</v>
      </c>
      <c r="E209" s="39">
        <v>0</v>
      </c>
      <c r="F209" s="39">
        <v>5.6862368765503567E-2</v>
      </c>
      <c r="G209" s="39">
        <v>0.10446445751627392</v>
      </c>
      <c r="H209" s="39">
        <v>0.12089881237807656</v>
      </c>
      <c r="I209" s="39">
        <v>0.18519587638630469</v>
      </c>
      <c r="J209" s="39">
        <v>0.23703774374782374</v>
      </c>
      <c r="K209" s="39">
        <v>0.36621140993820944</v>
      </c>
      <c r="L209" s="39">
        <v>0.62968510429601598</v>
      </c>
      <c r="M209" s="6"/>
      <c r="N209" s="84" t="s">
        <v>168</v>
      </c>
    </row>
    <row r="210" spans="1:15" x14ac:dyDescent="0.25">
      <c r="A210" t="str">
        <v>US sea level</v>
      </c>
      <c r="C210" s="35">
        <v>0.11666049385188484</v>
      </c>
      <c r="D210" s="35">
        <v>0</v>
      </c>
      <c r="E210" s="35">
        <v>0</v>
      </c>
      <c r="F210" s="35">
        <v>3.9525411263168692E-2</v>
      </c>
      <c r="G210" s="35">
        <v>7.3139496901636708E-2</v>
      </c>
      <c r="H210" s="35">
        <v>8.5068797274514107E-2</v>
      </c>
      <c r="I210" s="35">
        <v>0.13101680379284486</v>
      </c>
      <c r="J210" s="35">
        <v>0.16787847270391115</v>
      </c>
      <c r="K210" s="35">
        <v>0.26833025469560701</v>
      </c>
      <c r="L210" s="35">
        <v>0.46138939452591665</v>
      </c>
      <c r="M210" s="6"/>
      <c r="N210" s="84" t="s">
        <v>168</v>
      </c>
    </row>
    <row r="211" spans="1:15" x14ac:dyDescent="0.25">
      <c r="A211" t="str">
        <v>OT sea level</v>
      </c>
      <c r="C211" s="35">
        <v>0.13875321539455734</v>
      </c>
      <c r="D211" s="35">
        <v>0</v>
      </c>
      <c r="E211" s="35">
        <v>0</v>
      </c>
      <c r="F211" s="35">
        <v>4.1081016425238884E-2</v>
      </c>
      <c r="G211" s="35">
        <v>7.2736571314348741E-2</v>
      </c>
      <c r="H211" s="35">
        <v>8.1367105839930801E-2</v>
      </c>
      <c r="I211" s="35">
        <v>0.11838189318367433</v>
      </c>
      <c r="J211" s="35">
        <v>0.14577269746300464</v>
      </c>
      <c r="K211" s="35">
        <v>0.22689852166885907</v>
      </c>
      <c r="L211" s="35">
        <v>0.39015216111594037</v>
      </c>
      <c r="M211" s="6"/>
      <c r="N211" s="84" t="s">
        <v>168</v>
      </c>
    </row>
    <row r="212" spans="1:15" x14ac:dyDescent="0.25">
      <c r="A212" t="str">
        <v>EE sea level</v>
      </c>
      <c r="C212" s="35">
        <v>0.12697755090667209</v>
      </c>
      <c r="D212" s="35">
        <v>0</v>
      </c>
      <c r="E212" s="35">
        <v>0</v>
      </c>
      <c r="F212" s="35">
        <v>3.7574171823370507E-2</v>
      </c>
      <c r="G212" s="35">
        <v>6.6522974415720609E-2</v>
      </c>
      <c r="H212" s="35">
        <v>7.4415320555589859E-2</v>
      </c>
      <c r="I212" s="35">
        <v>0.10824887216797524</v>
      </c>
      <c r="J212" s="35">
        <v>0.13330752151516218</v>
      </c>
      <c r="K212" s="35">
        <v>0.20753720737326828</v>
      </c>
      <c r="L212" s="35">
        <v>0.35687923905008917</v>
      </c>
      <c r="M212" s="6"/>
      <c r="N212" s="84" t="s">
        <v>168</v>
      </c>
    </row>
    <row r="213" spans="1:15" x14ac:dyDescent="0.25">
      <c r="A213" t="str">
        <v>CA sea level</v>
      </c>
      <c r="C213" s="35">
        <v>0.46054438924349833</v>
      </c>
      <c r="D213" s="35">
        <v>0.30640222605802331</v>
      </c>
      <c r="E213" s="35">
        <v>0.15587218603947639</v>
      </c>
      <c r="F213" s="35">
        <v>0.22972582398436911</v>
      </c>
      <c r="G213" s="35">
        <v>0.27755373450731996</v>
      </c>
      <c r="H213" s="35">
        <v>0.30612385211072735</v>
      </c>
      <c r="I213" s="35">
        <v>0.39190815902014009</v>
      </c>
      <c r="J213" s="35">
        <v>0.45749063938595952</v>
      </c>
      <c r="K213" s="35">
        <v>0.66371052728145452</v>
      </c>
      <c r="L213" s="35">
        <v>0.94671029288840036</v>
      </c>
      <c r="M213" s="6"/>
      <c r="N213" s="84" t="s">
        <v>168</v>
      </c>
    </row>
    <row r="214" spans="1:15" x14ac:dyDescent="0.25">
      <c r="A214" t="str">
        <v>IA sea level</v>
      </c>
      <c r="C214" s="35">
        <v>0.55354456155861631</v>
      </c>
      <c r="D214" s="35">
        <v>0.36827545291001373</v>
      </c>
      <c r="E214" s="35">
        <v>0.18734812176863086</v>
      </c>
      <c r="F214" s="35">
        <v>0.27576695588452416</v>
      </c>
      <c r="G214" s="35">
        <v>0.33380618892590713</v>
      </c>
      <c r="H214" s="35">
        <v>0.3685920169282465</v>
      </c>
      <c r="I214" s="35">
        <v>0.47227762724371786</v>
      </c>
      <c r="J214" s="35">
        <v>0.55059061727998415</v>
      </c>
      <c r="K214" s="35">
        <v>0.79781542776677816</v>
      </c>
      <c r="L214" s="35">
        <v>1.1380932053843502</v>
      </c>
      <c r="M214" s="6"/>
      <c r="N214" s="84" t="s">
        <v>168</v>
      </c>
    </row>
    <row r="215" spans="1:15" x14ac:dyDescent="0.25">
      <c r="A215" t="str">
        <v>AF sea level</v>
      </c>
      <c r="C215" s="35">
        <v>0.35099660289774559</v>
      </c>
      <c r="D215" s="35">
        <v>0.2335052084826115</v>
      </c>
      <c r="E215" s="35">
        <v>0.11878054791525516</v>
      </c>
      <c r="F215" s="35">
        <v>0.17490827930919353</v>
      </c>
      <c r="G215" s="35">
        <v>0.21164234301335716</v>
      </c>
      <c r="H215" s="35">
        <v>0.2337219330957393</v>
      </c>
      <c r="I215" s="35">
        <v>0.29936177075449655</v>
      </c>
      <c r="J215" s="35">
        <v>0.34894999307196189</v>
      </c>
      <c r="K215" s="35">
        <v>0.50579284388330781</v>
      </c>
      <c r="L215" s="35">
        <v>0.7215162644308083</v>
      </c>
      <c r="M215" s="6"/>
      <c r="N215" s="84" t="s">
        <v>168</v>
      </c>
    </row>
    <row r="216" spans="1:15" x14ac:dyDescent="0.25">
      <c r="A216" t="str">
        <v>LA sea level</v>
      </c>
      <c r="C216" s="35">
        <v>0.29286517202029505</v>
      </c>
      <c r="D216" s="35">
        <v>0.19483272907613214</v>
      </c>
      <c r="E216" s="35">
        <v>9.9108515215733481E-2</v>
      </c>
      <c r="F216" s="35">
        <v>0.14601846893130294</v>
      </c>
      <c r="G216" s="35">
        <v>0.17640570903043037</v>
      </c>
      <c r="H216" s="35">
        <v>0.19458584597708076</v>
      </c>
      <c r="I216" s="35">
        <v>0.24910221887871048</v>
      </c>
      <c r="J216" s="35">
        <v>0.29079082632115494</v>
      </c>
      <c r="K216" s="35">
        <v>0.421968914641765</v>
      </c>
      <c r="L216" s="35">
        <v>0.60190723465764584</v>
      </c>
      <c r="M216" s="6"/>
      <c r="N216" s="84" t="s">
        <v>168</v>
      </c>
    </row>
    <row r="217" spans="1:15" s="2" customFormat="1" ht="15" x14ac:dyDescent="0.4">
      <c r="A217" s="2" t="s">
        <v>280</v>
      </c>
      <c r="C217" s="2" t="s">
        <v>281</v>
      </c>
    </row>
    <row r="218" spans="1:15" x14ac:dyDescent="0.25">
      <c r="A218" t="str">
        <f t="array" ref="A218:A225">R_CODE&amp;" sea level"</f>
        <v>EU sea level</v>
      </c>
      <c r="C218" s="39">
        <f t="array" ref="C218:L225">(isat_s/100)*gdp_per_cap_after_costs</f>
        <v>37.569916511765094</v>
      </c>
      <c r="D218" s="39">
        <v>0</v>
      </c>
      <c r="E218" s="39">
        <v>0</v>
      </c>
      <c r="F218" s="39">
        <v>19.57649346466237</v>
      </c>
      <c r="G218" s="39">
        <v>40.584047022559496</v>
      </c>
      <c r="H218" s="39">
        <v>52.973949926835282</v>
      </c>
      <c r="I218" s="39">
        <v>102.54129588532206</v>
      </c>
      <c r="J218" s="39">
        <v>164.74184948694173</v>
      </c>
      <c r="K218" s="39">
        <v>797.60321608150957</v>
      </c>
      <c r="L218" s="39">
        <v>1941.3901400872594</v>
      </c>
      <c r="M218" s="6"/>
      <c r="N218" s="1" t="str">
        <f t="shared" ref="N218:N225" si="11">CURRENCY_NAME&amp;"/"&amp;POP_UNIT_NAME</f>
        <v>$million/million</v>
      </c>
      <c r="O218" s="1"/>
    </row>
    <row r="219" spans="1:15" x14ac:dyDescent="0.25">
      <c r="A219" t="str">
        <v>US sea level</v>
      </c>
      <c r="C219" s="35">
        <v>45.917685503651995</v>
      </c>
      <c r="D219" s="35">
        <v>0</v>
      </c>
      <c r="E219" s="35">
        <v>0</v>
      </c>
      <c r="F219" s="35">
        <v>21.739429547315847</v>
      </c>
      <c r="G219" s="35">
        <v>44.316012206515062</v>
      </c>
      <c r="H219" s="35">
        <v>57.176343473805794</v>
      </c>
      <c r="I219" s="35">
        <v>109.28875688346265</v>
      </c>
      <c r="J219" s="35">
        <v>175.12832043803209</v>
      </c>
      <c r="K219" s="35">
        <v>783.24696291112741</v>
      </c>
      <c r="L219" s="35">
        <v>1906.3808703062959</v>
      </c>
      <c r="M219" s="6"/>
      <c r="N219" s="1" t="str">
        <f t="shared" si="11"/>
        <v>$million/million</v>
      </c>
      <c r="O219" s="1"/>
    </row>
    <row r="220" spans="1:15" x14ac:dyDescent="0.25">
      <c r="A220" t="str">
        <v>OT sea level</v>
      </c>
      <c r="C220" s="35">
        <v>30.636213197769745</v>
      </c>
      <c r="D220" s="35">
        <v>0</v>
      </c>
      <c r="E220" s="35">
        <v>0</v>
      </c>
      <c r="F220" s="35">
        <v>19.866909666875465</v>
      </c>
      <c r="G220" s="35">
        <v>44.890937432020742</v>
      </c>
      <c r="H220" s="35">
        <v>63.430728670920828</v>
      </c>
      <c r="I220" s="35">
        <v>138.4648367770202</v>
      </c>
      <c r="J220" s="35">
        <v>243.46336901585076</v>
      </c>
      <c r="K220" s="35">
        <v>1158.3878621497242</v>
      </c>
      <c r="L220" s="35">
        <v>2819.38715296598</v>
      </c>
      <c r="M220" s="6"/>
      <c r="N220" s="1" t="str">
        <f t="shared" si="11"/>
        <v>$million/million</v>
      </c>
      <c r="O220" s="1"/>
    </row>
    <row r="221" spans="1:15" x14ac:dyDescent="0.25">
      <c r="A221" t="str">
        <v>EE sea level</v>
      </c>
      <c r="C221" s="35">
        <v>3.7382873996072474</v>
      </c>
      <c r="D221" s="35">
        <v>0</v>
      </c>
      <c r="E221" s="35">
        <v>0</v>
      </c>
      <c r="F221" s="35">
        <v>2.4272682733951774</v>
      </c>
      <c r="G221" s="35">
        <v>5.4854813479839972</v>
      </c>
      <c r="H221" s="35">
        <v>7.7511875022012138</v>
      </c>
      <c r="I221" s="35">
        <v>16.927154094197931</v>
      </c>
      <c r="J221" s="35">
        <v>29.756640164714888</v>
      </c>
      <c r="K221" s="35">
        <v>141.51548824985534</v>
      </c>
      <c r="L221" s="35">
        <v>344.39045575344346</v>
      </c>
      <c r="M221" s="6"/>
      <c r="N221" s="1" t="str">
        <f t="shared" si="11"/>
        <v>$million/million</v>
      </c>
      <c r="O221" s="1"/>
    </row>
    <row r="222" spans="1:15" x14ac:dyDescent="0.25">
      <c r="A222" t="str">
        <v>CA sea level</v>
      </c>
      <c r="C222" s="35">
        <v>12.516084839274955</v>
      </c>
      <c r="D222" s="35">
        <v>10.768271269758177</v>
      </c>
      <c r="E222" s="35">
        <v>7.147573303330792</v>
      </c>
      <c r="F222" s="35">
        <v>13.749503822851425</v>
      </c>
      <c r="G222" s="35">
        <v>21.10393201928435</v>
      </c>
      <c r="H222" s="35">
        <v>29.284237978497508</v>
      </c>
      <c r="I222" s="35">
        <v>56.131716685496315</v>
      </c>
      <c r="J222" s="35">
        <v>93.849582326358885</v>
      </c>
      <c r="K222" s="35">
        <v>417.41445396666234</v>
      </c>
      <c r="L222" s="35">
        <v>842.39045922133721</v>
      </c>
      <c r="M222" s="6"/>
      <c r="N222" s="1" t="str">
        <f t="shared" si="11"/>
        <v>$million/million</v>
      </c>
      <c r="O222" s="1"/>
    </row>
    <row r="223" spans="1:15" x14ac:dyDescent="0.25">
      <c r="A223" t="str">
        <v>IA sea level</v>
      </c>
      <c r="C223" s="35">
        <v>8.1485302534899446</v>
      </c>
      <c r="D223" s="35">
        <v>7.0106344616325371</v>
      </c>
      <c r="E223" s="35">
        <v>4.6533988457237188</v>
      </c>
      <c r="F223" s="35">
        <v>8.9779684747281987</v>
      </c>
      <c r="G223" s="35">
        <v>13.719964604026535</v>
      </c>
      <c r="H223" s="35">
        <v>18.986875318953679</v>
      </c>
      <c r="I223" s="35">
        <v>36.322675715242518</v>
      </c>
      <c r="J223" s="35">
        <v>60.914912601868785</v>
      </c>
      <c r="K223" s="35">
        <v>271.69321565189802</v>
      </c>
      <c r="L223" s="35">
        <v>548.19920197687065</v>
      </c>
      <c r="M223" s="6"/>
      <c r="N223" s="1" t="str">
        <f t="shared" si="11"/>
        <v>$million/million</v>
      </c>
      <c r="O223" s="1"/>
    </row>
    <row r="224" spans="1:15" x14ac:dyDescent="0.25">
      <c r="A224" t="str">
        <v>AF sea level</v>
      </c>
      <c r="C224" s="35">
        <v>9.0420326072125459</v>
      </c>
      <c r="D224" s="35">
        <v>7.7804730270628868</v>
      </c>
      <c r="E224" s="35">
        <v>5.1651610485065369</v>
      </c>
      <c r="F224" s="35">
        <v>9.9561161704072791</v>
      </c>
      <c r="G224" s="35">
        <v>15.227833656472349</v>
      </c>
      <c r="H224" s="35">
        <v>21.068459032946013</v>
      </c>
      <c r="I224" s="35">
        <v>40.338318409076741</v>
      </c>
      <c r="J224" s="35">
        <v>67.67281856544605</v>
      </c>
      <c r="K224" s="35">
        <v>301.61464238322424</v>
      </c>
      <c r="L224" s="35">
        <v>608.57847685218701</v>
      </c>
      <c r="M224" s="6"/>
      <c r="N224" s="1" t="str">
        <f t="shared" si="11"/>
        <v>$million/million</v>
      </c>
      <c r="O224" s="1"/>
    </row>
    <row r="225" spans="1:15" x14ac:dyDescent="0.25">
      <c r="A225" t="str">
        <v>LA sea level</v>
      </c>
      <c r="C225" s="35">
        <v>13.795840610772785</v>
      </c>
      <c r="D225" s="35">
        <v>11.870988137422412</v>
      </c>
      <c r="E225" s="35">
        <v>7.8806860705015138</v>
      </c>
      <c r="F225" s="35">
        <v>15.171527259786965</v>
      </c>
      <c r="G225" s="35">
        <v>23.290632440756717</v>
      </c>
      <c r="H225" s="35">
        <v>32.310124042444649</v>
      </c>
      <c r="I225" s="35">
        <v>61.938619781942769</v>
      </c>
      <c r="J225" s="35">
        <v>103.55555826680302</v>
      </c>
      <c r="K225" s="35">
        <v>460.32822588334341</v>
      </c>
      <c r="L225" s="35">
        <v>928.94193161629721</v>
      </c>
      <c r="M225" s="6"/>
      <c r="N225" s="1" t="str">
        <f t="shared" si="11"/>
        <v>$million/million</v>
      </c>
      <c r="O225" s="1"/>
    </row>
    <row r="226" spans="1:15" s="2" customFormat="1" ht="15" x14ac:dyDescent="0.4">
      <c r="A226" s="2" t="s">
        <v>282</v>
      </c>
      <c r="C226" s="2" t="s">
        <v>283</v>
      </c>
    </row>
    <row r="227" spans="1:15" x14ac:dyDescent="0.25">
      <c r="A227" t="str">
        <f t="array" ref="A227:A234">R_CODE&amp;" sea level"</f>
        <v>EU sea level</v>
      </c>
      <c r="C227" s="39">
        <f t="array" ref="C227:L234">cons_per_cap_after_costs-isat_s_per_cap</f>
        <v>18224.367843716009</v>
      </c>
      <c r="D227" s="39">
        <v>21821.981621930358</v>
      </c>
      <c r="E227" s="39">
        <v>25599.523380493389</v>
      </c>
      <c r="F227" s="39">
        <v>29244.099653382633</v>
      </c>
      <c r="G227" s="39">
        <v>32981.594777580598</v>
      </c>
      <c r="H227" s="39">
        <v>37191.277297966488</v>
      </c>
      <c r="I227" s="39">
        <v>46961.196408897216</v>
      </c>
      <c r="J227" s="39">
        <v>58910.479610971335</v>
      </c>
      <c r="K227" s="39">
        <v>184331.1817618839</v>
      </c>
      <c r="L227" s="39">
        <v>260123.18909417352</v>
      </c>
      <c r="M227" s="6"/>
      <c r="N227" s="1" t="str">
        <f t="shared" ref="N227:N234" si="12">CURRENCY_NAME&amp;"/"&amp;POP_UNIT_NAME</f>
        <v>$million/million</v>
      </c>
      <c r="O227" s="1"/>
    </row>
    <row r="228" spans="1:15" x14ac:dyDescent="0.25">
      <c r="A228" t="str">
        <v>US sea level</v>
      </c>
      <c r="C228" s="35">
        <v>33410.166194663805</v>
      </c>
      <c r="D228" s="35">
        <v>37842.783574206485</v>
      </c>
      <c r="E228" s="35">
        <v>41967.045402325952</v>
      </c>
      <c r="F228" s="35">
        <v>46729.235512078318</v>
      </c>
      <c r="G228" s="35">
        <v>51458.103297837792</v>
      </c>
      <c r="H228" s="35">
        <v>57072.92718426825</v>
      </c>
      <c r="I228" s="35">
        <v>70794.168404095224</v>
      </c>
      <c r="J228" s="35">
        <v>88495.604725168974</v>
      </c>
      <c r="K228" s="35">
        <v>247328.88606125873</v>
      </c>
      <c r="L228" s="35">
        <v>349298.86116291315</v>
      </c>
      <c r="M228" s="6"/>
      <c r="N228" s="1" t="str">
        <f t="shared" si="12"/>
        <v>$million/million</v>
      </c>
      <c r="O228" s="1"/>
    </row>
    <row r="229" spans="1:15" x14ac:dyDescent="0.25">
      <c r="A229" t="str">
        <v>OT sea level</v>
      </c>
      <c r="C229" s="35">
        <v>18737.059471586876</v>
      </c>
      <c r="D229" s="35">
        <v>24251.406231765213</v>
      </c>
      <c r="E229" s="35">
        <v>31619.591008059204</v>
      </c>
      <c r="F229" s="35">
        <v>41086.402326820127</v>
      </c>
      <c r="G229" s="35">
        <v>52414.684937146412</v>
      </c>
      <c r="H229" s="35">
        <v>66199.365291564856</v>
      </c>
      <c r="I229" s="35">
        <v>99281.394142719466</v>
      </c>
      <c r="J229" s="35">
        <v>141719.92707725961</v>
      </c>
      <c r="K229" s="35">
        <v>432793.17585242435</v>
      </c>
      <c r="L229" s="35">
        <v>611422.77753644821</v>
      </c>
      <c r="M229" s="6"/>
      <c r="N229" s="1" t="str">
        <f t="shared" si="12"/>
        <v>$million/million</v>
      </c>
      <c r="O229" s="1"/>
    </row>
    <row r="230" spans="1:15" x14ac:dyDescent="0.25">
      <c r="A230" t="str">
        <v>EE sea level</v>
      </c>
      <c r="C230" s="35">
        <v>2498.707433893002</v>
      </c>
      <c r="D230" s="35">
        <v>3236.1731337434667</v>
      </c>
      <c r="E230" s="35">
        <v>4222.7403464571198</v>
      </c>
      <c r="F230" s="35">
        <v>5488.5201891570259</v>
      </c>
      <c r="G230" s="35">
        <v>7003.6105290741316</v>
      </c>
      <c r="H230" s="35">
        <v>8845.9490017609387</v>
      </c>
      <c r="I230" s="35">
        <v>13274.741102496533</v>
      </c>
      <c r="J230" s="35">
        <v>18943.774524864748</v>
      </c>
      <c r="K230" s="35">
        <v>57818.291591562804</v>
      </c>
      <c r="L230" s="35">
        <v>81681.083530796139</v>
      </c>
      <c r="M230" s="6"/>
      <c r="N230" s="1" t="str">
        <f t="shared" si="12"/>
        <v>$million/million</v>
      </c>
      <c r="O230" s="1"/>
    </row>
    <row r="231" spans="1:15" x14ac:dyDescent="0.25">
      <c r="A231" t="str">
        <v>CA sea level</v>
      </c>
      <c r="C231" s="35">
        <v>2297.5049167973011</v>
      </c>
      <c r="D231" s="35">
        <v>2976.4915463404254</v>
      </c>
      <c r="E231" s="35">
        <v>3890.5569897753567</v>
      </c>
      <c r="F231" s="35">
        <v>5073.6534040099732</v>
      </c>
      <c r="G231" s="35">
        <v>6441.9120487361861</v>
      </c>
      <c r="H231" s="35">
        <v>8101.9352374380715</v>
      </c>
      <c r="I231" s="35">
        <v>12118.138730238257</v>
      </c>
      <c r="J231" s="35">
        <v>17343.041604010181</v>
      </c>
      <c r="K231" s="35">
        <v>53039.9696446292</v>
      </c>
      <c r="L231" s="35">
        <v>74791.295549782837</v>
      </c>
      <c r="M231" s="6"/>
      <c r="N231" s="1" t="str">
        <f t="shared" si="12"/>
        <v>$million/million</v>
      </c>
      <c r="O231" s="1"/>
    </row>
    <row r="232" spans="1:15" x14ac:dyDescent="0.25">
      <c r="A232" t="str">
        <v>IA sea level</v>
      </c>
      <c r="C232" s="35">
        <v>1243.1058757087324</v>
      </c>
      <c r="D232" s="35">
        <v>1611.0823568851783</v>
      </c>
      <c r="E232" s="35">
        <v>2106.5975608783051</v>
      </c>
      <c r="F232" s="35">
        <v>2758.3126878845933</v>
      </c>
      <c r="G232" s="35">
        <v>3479.9150548506573</v>
      </c>
      <c r="H232" s="35">
        <v>4359.5246712977387</v>
      </c>
      <c r="I232" s="35">
        <v>6500.9919411432729</v>
      </c>
      <c r="J232" s="35">
        <v>9343.1094362654276</v>
      </c>
      <c r="K232" s="35">
        <v>28674.755457389147</v>
      </c>
      <c r="L232" s="35">
        <v>40394.785034799723</v>
      </c>
      <c r="M232" s="6"/>
      <c r="N232" s="1" t="str">
        <f t="shared" si="12"/>
        <v>$million/million</v>
      </c>
      <c r="O232" s="1"/>
    </row>
    <row r="233" spans="1:15" x14ac:dyDescent="0.25">
      <c r="A233" t="str">
        <v>AF sea level</v>
      </c>
      <c r="C233" s="35">
        <v>2180.6451759523857</v>
      </c>
      <c r="D233" s="35">
        <v>2824.4484592436002</v>
      </c>
      <c r="E233" s="35">
        <v>3691.0519117696026</v>
      </c>
      <c r="F233" s="35">
        <v>4828.4076126764594</v>
      </c>
      <c r="G233" s="35">
        <v>6100.5892678318605</v>
      </c>
      <c r="H233" s="35">
        <v>7641.1093865817384</v>
      </c>
      <c r="I233" s="35">
        <v>11413.218547351886</v>
      </c>
      <c r="J233" s="35">
        <v>16416.607715226321</v>
      </c>
      <c r="K233" s="35">
        <v>50385.627995808121</v>
      </c>
      <c r="L233" s="35">
        <v>71086.507389637802</v>
      </c>
      <c r="M233" s="6"/>
      <c r="N233" s="1" t="str">
        <f t="shared" si="12"/>
        <v>$million/million</v>
      </c>
      <c r="O233" s="1"/>
    </row>
    <row r="234" spans="1:15" x14ac:dyDescent="0.25">
      <c r="A234" t="str">
        <v>LA sea level</v>
      </c>
      <c r="C234" s="35">
        <v>3990.2529980624181</v>
      </c>
      <c r="D234" s="35">
        <v>5167.1048259652407</v>
      </c>
      <c r="E234" s="35">
        <v>6750.9564787737218</v>
      </c>
      <c r="F234" s="35">
        <v>8816.4497499678109</v>
      </c>
      <c r="G234" s="35">
        <v>11199.156579416869</v>
      </c>
      <c r="H234" s="35">
        <v>14081.566092479874</v>
      </c>
      <c r="I234" s="35">
        <v>21073.090627101614</v>
      </c>
      <c r="J234" s="35">
        <v>30166.389900593425</v>
      </c>
      <c r="K234" s="35">
        <v>92266.642511528044</v>
      </c>
      <c r="L234" s="35">
        <v>130254.17008446761</v>
      </c>
      <c r="M234" s="6"/>
      <c r="N234" s="1" t="str">
        <f t="shared" si="12"/>
        <v>$million/million</v>
      </c>
      <c r="O234" s="1"/>
    </row>
    <row r="235" spans="1:15" s="2" customFormat="1" ht="15" x14ac:dyDescent="0.4">
      <c r="A235" s="2" t="s">
        <v>284</v>
      </c>
      <c r="C235" s="2" t="s">
        <v>285</v>
      </c>
    </row>
    <row r="236" spans="1:15" x14ac:dyDescent="0.25">
      <c r="A236" t="str">
        <f t="array" ref="A236:A243">R_CODE&amp;" sea level"</f>
        <v>EU sea level</v>
      </c>
      <c r="C236" s="39">
        <f t="array" ref="C236:L243" xml:space="preserve"> rcons_s_per_cap/(1-SAVE/100)</f>
        <v>21440.432757312952</v>
      </c>
      <c r="D236" s="39">
        <v>25672.919555212186</v>
      </c>
      <c r="E236" s="39">
        <v>30117.086329992224</v>
      </c>
      <c r="F236" s="39">
        <v>34404.823121626629</v>
      </c>
      <c r="G236" s="39">
        <v>38801.876208918351</v>
      </c>
      <c r="H236" s="39">
        <v>43754.443879960578</v>
      </c>
      <c r="I236" s="39">
        <v>55248.466363408494</v>
      </c>
      <c r="J236" s="39">
        <v>69306.446601142743</v>
      </c>
      <c r="K236" s="39">
        <v>216860.21383751047</v>
      </c>
      <c r="L236" s="39">
        <v>306027.28128726297</v>
      </c>
      <c r="M236" s="6"/>
      <c r="N236" s="1" t="str">
        <f t="shared" ref="N236:N243" si="13">CURRENCY_NAME&amp;"/"&amp;POP_UNIT_NAME</f>
        <v>$million/million</v>
      </c>
      <c r="O236" s="1"/>
    </row>
    <row r="237" spans="1:15" x14ac:dyDescent="0.25">
      <c r="A237" t="str">
        <v>US sea level</v>
      </c>
      <c r="C237" s="35">
        <v>39306.077876075069</v>
      </c>
      <c r="D237" s="35">
        <v>44520.921852007632</v>
      </c>
      <c r="E237" s="35">
        <v>49372.994590971706</v>
      </c>
      <c r="F237" s="35">
        <v>54975.571190680377</v>
      </c>
      <c r="G237" s="35">
        <v>60538.945056279757</v>
      </c>
      <c r="H237" s="35">
        <v>67144.620216786177</v>
      </c>
      <c r="I237" s="35">
        <v>83287.256945994377</v>
      </c>
      <c r="J237" s="35">
        <v>104112.47614725762</v>
      </c>
      <c r="K237" s="35">
        <v>290975.16007206909</v>
      </c>
      <c r="L237" s="35">
        <v>410939.83666225075</v>
      </c>
      <c r="M237" s="6"/>
      <c r="N237" s="1" t="str">
        <f t="shared" si="13"/>
        <v>$million/million</v>
      </c>
      <c r="O237" s="1"/>
    </row>
    <row r="238" spans="1:15" x14ac:dyDescent="0.25">
      <c r="A238" t="str">
        <v>OT sea level</v>
      </c>
      <c r="C238" s="35">
        <v>22043.599378337502</v>
      </c>
      <c r="D238" s="35">
        <v>28531.066155017899</v>
      </c>
      <c r="E238" s="35">
        <v>37199.518833010829</v>
      </c>
      <c r="F238" s="35">
        <v>48336.943913906034</v>
      </c>
      <c r="G238" s="35">
        <v>61664.335220172252</v>
      </c>
      <c r="H238" s="35">
        <v>77881.606225370415</v>
      </c>
      <c r="I238" s="35">
        <v>116801.64016790525</v>
      </c>
      <c r="J238" s="35">
        <v>166729.3259732466</v>
      </c>
      <c r="K238" s="35">
        <v>509168.44217932277</v>
      </c>
      <c r="L238" s="35">
        <v>719320.91474876262</v>
      </c>
      <c r="M238" s="6"/>
      <c r="N238" s="1" t="str">
        <f t="shared" si="13"/>
        <v>$million/million</v>
      </c>
      <c r="O238" s="1"/>
    </row>
    <row r="239" spans="1:15" x14ac:dyDescent="0.25">
      <c r="A239" t="str">
        <v>EE sea level</v>
      </c>
      <c r="C239" s="35">
        <v>2939.6558045800025</v>
      </c>
      <c r="D239" s="35">
        <v>3807.2625102864313</v>
      </c>
      <c r="E239" s="35">
        <v>4967.9298193613176</v>
      </c>
      <c r="F239" s="35">
        <v>6457.0825754788539</v>
      </c>
      <c r="G239" s="35">
        <v>8239.5417989107427</v>
      </c>
      <c r="H239" s="35">
        <v>10406.998825601104</v>
      </c>
      <c r="I239" s="35">
        <v>15617.342473525334</v>
      </c>
      <c r="J239" s="35">
        <v>22286.793558664409</v>
      </c>
      <c r="K239" s="35">
        <v>68021.51951948565</v>
      </c>
      <c r="L239" s="35">
        <v>96095.392389171931</v>
      </c>
      <c r="M239" s="6"/>
      <c r="N239" s="1" t="str">
        <f t="shared" si="13"/>
        <v>$million/million</v>
      </c>
      <c r="O239" s="1"/>
    </row>
    <row r="240" spans="1:15" x14ac:dyDescent="0.25">
      <c r="A240" t="str">
        <v>CA sea level</v>
      </c>
      <c r="C240" s="35">
        <v>2702.9469609380012</v>
      </c>
      <c r="D240" s="35">
        <v>3501.7547604005008</v>
      </c>
      <c r="E240" s="35">
        <v>4577.1258703239491</v>
      </c>
      <c r="F240" s="35">
        <v>5969.0040047176153</v>
      </c>
      <c r="G240" s="35">
        <v>7578.7200573366899</v>
      </c>
      <c r="H240" s="35">
        <v>9531.688514633026</v>
      </c>
      <c r="I240" s="35">
        <v>14256.633800280302</v>
      </c>
      <c r="J240" s="35">
        <v>20403.578357659037</v>
      </c>
      <c r="K240" s="35">
        <v>62399.964287799063</v>
      </c>
      <c r="L240" s="35">
        <v>87989.759470332749</v>
      </c>
      <c r="M240" s="6"/>
      <c r="N240" s="1" t="str">
        <f t="shared" si="13"/>
        <v>$million/million</v>
      </c>
      <c r="O240" s="1"/>
    </row>
    <row r="241" spans="1:15" x14ac:dyDescent="0.25">
      <c r="A241" t="str">
        <v>IA sea level</v>
      </c>
      <c r="C241" s="35">
        <v>1462.4775008338029</v>
      </c>
      <c r="D241" s="35">
        <v>1895.3910081002098</v>
      </c>
      <c r="E241" s="35">
        <v>2478.3500716215353</v>
      </c>
      <c r="F241" s="35">
        <v>3245.0737504524627</v>
      </c>
      <c r="G241" s="35">
        <v>4094.0177115890087</v>
      </c>
      <c r="H241" s="35">
        <v>5128.8525544679278</v>
      </c>
      <c r="I241" s="35">
        <v>7648.2258131097333</v>
      </c>
      <c r="J241" s="35">
        <v>10991.893454429915</v>
      </c>
      <c r="K241" s="35">
        <v>33735.006420457823</v>
      </c>
      <c r="L241" s="35">
        <v>47523.276511529089</v>
      </c>
      <c r="M241" s="6"/>
      <c r="N241" s="1" t="str">
        <f t="shared" si="13"/>
        <v>$million/million</v>
      </c>
      <c r="O241" s="1"/>
    </row>
    <row r="242" spans="1:15" x14ac:dyDescent="0.25">
      <c r="A242" t="str">
        <v>AF sea level</v>
      </c>
      <c r="C242" s="35">
        <v>2565.4649128851597</v>
      </c>
      <c r="D242" s="35">
        <v>3322.8805402865887</v>
      </c>
      <c r="E242" s="35">
        <v>4342.4140138465918</v>
      </c>
      <c r="F242" s="35">
        <v>5680.4795443252469</v>
      </c>
      <c r="G242" s="35">
        <v>7177.1638445080716</v>
      </c>
      <c r="H242" s="35">
        <v>8989.5404548020451</v>
      </c>
      <c r="I242" s="35">
        <v>13427.315938061043</v>
      </c>
      <c r="J242" s="35">
        <v>19313.656135560377</v>
      </c>
      <c r="K242" s="35">
        <v>59277.209406833084</v>
      </c>
      <c r="L242" s="35">
        <v>83631.18516427977</v>
      </c>
      <c r="M242" s="6"/>
      <c r="N242" s="1" t="str">
        <f t="shared" si="13"/>
        <v>$million/million</v>
      </c>
      <c r="O242" s="1"/>
    </row>
    <row r="243" spans="1:15" x14ac:dyDescent="0.25">
      <c r="A243" t="str">
        <v>LA sea level</v>
      </c>
      <c r="C243" s="35">
        <v>4694.4152918381387</v>
      </c>
      <c r="D243" s="35">
        <v>6078.9468540767539</v>
      </c>
      <c r="E243" s="35">
        <v>7942.3017397337908</v>
      </c>
      <c r="F243" s="35">
        <v>10372.293823491542</v>
      </c>
      <c r="G243" s="35">
        <v>13175.478328725729</v>
      </c>
      <c r="H243" s="35">
        <v>16566.548344093972</v>
      </c>
      <c r="I243" s="35">
        <v>24791.871326001899</v>
      </c>
      <c r="J243" s="35">
        <v>35489.870471286384</v>
      </c>
      <c r="K243" s="35">
        <v>108548.99119003299</v>
      </c>
      <c r="L243" s="35">
        <v>153240.20009937367</v>
      </c>
      <c r="M243" s="6"/>
      <c r="N243" s="1" t="str">
        <f t="shared" si="13"/>
        <v>$million/million</v>
      </c>
      <c r="O243" s="1"/>
    </row>
    <row r="244" spans="1:15" s="2" customFormat="1" ht="15" x14ac:dyDescent="0.4">
      <c r="A244" s="2" t="s">
        <v>276</v>
      </c>
      <c r="C244" s="2" t="s">
        <v>289</v>
      </c>
    </row>
    <row r="245" spans="1:15" x14ac:dyDescent="0.25">
      <c r="A245" t="str">
        <f t="array" ref="A245:A252">R_CODE&amp;" "&amp;I_1_NAME</f>
        <v>EU Economic</v>
      </c>
      <c r="C245" s="39">
        <f t="array" ref="C245:L252">WINCF*((W_1+IBEN_1*TCAL)*(i_1/TCAL)^POW_1-i_1*IBEN_1)</f>
        <v>-5.3453197734123714E-2</v>
      </c>
      <c r="D245" s="39">
        <v>-4.5437070293869078E-2</v>
      </c>
      <c r="E245" s="39">
        <v>-5.5370377693293477E-2</v>
      </c>
      <c r="F245" s="39">
        <v>-4.1390618538047985E-2</v>
      </c>
      <c r="G245" s="39">
        <v>-1.1677632309708808E-2</v>
      </c>
      <c r="H245" s="39">
        <v>2.9195799511614801E-2</v>
      </c>
      <c r="I245" s="39">
        <v>0.12158260439087332</v>
      </c>
      <c r="J245" s="39">
        <v>0.20911990590264717</v>
      </c>
      <c r="K245" s="39">
        <v>0.37825930399190533</v>
      </c>
      <c r="L245" s="39">
        <v>0.55888262054557347</v>
      </c>
      <c r="M245" s="6"/>
      <c r="N245" s="84" t="s">
        <v>168</v>
      </c>
    </row>
    <row r="246" spans="1:15" x14ac:dyDescent="0.25">
      <c r="A246" t="str">
        <v>US Economic</v>
      </c>
      <c r="C246" s="35">
        <v>-4.429422332675978E-2</v>
      </c>
      <c r="D246" s="35">
        <v>-4.2921815999310303E-2</v>
      </c>
      <c r="E246" s="35">
        <v>-3.9119109065892436E-2</v>
      </c>
      <c r="F246" s="35">
        <v>-1.0615300401311157E-2</v>
      </c>
      <c r="G246" s="35">
        <v>3.0941305313065472E-2</v>
      </c>
      <c r="H246" s="35">
        <v>8.0696602815019516E-2</v>
      </c>
      <c r="I246" s="35">
        <v>0.17972820054002431</v>
      </c>
      <c r="J246" s="35">
        <v>0.26296486541044284</v>
      </c>
      <c r="K246" s="35">
        <v>0.41808049576708317</v>
      </c>
      <c r="L246" s="35">
        <v>0.58380013134963871</v>
      </c>
      <c r="M246" s="6"/>
      <c r="N246" s="84" t="s">
        <v>168</v>
      </c>
    </row>
    <row r="247" spans="1:15" x14ac:dyDescent="0.25">
      <c r="A247" t="str">
        <v>OT Economic</v>
      </c>
      <c r="C247" s="35">
        <v>-2.7604243790974616E-2</v>
      </c>
      <c r="D247" s="35">
        <v>-2.5050391927705352E-2</v>
      </c>
      <c r="E247" s="35">
        <v>3.6747797422167786E-2</v>
      </c>
      <c r="F247" s="35">
        <v>0.13326543605583444</v>
      </c>
      <c r="G247" s="35">
        <v>0.2416535065461837</v>
      </c>
      <c r="H247" s="35">
        <v>0.3506867763043276</v>
      </c>
      <c r="I247" s="35">
        <v>0.52878217765222346</v>
      </c>
      <c r="J247" s="35">
        <v>0.64687671028734561</v>
      </c>
      <c r="K247" s="35">
        <v>0.85650383532199581</v>
      </c>
      <c r="L247" s="35">
        <v>1.0857255760401465</v>
      </c>
      <c r="M247" s="6"/>
      <c r="N247" s="84" t="s">
        <v>168</v>
      </c>
    </row>
    <row r="248" spans="1:15" x14ac:dyDescent="0.25">
      <c r="A248" t="str">
        <v>EE Economic</v>
      </c>
      <c r="C248" s="35">
        <v>-1.7523711213968004E-2</v>
      </c>
      <c r="D248" s="35">
        <v>-2.1523907024495581E-2</v>
      </c>
      <c r="E248" s="35">
        <v>-1.101437437311671E-2</v>
      </c>
      <c r="F248" s="35">
        <v>2.149267174397539E-2</v>
      </c>
      <c r="G248" s="35">
        <v>7.0018002875335508E-2</v>
      </c>
      <c r="H248" s="35">
        <v>0.12483861420120819</v>
      </c>
      <c r="I248" s="35">
        <v>0.22969887335763917</v>
      </c>
      <c r="J248" s="35">
        <v>0.31633594050021396</v>
      </c>
      <c r="K248" s="35">
        <v>0.4665111305767054</v>
      </c>
      <c r="L248" s="35">
        <v>0.58898156851605599</v>
      </c>
      <c r="M248" s="6"/>
      <c r="N248" s="84" t="s">
        <v>168</v>
      </c>
    </row>
    <row r="249" spans="1:15" x14ac:dyDescent="0.25">
      <c r="A249" t="str">
        <v>CA Economic</v>
      </c>
      <c r="C249" s="35">
        <v>0</v>
      </c>
      <c r="D249" s="35">
        <v>0</v>
      </c>
      <c r="E249" s="35">
        <v>0</v>
      </c>
      <c r="F249" s="35">
        <v>0</v>
      </c>
      <c r="G249" s="35">
        <v>0</v>
      </c>
      <c r="H249" s="35">
        <v>0</v>
      </c>
      <c r="I249" s="35">
        <v>-4.2472709282645849E-2</v>
      </c>
      <c r="J249" s="35">
        <v>-1.9715552554559569E-2</v>
      </c>
      <c r="K249" s="35">
        <v>0.14564025361683416</v>
      </c>
      <c r="L249" s="35">
        <v>0.26416142039498552</v>
      </c>
      <c r="M249" s="6"/>
      <c r="N249" s="84" t="s">
        <v>168</v>
      </c>
    </row>
    <row r="250" spans="1:15" x14ac:dyDescent="0.25">
      <c r="A250" t="str">
        <v>IA Economic</v>
      </c>
      <c r="C250" s="35">
        <v>-4.3834867776402338E-2</v>
      </c>
      <c r="D250" s="35">
        <v>-4.0252587780500185E-2</v>
      </c>
      <c r="E250" s="35">
        <v>-3.7048533667475125E-2</v>
      </c>
      <c r="F250" s="35">
        <v>-4.1984345313117719E-2</v>
      </c>
      <c r="G250" s="35">
        <v>-3.7843538838368676E-2</v>
      </c>
      <c r="H250" s="35">
        <v>-7.2582516523379773E-3</v>
      </c>
      <c r="I250" s="35">
        <v>9.2015788013206701E-2</v>
      </c>
      <c r="J250" s="35">
        <v>0.20583810266493185</v>
      </c>
      <c r="K250" s="35">
        <v>0.429447213138483</v>
      </c>
      <c r="L250" s="35">
        <v>0.60302260095407123</v>
      </c>
      <c r="M250" s="6"/>
      <c r="N250" s="84" t="s">
        <v>168</v>
      </c>
    </row>
    <row r="251" spans="1:15" x14ac:dyDescent="0.25">
      <c r="A251" t="str">
        <v>AF Economic</v>
      </c>
      <c r="C251" s="35">
        <v>-2.8096869718931067E-2</v>
      </c>
      <c r="D251" s="35">
        <v>-2.8873793306631281E-2</v>
      </c>
      <c r="E251" s="35">
        <v>-3.1943849654758341E-2</v>
      </c>
      <c r="F251" s="35">
        <v>-3.3000222362120364E-2</v>
      </c>
      <c r="G251" s="35">
        <v>-2.8071690223407223E-2</v>
      </c>
      <c r="H251" s="35">
        <v>-1.6257361773940326E-2</v>
      </c>
      <c r="I251" s="35">
        <v>2.8599129705638104E-2</v>
      </c>
      <c r="J251" s="35">
        <v>0.10051231271028427</v>
      </c>
      <c r="K251" s="35">
        <v>0.25123581553759061</v>
      </c>
      <c r="L251" s="35">
        <v>0.36852189654667389</v>
      </c>
      <c r="M251" s="6"/>
      <c r="N251" s="84" t="s">
        <v>168</v>
      </c>
    </row>
    <row r="252" spans="1:15" x14ac:dyDescent="0.25">
      <c r="A252" t="str">
        <v>LA Economic</v>
      </c>
      <c r="C252" s="35">
        <v>-1.8904965055083406E-2</v>
      </c>
      <c r="D252" s="35">
        <v>-1.7788217243623748E-2</v>
      </c>
      <c r="E252" s="35">
        <v>-1.9417107585325104E-2</v>
      </c>
      <c r="F252" s="35">
        <v>-2.265056323984764E-2</v>
      </c>
      <c r="G252" s="35">
        <v>-5.9613121482749772E-3</v>
      </c>
      <c r="H252" s="35">
        <v>1.7923086423760077E-2</v>
      </c>
      <c r="I252" s="35">
        <v>8.2795513823499658E-2</v>
      </c>
      <c r="J252" s="35">
        <v>0.16599352898702915</v>
      </c>
      <c r="K252" s="35">
        <v>0.32634092632710066</v>
      </c>
      <c r="L252" s="35">
        <v>0.45648207599862745</v>
      </c>
      <c r="M252" s="6"/>
      <c r="N252" s="84" t="s">
        <v>168</v>
      </c>
    </row>
    <row r="253" spans="1:15" s="2" customFormat="1" ht="15" x14ac:dyDescent="0.4">
      <c r="A253" s="2" t="s">
        <v>275</v>
      </c>
      <c r="C253" s="2" t="s">
        <v>290</v>
      </c>
    </row>
    <row r="254" spans="1:15" x14ac:dyDescent="0.25">
      <c r="A254" t="str">
        <f t="array" ref="A254:A261">R_CODE&amp;" "&amp;I_1_NAME</f>
        <v>EU Economic</v>
      </c>
      <c r="C254" s="39">
        <f t="array" ref="C254:L261">iref_1*(rgdp_s_per_cap/GDP_PER_CAP_FOCUS_0)^IPOW_1</f>
        <v>-5.2355644394298975E-2</v>
      </c>
      <c r="D254" s="39">
        <v>-4.3447812016284872E-2</v>
      </c>
      <c r="E254" s="39">
        <v>-5.183105511861829E-2</v>
      </c>
      <c r="F254" s="39">
        <v>-3.8063346077095744E-2</v>
      </c>
      <c r="G254" s="39">
        <v>-1.0568062934516785E-2</v>
      </c>
      <c r="H254" s="39">
        <v>2.6001897459972046E-2</v>
      </c>
      <c r="I254" s="39">
        <v>0.10496625504732267</v>
      </c>
      <c r="J254" s="39">
        <v>0.17516466984136903</v>
      </c>
      <c r="K254" s="39">
        <v>0.272136373228682</v>
      </c>
      <c r="L254" s="39">
        <v>0.3840374198287233</v>
      </c>
      <c r="M254" s="6"/>
      <c r="N254" s="84" t="s">
        <v>168</v>
      </c>
    </row>
    <row r="255" spans="1:15" x14ac:dyDescent="0.25">
      <c r="A255" t="str">
        <v>US Economic</v>
      </c>
      <c r="C255" s="35">
        <v>-4.0016590895601431E-2</v>
      </c>
      <c r="D255" s="35">
        <v>-3.813793372782108E-2</v>
      </c>
      <c r="E255" s="35">
        <v>-3.4282934089051031E-2</v>
      </c>
      <c r="F255" s="35">
        <v>-9.1705900499540055E-3</v>
      </c>
      <c r="G255" s="35">
        <v>2.6388919549677023E-2</v>
      </c>
      <c r="H255" s="35">
        <v>6.787992913327355E-2</v>
      </c>
      <c r="I255" s="35">
        <v>0.1469016620158895</v>
      </c>
      <c r="J255" s="35">
        <v>0.20863395016848621</v>
      </c>
      <c r="K255" s="35">
        <v>0.28922338833329259</v>
      </c>
      <c r="L255" s="35">
        <v>0.3856985861880306</v>
      </c>
      <c r="M255" s="6"/>
      <c r="N255" s="84" t="s">
        <v>168</v>
      </c>
    </row>
    <row r="256" spans="1:15" x14ac:dyDescent="0.25">
      <c r="A256" t="str">
        <v>OT Economic</v>
      </c>
      <c r="C256" s="35">
        <v>-2.6937615154958391E-2</v>
      </c>
      <c r="D256" s="35">
        <v>-2.361890445499825E-2</v>
      </c>
      <c r="E256" s="35">
        <v>3.3443672480342634E-2</v>
      </c>
      <c r="F256" s="35">
        <v>0.11712095112054388</v>
      </c>
      <c r="G256" s="35">
        <v>0.20559356563190678</v>
      </c>
      <c r="H256" s="35">
        <v>0.28921159076610498</v>
      </c>
      <c r="I256" s="35">
        <v>0.41314697246444559</v>
      </c>
      <c r="J256" s="35">
        <v>0.48199315853304392</v>
      </c>
      <c r="K256" s="35">
        <v>0.5499232388454901</v>
      </c>
      <c r="L256" s="35">
        <v>0.66570936702955208</v>
      </c>
      <c r="M256" s="6"/>
      <c r="N256" s="84" t="s">
        <v>168</v>
      </c>
    </row>
    <row r="257" spans="1:15" x14ac:dyDescent="0.25">
      <c r="A257" t="str">
        <v>EE Economic</v>
      </c>
      <c r="C257" s="35">
        <v>-2.2370422205185137E-2</v>
      </c>
      <c r="D257" s="35">
        <v>-2.6545669850368263E-2</v>
      </c>
      <c r="E257" s="35">
        <v>-1.3110645197657611E-2</v>
      </c>
      <c r="F257" s="35">
        <v>2.4704335960372505E-2</v>
      </c>
      <c r="G257" s="35">
        <v>7.7907081499445502E-2</v>
      </c>
      <c r="H257" s="35">
        <v>0.13464590901879198</v>
      </c>
      <c r="I257" s="35">
        <v>0.23469231645119989</v>
      </c>
      <c r="J257" s="35">
        <v>0.30824531376019282</v>
      </c>
      <c r="K257" s="35">
        <v>0.39173898218500891</v>
      </c>
      <c r="L257" s="35">
        <v>0.47231200753497521</v>
      </c>
      <c r="M257" s="6"/>
      <c r="N257" s="84" t="s">
        <v>168</v>
      </c>
    </row>
    <row r="258" spans="1:15" x14ac:dyDescent="0.25">
      <c r="A258" t="str">
        <v>CA Economic</v>
      </c>
      <c r="C258" s="35">
        <v>0</v>
      </c>
      <c r="D258" s="35">
        <v>0</v>
      </c>
      <c r="E258" s="35">
        <v>0</v>
      </c>
      <c r="F258" s="35">
        <v>0</v>
      </c>
      <c r="G258" s="35">
        <v>0</v>
      </c>
      <c r="H258" s="35">
        <v>0</v>
      </c>
      <c r="I258" s="35">
        <v>-4.39267079638151E-2</v>
      </c>
      <c r="J258" s="35">
        <v>-1.9438782729591576E-2</v>
      </c>
      <c r="K258" s="35">
        <v>0.12371180366858525</v>
      </c>
      <c r="L258" s="35">
        <v>0.21433811062777952</v>
      </c>
      <c r="M258" s="6"/>
      <c r="N258" s="84" t="s">
        <v>168</v>
      </c>
    </row>
    <row r="259" spans="1:15" x14ac:dyDescent="0.25">
      <c r="A259" t="str">
        <v>IA Economic</v>
      </c>
      <c r="C259" s="35">
        <v>-6.1417966437844751E-2</v>
      </c>
      <c r="D259" s="35">
        <v>-5.4482235775112929E-2</v>
      </c>
      <c r="E259" s="35">
        <v>-4.8384207057207397E-2</v>
      </c>
      <c r="F259" s="35">
        <v>-5.2894648263784386E-2</v>
      </c>
      <c r="G259" s="35">
        <v>-4.6223135661876767E-2</v>
      </c>
      <c r="H259" s="35">
        <v>-8.603007155583816E-3</v>
      </c>
      <c r="I259" s="35">
        <v>0.10340508132123283</v>
      </c>
      <c r="J259" s="35">
        <v>0.220396009261243</v>
      </c>
      <c r="K259" s="35">
        <v>0.39596181552576309</v>
      </c>
      <c r="L259" s="35">
        <v>0.53117019411498279</v>
      </c>
      <c r="M259" s="6"/>
      <c r="N259" s="84" t="s">
        <v>168</v>
      </c>
    </row>
    <row r="260" spans="1:15" x14ac:dyDescent="0.25">
      <c r="A260" t="str">
        <v>AF Economic</v>
      </c>
      <c r="C260" s="35">
        <v>-3.652498824401814E-2</v>
      </c>
      <c r="D260" s="35">
        <v>-3.6262368798253099E-2</v>
      </c>
      <c r="E260" s="35">
        <v>-3.8711860774513066E-2</v>
      </c>
      <c r="F260" s="35">
        <v>-3.8585117215889746E-2</v>
      </c>
      <c r="G260" s="35">
        <v>-3.1814795717755175E-2</v>
      </c>
      <c r="H260" s="35">
        <v>-1.7880213314465033E-2</v>
      </c>
      <c r="I260" s="35">
        <v>2.9815485168613938E-2</v>
      </c>
      <c r="J260" s="35">
        <v>9.9829360933018557E-2</v>
      </c>
      <c r="K260" s="35">
        <v>0.21487413551201376</v>
      </c>
      <c r="L260" s="35">
        <v>0.30104759015272353</v>
      </c>
      <c r="M260" s="6"/>
      <c r="N260" s="84" t="s">
        <v>168</v>
      </c>
    </row>
    <row r="261" spans="1:15" x14ac:dyDescent="0.25">
      <c r="A261" t="str">
        <v>LA Economic</v>
      </c>
      <c r="C261" s="35">
        <v>-2.267353848244149E-2</v>
      </c>
      <c r="D261" s="35">
        <v>-2.0611500201307635E-2</v>
      </c>
      <c r="E261" s="35">
        <v>-2.1710974152143299E-2</v>
      </c>
      <c r="F261" s="35">
        <v>-2.4440869685318469E-2</v>
      </c>
      <c r="G261" s="35">
        <v>-6.2305631475634395E-3</v>
      </c>
      <c r="H261" s="35">
        <v>1.8169214510813457E-2</v>
      </c>
      <c r="I261" s="35">
        <v>7.9540171341141649E-2</v>
      </c>
      <c r="J261" s="35">
        <v>0.15201911288461478</v>
      </c>
      <c r="K261" s="35">
        <v>0.25747934409921741</v>
      </c>
      <c r="L261" s="35">
        <v>0.3439761456281335</v>
      </c>
      <c r="M261" s="6"/>
      <c r="N261" s="84" t="s">
        <v>168</v>
      </c>
    </row>
    <row r="262" spans="1:15" s="2" customFormat="1" ht="15" x14ac:dyDescent="0.4">
      <c r="A262" s="2" t="s">
        <v>279</v>
      </c>
      <c r="C262" s="2" t="s">
        <v>291</v>
      </c>
    </row>
    <row r="263" spans="1:15" x14ac:dyDescent="0.25">
      <c r="A263" t="str">
        <f t="array" ref="A263:A270">R_CODE&amp;" "&amp;I_1_NAME</f>
        <v>EU Economic</v>
      </c>
      <c r="C263" s="39">
        <f t="array" ref="C263:L270">IF(igdp_1&lt;ISATG,igdp_1,ISATG+(100-SAVE-ISATG)*((igdp_1-ISATG)/((100-SAVE-ISATG)+(igdp_1-ISATG))))*(1-imp_1/100*IF(i_1&lt;impmax_1_a,1,impmax_1_a/i_1))</f>
        <v>-5.2355644394298975E-2</v>
      </c>
      <c r="D263" s="39">
        <v>-3.6930640213842139E-2</v>
      </c>
      <c r="E263" s="39">
        <v>-3.6281738583032803E-2</v>
      </c>
      <c r="F263" s="39">
        <v>-2.6644342253967019E-2</v>
      </c>
      <c r="G263" s="39">
        <v>-7.397644054161749E-3</v>
      </c>
      <c r="H263" s="39">
        <v>1.820132822198043E-2</v>
      </c>
      <c r="I263" s="39">
        <v>7.4271192112274939E-2</v>
      </c>
      <c r="J263" s="39">
        <v>0.13001864751680467</v>
      </c>
      <c r="K263" s="39">
        <v>0.2127404080838407</v>
      </c>
      <c r="L263" s="39">
        <v>0.30996920043153198</v>
      </c>
      <c r="M263" s="6"/>
      <c r="N263" s="84" t="s">
        <v>168</v>
      </c>
    </row>
    <row r="264" spans="1:15" x14ac:dyDescent="0.25">
      <c r="A264" t="str">
        <v>US Economic</v>
      </c>
      <c r="C264" s="35">
        <v>-4.0016590895601431E-2</v>
      </c>
      <c r="D264" s="35">
        <v>-3.241724366864792E-2</v>
      </c>
      <c r="E264" s="35">
        <v>-2.3998053862335722E-2</v>
      </c>
      <c r="F264" s="35">
        <v>-6.4194130349678035E-3</v>
      </c>
      <c r="G264" s="35">
        <v>1.8472243684773914E-2</v>
      </c>
      <c r="H264" s="35">
        <v>4.7515950393291484E-2</v>
      </c>
      <c r="I264" s="35">
        <v>0.10973787493133287</v>
      </c>
      <c r="J264" s="35">
        <v>0.16115122500166704</v>
      </c>
      <c r="K264" s="35">
        <v>0.23220143210780728</v>
      </c>
      <c r="L264" s="35">
        <v>0.3177217759994358</v>
      </c>
      <c r="M264" s="6"/>
      <c r="N264" s="84" t="s">
        <v>168</v>
      </c>
    </row>
    <row r="265" spans="1:15" x14ac:dyDescent="0.25">
      <c r="A265" t="str">
        <v>OT Economic</v>
      </c>
      <c r="C265" s="35">
        <v>-2.6937615154958391E-2</v>
      </c>
      <c r="D265" s="35">
        <v>-2.0076068786748513E-2</v>
      </c>
      <c r="E265" s="35">
        <v>2.3410570736239842E-2</v>
      </c>
      <c r="F265" s="35">
        <v>8.5192441914176617E-2</v>
      </c>
      <c r="G265" s="35">
        <v>0.15764317396755106</v>
      </c>
      <c r="H265" s="35">
        <v>0.22889637898654688</v>
      </c>
      <c r="I265" s="35">
        <v>0.33781881718639178</v>
      </c>
      <c r="J265" s="35">
        <v>0.40002965811447011</v>
      </c>
      <c r="K265" s="35">
        <v>0.465367231413643</v>
      </c>
      <c r="L265" s="35">
        <v>0.57197811228821516</v>
      </c>
      <c r="M265" s="6"/>
      <c r="N265" s="84" t="s">
        <v>168</v>
      </c>
    </row>
    <row r="266" spans="1:15" x14ac:dyDescent="0.25">
      <c r="A266" t="str">
        <v>EE Economic</v>
      </c>
      <c r="C266" s="35">
        <v>-2.2370422205185137E-2</v>
      </c>
      <c r="D266" s="35">
        <v>-2.2563819372813022E-2</v>
      </c>
      <c r="E266" s="35">
        <v>-9.1774516383603278E-3</v>
      </c>
      <c r="F266" s="35">
        <v>1.7293035172260753E-2</v>
      </c>
      <c r="G266" s="35">
        <v>5.6918821221256147E-2</v>
      </c>
      <c r="H266" s="35">
        <v>0.10353627569728804</v>
      </c>
      <c r="I266" s="35">
        <v>0.18983190676806358</v>
      </c>
      <c r="J266" s="35">
        <v>0.25541791933603253</v>
      </c>
      <c r="K266" s="35">
        <v>0.33337176079186115</v>
      </c>
      <c r="L266" s="35">
        <v>0.40783127351062376</v>
      </c>
      <c r="M266" s="6"/>
      <c r="N266" s="84" t="s">
        <v>168</v>
      </c>
    </row>
    <row r="267" spans="1:15" x14ac:dyDescent="0.25">
      <c r="A267" t="str">
        <v>CA Economic</v>
      </c>
      <c r="C267" s="35">
        <v>0</v>
      </c>
      <c r="D267" s="35">
        <v>0</v>
      </c>
      <c r="E267" s="35">
        <v>0</v>
      </c>
      <c r="F267" s="35">
        <v>0</v>
      </c>
      <c r="G267" s="35">
        <v>0</v>
      </c>
      <c r="H267" s="35">
        <v>0</v>
      </c>
      <c r="I267" s="35">
        <v>-3.7337701769242837E-2</v>
      </c>
      <c r="J267" s="35">
        <v>-1.6522965320152839E-2</v>
      </c>
      <c r="K267" s="35">
        <v>0.10720583742765667</v>
      </c>
      <c r="L267" s="35">
        <v>0.18998007604721845</v>
      </c>
      <c r="M267" s="6"/>
      <c r="N267" s="84" t="s">
        <v>168</v>
      </c>
    </row>
    <row r="268" spans="1:15" x14ac:dyDescent="0.25">
      <c r="A268" t="str">
        <v>IA Economic</v>
      </c>
      <c r="C268" s="35">
        <v>-6.1417966437844751E-2</v>
      </c>
      <c r="D268" s="35">
        <v>-5.1758123986357284E-2</v>
      </c>
      <c r="E268" s="35">
        <v>-4.3545786351486655E-2</v>
      </c>
      <c r="F268" s="35">
        <v>-4.4960451024216724E-2</v>
      </c>
      <c r="G268" s="35">
        <v>-3.928966531259525E-2</v>
      </c>
      <c r="H268" s="35">
        <v>-7.3125560822462432E-3</v>
      </c>
      <c r="I268" s="35">
        <v>8.8111843384285474E-2</v>
      </c>
      <c r="J268" s="35">
        <v>0.1935134729857465</v>
      </c>
      <c r="K268" s="35">
        <v>0.35726900314507443</v>
      </c>
      <c r="L268" s="35">
        <v>0.4848853060597389</v>
      </c>
      <c r="M268" s="6"/>
      <c r="N268" s="84" t="s">
        <v>168</v>
      </c>
    </row>
    <row r="269" spans="1:15" x14ac:dyDescent="0.25">
      <c r="A269" t="str">
        <v>AF Economic</v>
      </c>
      <c r="C269" s="35">
        <v>-3.652498824401814E-2</v>
      </c>
      <c r="D269" s="35">
        <v>-3.4449250358340441E-2</v>
      </c>
      <c r="E269" s="35">
        <v>-3.4840674697061758E-2</v>
      </c>
      <c r="F269" s="35">
        <v>-3.2797349633506286E-2</v>
      </c>
      <c r="G269" s="35">
        <v>-2.7042576360091896E-2</v>
      </c>
      <c r="H269" s="35">
        <v>-1.5198181317295277E-2</v>
      </c>
      <c r="I269" s="35">
        <v>2.5343162393321846E-2</v>
      </c>
      <c r="J269" s="35">
        <v>8.6240167104634738E-2</v>
      </c>
      <c r="K269" s="35">
        <v>0.19214534257116059</v>
      </c>
      <c r="L269" s="35">
        <v>0.27291396241155524</v>
      </c>
      <c r="M269" s="6"/>
      <c r="N269" s="84" t="s">
        <v>168</v>
      </c>
    </row>
    <row r="270" spans="1:15" x14ac:dyDescent="0.25">
      <c r="A270" t="str">
        <v>LA Economic</v>
      </c>
      <c r="C270" s="35">
        <v>-2.267353848244149E-2</v>
      </c>
      <c r="D270" s="35">
        <v>-1.9580925191242254E-2</v>
      </c>
      <c r="E270" s="35">
        <v>-1.953987673692897E-2</v>
      </c>
      <c r="F270" s="35">
        <v>-2.0774739232520698E-2</v>
      </c>
      <c r="G270" s="35">
        <v>-5.2959786754289235E-3</v>
      </c>
      <c r="H270" s="35">
        <v>1.5443832334191438E-2</v>
      </c>
      <c r="I270" s="35">
        <v>6.82217355154838E-2</v>
      </c>
      <c r="J270" s="35">
        <v>0.13384512802755286</v>
      </c>
      <c r="K270" s="35">
        <v>0.23242680032280488</v>
      </c>
      <c r="L270" s="35">
        <v>0.31409945410832352</v>
      </c>
      <c r="M270" s="6"/>
      <c r="N270" s="84" t="s">
        <v>168</v>
      </c>
    </row>
    <row r="271" spans="1:15" s="2" customFormat="1" ht="15" x14ac:dyDescent="0.4">
      <c r="A271" s="2" t="s">
        <v>280</v>
      </c>
      <c r="C271" s="2" t="s">
        <v>292</v>
      </c>
    </row>
    <row r="272" spans="1:15" x14ac:dyDescent="0.25">
      <c r="A272" t="str">
        <f t="array" ref="A272:A279">R_CODE&amp;" "&amp;I_1_NAME</f>
        <v>EU Economic</v>
      </c>
      <c r="C272" s="39">
        <f t="array" ref="C272:L279">(isat_1/100)*rgdp_s_per_cap</f>
        <v>-11.22527673101756</v>
      </c>
      <c r="D272" s="39">
        <v>-9.4811735533245329</v>
      </c>
      <c r="E272" s="39">
        <v>-10.927002531074088</v>
      </c>
      <c r="F272" s="39">
        <v>-9.1669388243981782</v>
      </c>
      <c r="G272" s="39">
        <v>-2.8704246882722506</v>
      </c>
      <c r="H272" s="39">
        <v>7.9638899422938536</v>
      </c>
      <c r="I272" s="39">
        <v>41.033694591852722</v>
      </c>
      <c r="J272" s="39">
        <v>90.111304512762231</v>
      </c>
      <c r="K272" s="39">
        <v>461.34930388940933</v>
      </c>
      <c r="L272" s="39">
        <v>948.59031690848428</v>
      </c>
      <c r="M272" s="6"/>
      <c r="N272" s="1" t="str">
        <f t="shared" ref="N272:N279" si="14">CURRENCY_NAME&amp;"/"&amp;POP_UNIT_NAME</f>
        <v>$million/million</v>
      </c>
      <c r="O272" s="1"/>
    </row>
    <row r="273" spans="1:15" x14ac:dyDescent="0.25">
      <c r="A273" t="str">
        <v>US Economic</v>
      </c>
      <c r="C273" s="35">
        <v>-15.728952380775464</v>
      </c>
      <c r="D273" s="35">
        <v>-14.432455720293632</v>
      </c>
      <c r="E273" s="35">
        <v>-11.848557835389492</v>
      </c>
      <c r="F273" s="35">
        <v>-3.5291089830625406</v>
      </c>
      <c r="G273" s="35">
        <v>11.182901454987388</v>
      </c>
      <c r="H273" s="35">
        <v>31.904404433972083</v>
      </c>
      <c r="I273" s="35">
        <v>91.397665861133163</v>
      </c>
      <c r="J273" s="35">
        <v>167.77853069087405</v>
      </c>
      <c r="K273" s="35">
        <v>675.64848876532903</v>
      </c>
      <c r="L273" s="35">
        <v>1305.6453473324837</v>
      </c>
      <c r="M273" s="6"/>
      <c r="N273" s="1" t="str">
        <f t="shared" si="14"/>
        <v>$million/million</v>
      </c>
      <c r="O273" s="1"/>
    </row>
    <row r="274" spans="1:15" x14ac:dyDescent="0.25">
      <c r="A274" t="str">
        <v>OT Economic</v>
      </c>
      <c r="C274" s="35">
        <v>-5.9380199668373566</v>
      </c>
      <c r="D274" s="35">
        <v>-5.7279164668741176</v>
      </c>
      <c r="E274" s="35">
        <v>8.7086196699428609</v>
      </c>
      <c r="F274" s="35">
        <v>41.179422866942531</v>
      </c>
      <c r="G274" s="35">
        <v>97.209615247070005</v>
      </c>
      <c r="H274" s="35">
        <v>178.26817654643395</v>
      </c>
      <c r="I274" s="35">
        <v>394.57791926952302</v>
      </c>
      <c r="J274" s="35">
        <v>666.96675266733882</v>
      </c>
      <c r="K274" s="35">
        <v>2369.5030826018897</v>
      </c>
      <c r="L274" s="35">
        <v>4114.3581894742938</v>
      </c>
      <c r="M274" s="6"/>
      <c r="N274" s="1" t="str">
        <f t="shared" si="14"/>
        <v>$million/million</v>
      </c>
      <c r="O274" s="1"/>
    </row>
    <row r="275" spans="1:15" x14ac:dyDescent="0.25">
      <c r="A275" t="str">
        <v>EE Economic</v>
      </c>
      <c r="C275" s="35">
        <v>-0.65761341486377867</v>
      </c>
      <c r="D275" s="35">
        <v>-0.85906383586985724</v>
      </c>
      <c r="E275" s="35">
        <v>-0.45592935659956652</v>
      </c>
      <c r="F275" s="35">
        <v>1.1166255608794786</v>
      </c>
      <c r="G275" s="35">
        <v>4.6898500659726778</v>
      </c>
      <c r="H275" s="35">
        <v>10.775018995887887</v>
      </c>
      <c r="I275" s="35">
        <v>29.646699003991806</v>
      </c>
      <c r="J275" s="35">
        <v>56.924464394257555</v>
      </c>
      <c r="K275" s="35">
        <v>226.76453733948884</v>
      </c>
      <c r="L275" s="35">
        <v>391.90706256579091</v>
      </c>
      <c r="M275" s="6"/>
      <c r="N275" s="1" t="str">
        <f t="shared" si="14"/>
        <v>$million/million</v>
      </c>
      <c r="O275" s="1"/>
    </row>
    <row r="276" spans="1:15" x14ac:dyDescent="0.25">
      <c r="A276" t="str">
        <v>CA Economic</v>
      </c>
      <c r="C276" s="35">
        <v>0</v>
      </c>
      <c r="D276" s="35">
        <v>0</v>
      </c>
      <c r="E276" s="35">
        <v>0</v>
      </c>
      <c r="F276" s="35">
        <v>0</v>
      </c>
      <c r="G276" s="35">
        <v>0</v>
      </c>
      <c r="H276" s="35">
        <v>0</v>
      </c>
      <c r="I276" s="35">
        <v>-5.3230994106817304</v>
      </c>
      <c r="J276" s="35">
        <v>-3.3712761761062127</v>
      </c>
      <c r="K276" s="35">
        <v>66.896404269293683</v>
      </c>
      <c r="L276" s="35">
        <v>167.16301195550275</v>
      </c>
      <c r="M276" s="6"/>
      <c r="N276" s="1" t="str">
        <f t="shared" si="14"/>
        <v>$million/million</v>
      </c>
      <c r="O276" s="1"/>
    </row>
    <row r="277" spans="1:15" x14ac:dyDescent="0.25">
      <c r="A277" t="str">
        <v>IA Economic</v>
      </c>
      <c r="C277" s="35">
        <v>-0.89822394062313571</v>
      </c>
      <c r="D277" s="35">
        <v>-0.98101882799877382</v>
      </c>
      <c r="E277" s="35">
        <v>-1.0792170272302302</v>
      </c>
      <c r="F277" s="35">
        <v>-1.4589997942718924</v>
      </c>
      <c r="G277" s="35">
        <v>-1.6085258567216927</v>
      </c>
      <c r="H277" s="35">
        <v>-0.37505021942118627</v>
      </c>
      <c r="I277" s="35">
        <v>6.7389927501237423</v>
      </c>
      <c r="J277" s="35">
        <v>21.270794770560272</v>
      </c>
      <c r="K277" s="35">
        <v>120.52472114929652</v>
      </c>
      <c r="L277" s="35">
        <v>230.43338476254385</v>
      </c>
      <c r="M277" s="6"/>
      <c r="N277" s="1" t="str">
        <f t="shared" si="14"/>
        <v>$million/million</v>
      </c>
      <c r="O277" s="1"/>
    </row>
    <row r="278" spans="1:15" x14ac:dyDescent="0.25">
      <c r="A278" t="str">
        <v>AF Economic</v>
      </c>
      <c r="C278" s="35">
        <v>-0.9370357578357148</v>
      </c>
      <c r="D278" s="35">
        <v>-1.1447074364319025</v>
      </c>
      <c r="E278" s="35">
        <v>-1.5129263405639133</v>
      </c>
      <c r="F278" s="35">
        <v>-1.863046737012156</v>
      </c>
      <c r="G278" s="35">
        <v>-1.9408900131400024</v>
      </c>
      <c r="H278" s="35">
        <v>-1.3662466579124251</v>
      </c>
      <c r="I278" s="35">
        <v>3.4029064832471962</v>
      </c>
      <c r="J278" s="35">
        <v>16.656129325321807</v>
      </c>
      <c r="K278" s="35">
        <v>113.89839708138365</v>
      </c>
      <c r="L278" s="35">
        <v>228.24118124358066</v>
      </c>
      <c r="M278" s="6"/>
      <c r="N278" s="1" t="str">
        <f t="shared" si="14"/>
        <v>$million/million</v>
      </c>
      <c r="O278" s="1"/>
    </row>
    <row r="279" spans="1:15" x14ac:dyDescent="0.25">
      <c r="A279" t="str">
        <v>LA Economic</v>
      </c>
      <c r="C279" s="35">
        <v>-1.0643900577205383</v>
      </c>
      <c r="D279" s="35">
        <v>-1.1903140359121436</v>
      </c>
      <c r="E279" s="35">
        <v>-1.5519159700189478</v>
      </c>
      <c r="F279" s="35">
        <v>-2.1548169942612185</v>
      </c>
      <c r="G279" s="35">
        <v>-0.69777052267507367</v>
      </c>
      <c r="H279" s="35">
        <v>2.5585099498246411</v>
      </c>
      <c r="I279" s="35">
        <v>16.913444885364083</v>
      </c>
      <c r="J279" s="35">
        <v>47.501462569105932</v>
      </c>
      <c r="K279" s="35">
        <v>252.29694700567705</v>
      </c>
      <c r="L279" s="35">
        <v>481.32663198663533</v>
      </c>
      <c r="M279" s="6"/>
      <c r="N279" s="1" t="str">
        <f t="shared" si="14"/>
        <v>$million/million</v>
      </c>
      <c r="O279" s="1"/>
    </row>
    <row r="280" spans="1:15" s="2" customFormat="1" ht="15" x14ac:dyDescent="0.4">
      <c r="A280" s="2" t="s">
        <v>282</v>
      </c>
      <c r="C280" s="2" t="s">
        <v>294</v>
      </c>
    </row>
    <row r="281" spans="1:15" x14ac:dyDescent="0.25">
      <c r="A281" t="str">
        <f t="array" ref="A281:A288">R_CODE&amp;" "&amp;I_1_NAME</f>
        <v>EU Economic</v>
      </c>
      <c r="C281" s="39">
        <f t="array" ref="C281:L288">rcons_s_per_cap-isat_1_per_cap</f>
        <v>18235.593120447025</v>
      </c>
      <c r="D281" s="39">
        <v>21831.462795483683</v>
      </c>
      <c r="E281" s="39">
        <v>25610.450383024461</v>
      </c>
      <c r="F281" s="39">
        <v>29253.26659220703</v>
      </c>
      <c r="G281" s="39">
        <v>32984.465202268868</v>
      </c>
      <c r="H281" s="39">
        <v>37183.313408024194</v>
      </c>
      <c r="I281" s="39">
        <v>46920.162714305363</v>
      </c>
      <c r="J281" s="39">
        <v>58820.368306458571</v>
      </c>
      <c r="K281" s="39">
        <v>183869.83245799449</v>
      </c>
      <c r="L281" s="39">
        <v>259174.59877726503</v>
      </c>
      <c r="M281" s="6"/>
      <c r="N281" s="1" t="str">
        <f t="shared" ref="N281:N288" si="15">CURRENCY_NAME&amp;"/"&amp;POP_UNIT_NAME</f>
        <v>$million/million</v>
      </c>
      <c r="O281" s="1"/>
    </row>
    <row r="282" spans="1:15" x14ac:dyDescent="0.25">
      <c r="A282" t="str">
        <v>US Economic</v>
      </c>
      <c r="C282" s="35">
        <v>33425.895147044583</v>
      </c>
      <c r="D282" s="35">
        <v>37857.216029926778</v>
      </c>
      <c r="E282" s="35">
        <v>41978.893960161338</v>
      </c>
      <c r="F282" s="35">
        <v>46732.764621061382</v>
      </c>
      <c r="G282" s="35">
        <v>51446.920396382804</v>
      </c>
      <c r="H282" s="35">
        <v>57041.022779834275</v>
      </c>
      <c r="I282" s="35">
        <v>70702.770738234089</v>
      </c>
      <c r="J282" s="35">
        <v>88327.826194478097</v>
      </c>
      <c r="K282" s="35">
        <v>246653.23757249341</v>
      </c>
      <c r="L282" s="35">
        <v>347993.21581558068</v>
      </c>
      <c r="M282" s="6"/>
      <c r="N282" s="1" t="str">
        <f t="shared" si="15"/>
        <v>$million/million</v>
      </c>
      <c r="O282" s="1"/>
    </row>
    <row r="283" spans="1:15" x14ac:dyDescent="0.25">
      <c r="A283" t="str">
        <v>OT Economic</v>
      </c>
      <c r="C283" s="35">
        <v>18742.997491553713</v>
      </c>
      <c r="D283" s="35">
        <v>24257.134148232086</v>
      </c>
      <c r="E283" s="35">
        <v>31610.882388389262</v>
      </c>
      <c r="F283" s="35">
        <v>41045.222903953181</v>
      </c>
      <c r="G283" s="35">
        <v>52317.475321899343</v>
      </c>
      <c r="H283" s="35">
        <v>66021.09711501842</v>
      </c>
      <c r="I283" s="35">
        <v>98886.816223449947</v>
      </c>
      <c r="J283" s="35">
        <v>141052.96032459228</v>
      </c>
      <c r="K283" s="35">
        <v>430423.67276982247</v>
      </c>
      <c r="L283" s="35">
        <v>607308.41934697388</v>
      </c>
      <c r="M283" s="6"/>
      <c r="N283" s="1" t="str">
        <f t="shared" si="15"/>
        <v>$million/million</v>
      </c>
      <c r="O283" s="1"/>
    </row>
    <row r="284" spans="1:15" x14ac:dyDescent="0.25">
      <c r="A284" t="str">
        <v>EE Economic</v>
      </c>
      <c r="C284" s="35">
        <v>2499.3650473078656</v>
      </c>
      <c r="D284" s="35">
        <v>3237.0321975793368</v>
      </c>
      <c r="E284" s="35">
        <v>4223.1962758137197</v>
      </c>
      <c r="F284" s="35">
        <v>5487.4035635961463</v>
      </c>
      <c r="G284" s="35">
        <v>6998.9206790081589</v>
      </c>
      <c r="H284" s="35">
        <v>8835.1739827650508</v>
      </c>
      <c r="I284" s="35">
        <v>13245.094403492541</v>
      </c>
      <c r="J284" s="35">
        <v>18886.85006047049</v>
      </c>
      <c r="K284" s="35">
        <v>57591.527054223312</v>
      </c>
      <c r="L284" s="35">
        <v>81289.176468230347</v>
      </c>
      <c r="M284" s="6"/>
      <c r="N284" s="1" t="str">
        <f t="shared" si="15"/>
        <v>$million/million</v>
      </c>
      <c r="O284" s="1"/>
    </row>
    <row r="285" spans="1:15" x14ac:dyDescent="0.25">
      <c r="A285" t="str">
        <v>CA Economic</v>
      </c>
      <c r="C285" s="35">
        <v>2297.5049167973011</v>
      </c>
      <c r="D285" s="35">
        <v>2976.4915463404254</v>
      </c>
      <c r="E285" s="35">
        <v>3890.5569897753567</v>
      </c>
      <c r="F285" s="35">
        <v>5073.6534040099732</v>
      </c>
      <c r="G285" s="35">
        <v>6441.9120487361861</v>
      </c>
      <c r="H285" s="35">
        <v>8101.9352374380715</v>
      </c>
      <c r="I285" s="35">
        <v>12123.461829648939</v>
      </c>
      <c r="J285" s="35">
        <v>17346.412880186286</v>
      </c>
      <c r="K285" s="35">
        <v>52973.073240359903</v>
      </c>
      <c r="L285" s="35">
        <v>74624.132537827332</v>
      </c>
      <c r="M285" s="6"/>
      <c r="N285" s="1" t="str">
        <f t="shared" si="15"/>
        <v>$million/million</v>
      </c>
      <c r="O285" s="1"/>
    </row>
    <row r="286" spans="1:15" x14ac:dyDescent="0.25">
      <c r="A286" t="str">
        <v>IA Economic</v>
      </c>
      <c r="C286" s="35">
        <v>1244.0040996493556</v>
      </c>
      <c r="D286" s="35">
        <v>1612.063375713177</v>
      </c>
      <c r="E286" s="35">
        <v>2107.6767779055353</v>
      </c>
      <c r="F286" s="35">
        <v>2759.771687678865</v>
      </c>
      <c r="G286" s="35">
        <v>3481.5235807073791</v>
      </c>
      <c r="H286" s="35">
        <v>4359.8997215171603</v>
      </c>
      <c r="I286" s="35">
        <v>6494.2529483931494</v>
      </c>
      <c r="J286" s="35">
        <v>9321.8386414948673</v>
      </c>
      <c r="K286" s="35">
        <v>28554.23073623985</v>
      </c>
      <c r="L286" s="35">
        <v>40164.351650037177</v>
      </c>
      <c r="M286" s="6"/>
      <c r="N286" s="1" t="str">
        <f t="shared" si="15"/>
        <v>$million/million</v>
      </c>
      <c r="O286" s="1"/>
    </row>
    <row r="287" spans="1:15" x14ac:dyDescent="0.25">
      <c r="A287" t="str">
        <v>AF Economic</v>
      </c>
      <c r="C287" s="35">
        <v>2181.5822117102216</v>
      </c>
      <c r="D287" s="35">
        <v>2825.593166680032</v>
      </c>
      <c r="E287" s="35">
        <v>3692.5648381101664</v>
      </c>
      <c r="F287" s="35">
        <v>4830.2706594134715</v>
      </c>
      <c r="G287" s="35">
        <v>6102.5301578450008</v>
      </c>
      <c r="H287" s="35">
        <v>7642.475633239651</v>
      </c>
      <c r="I287" s="35">
        <v>11409.815640868639</v>
      </c>
      <c r="J287" s="35">
        <v>16399.951585900999</v>
      </c>
      <c r="K287" s="35">
        <v>50271.729598726735</v>
      </c>
      <c r="L287" s="35">
        <v>70858.266208394227</v>
      </c>
      <c r="M287" s="6"/>
      <c r="N287" s="1" t="str">
        <f t="shared" si="15"/>
        <v>$million/million</v>
      </c>
      <c r="O287" s="1"/>
    </row>
    <row r="288" spans="1:15" x14ac:dyDescent="0.25">
      <c r="A288" t="str">
        <v>LA Economic</v>
      </c>
      <c r="C288" s="35">
        <v>3991.3173881201387</v>
      </c>
      <c r="D288" s="35">
        <v>5168.2951400011525</v>
      </c>
      <c r="E288" s="35">
        <v>6752.5083947437406</v>
      </c>
      <c r="F288" s="35">
        <v>8818.6045669620726</v>
      </c>
      <c r="G288" s="35">
        <v>11199.854349939544</v>
      </c>
      <c r="H288" s="35">
        <v>14079.00758253005</v>
      </c>
      <c r="I288" s="35">
        <v>21056.177182216248</v>
      </c>
      <c r="J288" s="35">
        <v>30118.888438024318</v>
      </c>
      <c r="K288" s="35">
        <v>92014.345564522373</v>
      </c>
      <c r="L288" s="35">
        <v>129772.84345248097</v>
      </c>
      <c r="M288" s="6"/>
      <c r="N288" s="1" t="str">
        <f t="shared" si="15"/>
        <v>$million/million</v>
      </c>
      <c r="O288" s="1"/>
    </row>
    <row r="289" spans="1:15" s="2" customFormat="1" ht="15" x14ac:dyDescent="0.4">
      <c r="A289" s="2" t="s">
        <v>284</v>
      </c>
      <c r="C289" s="2" t="s">
        <v>293</v>
      </c>
    </row>
    <row r="290" spans="1:15" x14ac:dyDescent="0.25">
      <c r="A290" t="str">
        <f t="array" ref="A290:A297">R_CODE&amp;" "&amp;I_1_NAME</f>
        <v>EU Economic</v>
      </c>
      <c r="C290" s="39">
        <f t="array" ref="C290:L297" xml:space="preserve"> rcons_1_per_cap/(1-SAVE/100)</f>
        <v>21453.638965231796</v>
      </c>
      <c r="D290" s="39">
        <v>25684.073877039627</v>
      </c>
      <c r="E290" s="39">
        <v>30129.941627087603</v>
      </c>
      <c r="F290" s="39">
        <v>34415.607755537683</v>
      </c>
      <c r="G290" s="39">
        <v>38805.253179139843</v>
      </c>
      <c r="H290" s="39">
        <v>43745.074597675521</v>
      </c>
      <c r="I290" s="39">
        <v>55200.191428594546</v>
      </c>
      <c r="J290" s="39">
        <v>69200.433301715966</v>
      </c>
      <c r="K290" s="39">
        <v>216317.44995058177</v>
      </c>
      <c r="L290" s="39">
        <v>304911.29267913534</v>
      </c>
      <c r="M290" s="6"/>
      <c r="N290" s="1" t="str">
        <f t="shared" ref="N290:N297" si="16">CURRENCY_NAME&amp;"/"&amp;POP_UNIT_NAME</f>
        <v>$million/million</v>
      </c>
      <c r="O290" s="1"/>
    </row>
    <row r="291" spans="1:15" x14ac:dyDescent="0.25">
      <c r="A291" t="str">
        <v>US Economic</v>
      </c>
      <c r="C291" s="35">
        <v>39324.582525934806</v>
      </c>
      <c r="D291" s="35">
        <v>44537.901211678567</v>
      </c>
      <c r="E291" s="35">
        <v>49386.934070778043</v>
      </c>
      <c r="F291" s="35">
        <v>54979.723083601624</v>
      </c>
      <c r="G291" s="35">
        <v>60525.788701626829</v>
      </c>
      <c r="H291" s="35">
        <v>67107.085623334438</v>
      </c>
      <c r="I291" s="35">
        <v>83179.730280275398</v>
      </c>
      <c r="J291" s="35">
        <v>103915.08964056247</v>
      </c>
      <c r="K291" s="35">
        <v>290180.27949705109</v>
      </c>
      <c r="L291" s="35">
        <v>409403.78331244789</v>
      </c>
      <c r="M291" s="6"/>
      <c r="N291" s="1" t="str">
        <f t="shared" si="16"/>
        <v>$million/million</v>
      </c>
      <c r="O291" s="1"/>
    </row>
    <row r="292" spans="1:15" x14ac:dyDescent="0.25">
      <c r="A292" t="str">
        <v>OT Economic</v>
      </c>
      <c r="C292" s="35">
        <v>22050.585284180841</v>
      </c>
      <c r="D292" s="35">
        <v>28537.804880273045</v>
      </c>
      <c r="E292" s="35">
        <v>37189.273398105011</v>
      </c>
      <c r="F292" s="35">
        <v>48288.497534062568</v>
      </c>
      <c r="G292" s="35">
        <v>61549.970966940404</v>
      </c>
      <c r="H292" s="35">
        <v>77671.878958845205</v>
      </c>
      <c r="I292" s="35">
        <v>116337.43085111759</v>
      </c>
      <c r="J292" s="35">
        <v>165944.65920540268</v>
      </c>
      <c r="K292" s="35">
        <v>506380.79149390879</v>
      </c>
      <c r="L292" s="35">
        <v>714480.49334938102</v>
      </c>
      <c r="M292" s="6"/>
      <c r="N292" s="1" t="str">
        <f t="shared" si="16"/>
        <v>$million/million</v>
      </c>
      <c r="O292" s="1"/>
    </row>
    <row r="293" spans="1:15" x14ac:dyDescent="0.25">
      <c r="A293" t="str">
        <v>EE Economic</v>
      </c>
      <c r="C293" s="35">
        <v>2940.4294674210182</v>
      </c>
      <c r="D293" s="35">
        <v>3808.2731736227493</v>
      </c>
      <c r="E293" s="35">
        <v>4968.4662068396701</v>
      </c>
      <c r="F293" s="35">
        <v>6455.7688983484077</v>
      </c>
      <c r="G293" s="35">
        <v>8234.0243282448937</v>
      </c>
      <c r="H293" s="35">
        <v>10394.322332664766</v>
      </c>
      <c r="I293" s="35">
        <v>15582.464004108873</v>
      </c>
      <c r="J293" s="35">
        <v>22219.823600553518</v>
      </c>
      <c r="K293" s="35">
        <v>67754.737710850954</v>
      </c>
      <c r="L293" s="35">
        <v>95634.325256741591</v>
      </c>
      <c r="M293" s="6"/>
      <c r="N293" s="1" t="str">
        <f t="shared" si="16"/>
        <v>$million/million</v>
      </c>
      <c r="O293" s="1"/>
    </row>
    <row r="294" spans="1:15" x14ac:dyDescent="0.25">
      <c r="A294" t="str">
        <v>CA Economic</v>
      </c>
      <c r="C294" s="35">
        <v>2702.9469609380012</v>
      </c>
      <c r="D294" s="35">
        <v>3501.7547604005008</v>
      </c>
      <c r="E294" s="35">
        <v>4577.1258703239491</v>
      </c>
      <c r="F294" s="35">
        <v>5969.0040047176153</v>
      </c>
      <c r="G294" s="35">
        <v>7578.7200573366899</v>
      </c>
      <c r="H294" s="35">
        <v>9531.688514633026</v>
      </c>
      <c r="I294" s="35">
        <v>14262.896270175223</v>
      </c>
      <c r="J294" s="35">
        <v>20407.544564925043</v>
      </c>
      <c r="K294" s="35">
        <v>62321.262635717532</v>
      </c>
      <c r="L294" s="35">
        <v>87793.097103326276</v>
      </c>
      <c r="M294" s="6"/>
      <c r="N294" s="1" t="str">
        <f t="shared" si="16"/>
        <v>$million/million</v>
      </c>
      <c r="O294" s="1"/>
    </row>
    <row r="295" spans="1:15" x14ac:dyDescent="0.25">
      <c r="A295" t="str">
        <v>IA Economic</v>
      </c>
      <c r="C295" s="35">
        <v>1463.5342348815948</v>
      </c>
      <c r="D295" s="35">
        <v>1896.5451478978555</v>
      </c>
      <c r="E295" s="35">
        <v>2479.6197387123948</v>
      </c>
      <c r="F295" s="35">
        <v>3246.7902207986649</v>
      </c>
      <c r="G295" s="35">
        <v>4095.9100949498579</v>
      </c>
      <c r="H295" s="35">
        <v>5129.2937900201887</v>
      </c>
      <c r="I295" s="35">
        <v>7640.2975863448819</v>
      </c>
      <c r="J295" s="35">
        <v>10966.868989993962</v>
      </c>
      <c r="K295" s="35">
        <v>33593.21263087041</v>
      </c>
      <c r="L295" s="35">
        <v>47252.178411808447</v>
      </c>
      <c r="M295" s="6"/>
      <c r="N295" s="1" t="str">
        <f t="shared" si="16"/>
        <v>$million/million</v>
      </c>
      <c r="O295" s="1"/>
    </row>
    <row r="296" spans="1:15" x14ac:dyDescent="0.25">
      <c r="A296" t="str">
        <v>AF Economic</v>
      </c>
      <c r="C296" s="35">
        <v>2566.5673078943782</v>
      </c>
      <c r="D296" s="35">
        <v>3324.2272549176846</v>
      </c>
      <c r="E296" s="35">
        <v>4344.1939271884312</v>
      </c>
      <c r="F296" s="35">
        <v>5682.6713640158487</v>
      </c>
      <c r="G296" s="35">
        <v>7179.4472445235306</v>
      </c>
      <c r="H296" s="35">
        <v>8991.1478038113546</v>
      </c>
      <c r="I296" s="35">
        <v>13423.312518668987</v>
      </c>
      <c r="J296" s="35">
        <v>19294.060689295293</v>
      </c>
      <c r="K296" s="35">
        <v>59143.211292619693</v>
      </c>
      <c r="L296" s="35">
        <v>83362.666127522622</v>
      </c>
      <c r="M296" s="6"/>
      <c r="N296" s="1" t="str">
        <f t="shared" si="16"/>
        <v>$million/million</v>
      </c>
      <c r="O296" s="1"/>
    </row>
    <row r="297" spans="1:15" x14ac:dyDescent="0.25">
      <c r="A297" t="str">
        <v>LA Economic</v>
      </c>
      <c r="C297" s="35">
        <v>4695.6675154354571</v>
      </c>
      <c r="D297" s="35">
        <v>6080.3472235307681</v>
      </c>
      <c r="E297" s="35">
        <v>7944.1275232279304</v>
      </c>
      <c r="F297" s="35">
        <v>10374.828902308322</v>
      </c>
      <c r="G297" s="35">
        <v>13176.299235222992</v>
      </c>
      <c r="H297" s="35">
        <v>16563.538332388296</v>
      </c>
      <c r="I297" s="35">
        <v>24771.973155548527</v>
      </c>
      <c r="J297" s="35">
        <v>35433.986397675668</v>
      </c>
      <c r="K297" s="35">
        <v>108252.17125237927</v>
      </c>
      <c r="L297" s="35">
        <v>152673.93347350703</v>
      </c>
      <c r="M297" s="6"/>
      <c r="N297" s="1" t="str">
        <f t="shared" si="16"/>
        <v>$million/million</v>
      </c>
      <c r="O297" s="1"/>
    </row>
    <row r="298" spans="1:15" s="2" customFormat="1" ht="15" x14ac:dyDescent="0.4">
      <c r="A298" s="2" t="s">
        <v>276</v>
      </c>
      <c r="C298" s="2" t="s">
        <v>295</v>
      </c>
    </row>
    <row r="299" spans="1:15" x14ac:dyDescent="0.25">
      <c r="A299" t="str">
        <f t="array" ref="A299:A306">R_CODE&amp;" "&amp;I_2_NAME</f>
        <v>EU Non-econ</v>
      </c>
      <c r="C299" s="39">
        <f t="array" ref="C299:L306">WINCF*((W_2+IBEN_2*TCAL)*(i_2/TCAL)^POW_2-i_2*IBEN_2)</f>
        <v>4.6584785029146758E-4</v>
      </c>
      <c r="D299" s="39">
        <v>4.1786556536743444E-2</v>
      </c>
      <c r="E299" s="39">
        <v>0.10654072859296029</v>
      </c>
      <c r="F299" s="39">
        <v>0.19845830914121548</v>
      </c>
      <c r="G299" s="39">
        <v>0.28921908229807963</v>
      </c>
      <c r="H299" s="39">
        <v>0.3837512410307341</v>
      </c>
      <c r="I299" s="39">
        <v>0.55861142256955221</v>
      </c>
      <c r="J299" s="39">
        <v>0.70345407087256029</v>
      </c>
      <c r="K299" s="39">
        <v>0.95720994754553401</v>
      </c>
      <c r="L299" s="39">
        <v>1.2076352400349646</v>
      </c>
      <c r="M299" s="6"/>
      <c r="N299" s="84" t="s">
        <v>168</v>
      </c>
    </row>
    <row r="300" spans="1:15" x14ac:dyDescent="0.25">
      <c r="A300" t="str">
        <v>US Non-econ</v>
      </c>
      <c r="C300" s="35">
        <v>1.1014694878183007E-2</v>
      </c>
      <c r="D300" s="35">
        <v>5.9895289659116419E-2</v>
      </c>
      <c r="E300" s="35">
        <v>0.13209794813156864</v>
      </c>
      <c r="F300" s="35">
        <v>0.22805984676536034</v>
      </c>
      <c r="G300" s="35">
        <v>0.32279422093002746</v>
      </c>
      <c r="H300" s="35">
        <v>0.41763837216530791</v>
      </c>
      <c r="I300" s="35">
        <v>0.58235134789016241</v>
      </c>
      <c r="J300" s="35">
        <v>0.70828233933761142</v>
      </c>
      <c r="K300" s="35">
        <v>0.92681587599305804</v>
      </c>
      <c r="L300" s="35">
        <v>1.1463607883036186</v>
      </c>
      <c r="M300" s="6"/>
      <c r="N300" s="84" t="s">
        <v>168</v>
      </c>
    </row>
    <row r="301" spans="1:15" x14ac:dyDescent="0.25">
      <c r="A301" t="str">
        <v>OT Non-econ</v>
      </c>
      <c r="C301" s="35">
        <v>7.3173151145947954E-2</v>
      </c>
      <c r="D301" s="35">
        <v>0.18680417746646774</v>
      </c>
      <c r="E301" s="35">
        <v>0.33458306315908798</v>
      </c>
      <c r="F301" s="35">
        <v>0.50777885277900092</v>
      </c>
      <c r="G301" s="35">
        <v>0.67678583167137074</v>
      </c>
      <c r="H301" s="35">
        <v>0.83384968440616469</v>
      </c>
      <c r="I301" s="35">
        <v>1.0746672998540532</v>
      </c>
      <c r="J301" s="35">
        <v>1.2273552151223197</v>
      </c>
      <c r="K301" s="35">
        <v>1.4892042071468643</v>
      </c>
      <c r="L301" s="35">
        <v>1.7659372765141652</v>
      </c>
      <c r="M301" s="6"/>
      <c r="N301" s="84" t="s">
        <v>168</v>
      </c>
    </row>
    <row r="302" spans="1:15" x14ac:dyDescent="0.25">
      <c r="A302" t="str">
        <v>EE Non-econ</v>
      </c>
      <c r="C302" s="35">
        <v>2.7463591159524837E-2</v>
      </c>
      <c r="D302" s="35">
        <v>5.2816729393570953E-2</v>
      </c>
      <c r="E302" s="35">
        <v>9.8070950480588934E-2</v>
      </c>
      <c r="F302" s="35">
        <v>0.17349506076968055</v>
      </c>
      <c r="G302" s="35">
        <v>0.25944714112428147</v>
      </c>
      <c r="H302" s="35">
        <v>0.34434858879805075</v>
      </c>
      <c r="I302" s="35">
        <v>0.49131357523855712</v>
      </c>
      <c r="J302" s="35">
        <v>0.60460920076074443</v>
      </c>
      <c r="K302" s="35">
        <v>0.79126485758617582</v>
      </c>
      <c r="L302" s="35">
        <v>0.93757338149906999</v>
      </c>
      <c r="M302" s="6"/>
      <c r="N302" s="84" t="s">
        <v>168</v>
      </c>
    </row>
    <row r="303" spans="1:15" x14ac:dyDescent="0.25">
      <c r="A303" t="str">
        <v>CA Non-econ</v>
      </c>
      <c r="C303" s="35">
        <v>0</v>
      </c>
      <c r="D303" s="35">
        <v>0</v>
      </c>
      <c r="E303" s="35">
        <v>0</v>
      </c>
      <c r="F303" s="35">
        <v>0</v>
      </c>
      <c r="G303" s="35">
        <v>-1.4461346818888623E-2</v>
      </c>
      <c r="H303" s="35">
        <v>-1.8496988205427001E-2</v>
      </c>
      <c r="I303" s="35">
        <v>5.680544705253332E-2</v>
      </c>
      <c r="J303" s="35">
        <v>0.20299265813092943</v>
      </c>
      <c r="K303" s="35">
        <v>0.52802507112964325</v>
      </c>
      <c r="L303" s="35">
        <v>0.71003770258109467</v>
      </c>
      <c r="M303" s="6"/>
      <c r="N303" s="84" t="s">
        <v>168</v>
      </c>
    </row>
    <row r="304" spans="1:15" x14ac:dyDescent="0.25">
      <c r="A304" t="str">
        <v>IA Non-econ</v>
      </c>
      <c r="C304" s="35">
        <v>-1.5928674249057535E-2</v>
      </c>
      <c r="D304" s="35">
        <v>-1.4780871784623379E-2</v>
      </c>
      <c r="E304" s="35">
        <v>5.6466189619269747E-4</v>
      </c>
      <c r="F304" s="35">
        <v>5.3901826644611919E-2</v>
      </c>
      <c r="G304" s="35">
        <v>0.13851009448747709</v>
      </c>
      <c r="H304" s="35">
        <v>0.23671835629569482</v>
      </c>
      <c r="I304" s="35">
        <v>0.43771640020321406</v>
      </c>
      <c r="J304" s="35">
        <v>0.62275513747528588</v>
      </c>
      <c r="K304" s="35">
        <v>0.9422522075145463</v>
      </c>
      <c r="L304" s="35">
        <v>1.1711717082668458</v>
      </c>
      <c r="M304" s="6"/>
      <c r="N304" s="84" t="s">
        <v>168</v>
      </c>
    </row>
    <row r="305" spans="1:14" x14ac:dyDescent="0.25">
      <c r="A305" t="str">
        <v>AF Non-econ</v>
      </c>
      <c r="C305" s="35">
        <v>-3.6368093663798726E-3</v>
      </c>
      <c r="D305" s="35">
        <v>1.7628612369102559E-2</v>
      </c>
      <c r="E305" s="35">
        <v>3.8603571599771264E-2</v>
      </c>
      <c r="F305" s="35">
        <v>7.0207595038083048E-2</v>
      </c>
      <c r="G305" s="35">
        <v>0.10536049155527173</v>
      </c>
      <c r="H305" s="35">
        <v>0.14790043540136216</v>
      </c>
      <c r="I305" s="35">
        <v>0.25301901681236411</v>
      </c>
      <c r="J305" s="35">
        <v>0.38176234361739747</v>
      </c>
      <c r="K305" s="35">
        <v>0.60884116933482302</v>
      </c>
      <c r="L305" s="35">
        <v>0.76895503828217671</v>
      </c>
      <c r="M305" s="6"/>
      <c r="N305" s="84" t="s">
        <v>168</v>
      </c>
    </row>
    <row r="306" spans="1:14" x14ac:dyDescent="0.25">
      <c r="A306" t="str">
        <v>LA Non-econ</v>
      </c>
      <c r="C306" s="35">
        <v>8.1064190380421945E-3</v>
      </c>
      <c r="D306" s="35">
        <v>4.0687443232796675E-2</v>
      </c>
      <c r="E306" s="35">
        <v>8.1103021241290638E-2</v>
      </c>
      <c r="F306" s="35">
        <v>0.12716872954856009</v>
      </c>
      <c r="G306" s="35">
        <v>0.17621983089552376</v>
      </c>
      <c r="H306" s="35">
        <v>0.23110741703619295</v>
      </c>
      <c r="I306" s="35">
        <v>0.35210622987503543</v>
      </c>
      <c r="J306" s="35">
        <v>0.48472495794306503</v>
      </c>
      <c r="K306" s="35">
        <v>0.71245032371150496</v>
      </c>
      <c r="L306" s="35">
        <v>0.88380298495244802</v>
      </c>
      <c r="M306" s="6"/>
      <c r="N306" s="84" t="s">
        <v>168</v>
      </c>
    </row>
    <row r="307" spans="1:14" s="2" customFormat="1" ht="15" x14ac:dyDescent="0.4">
      <c r="A307" s="2" t="s">
        <v>275</v>
      </c>
      <c r="C307" s="2" t="s">
        <v>296</v>
      </c>
    </row>
    <row r="308" spans="1:14" x14ac:dyDescent="0.25">
      <c r="A308" t="str">
        <f t="array" ref="A308:A315">R_CODE&amp;" "&amp;I_2_NAME</f>
        <v>EU Non-econ</v>
      </c>
      <c r="C308" s="39">
        <f t="array" ref="C308:L315">iref_2*(rgdp_1_per_cap/GDP_PER_CAP_FOCUS_0)^IPOW_2</f>
        <v>4.6584785029146758E-4</v>
      </c>
      <c r="D308" s="39">
        <v>4.1786556536743444E-2</v>
      </c>
      <c r="E308" s="39">
        <v>0.10654072859296029</v>
      </c>
      <c r="F308" s="39">
        <v>0.19845830914121548</v>
      </c>
      <c r="G308" s="39">
        <v>0.28921908229807963</v>
      </c>
      <c r="H308" s="39">
        <v>0.3837512410307341</v>
      </c>
      <c r="I308" s="39">
        <v>0.55861142256955221</v>
      </c>
      <c r="J308" s="39">
        <v>0.70345407087256029</v>
      </c>
      <c r="K308" s="39">
        <v>0.95720994754553401</v>
      </c>
      <c r="L308" s="39">
        <v>1.2076352400349646</v>
      </c>
      <c r="M308" s="6"/>
      <c r="N308" s="84" t="s">
        <v>168</v>
      </c>
    </row>
    <row r="309" spans="1:14" x14ac:dyDescent="0.25">
      <c r="A309" t="str">
        <v>US Non-econ</v>
      </c>
      <c r="C309" s="35">
        <v>1.1014694878183007E-2</v>
      </c>
      <c r="D309" s="35">
        <v>5.9895289659116419E-2</v>
      </c>
      <c r="E309" s="35">
        <v>0.13209794813156864</v>
      </c>
      <c r="F309" s="35">
        <v>0.22805984676536034</v>
      </c>
      <c r="G309" s="35">
        <v>0.32279422093002746</v>
      </c>
      <c r="H309" s="35">
        <v>0.41763837216530791</v>
      </c>
      <c r="I309" s="35">
        <v>0.58235134789016241</v>
      </c>
      <c r="J309" s="35">
        <v>0.70828233933761142</v>
      </c>
      <c r="K309" s="35">
        <v>0.92681587599305804</v>
      </c>
      <c r="L309" s="35">
        <v>1.1463607883036186</v>
      </c>
      <c r="M309" s="6"/>
      <c r="N309" s="84" t="s">
        <v>168</v>
      </c>
    </row>
    <row r="310" spans="1:14" x14ac:dyDescent="0.25">
      <c r="A310" t="str">
        <v>OT Non-econ</v>
      </c>
      <c r="C310" s="35">
        <v>7.3173151145947954E-2</v>
      </c>
      <c r="D310" s="35">
        <v>0.18680417746646774</v>
      </c>
      <c r="E310" s="35">
        <v>0.33458306315908798</v>
      </c>
      <c r="F310" s="35">
        <v>0.50777885277900092</v>
      </c>
      <c r="G310" s="35">
        <v>0.67678583167137074</v>
      </c>
      <c r="H310" s="35">
        <v>0.83384968440616469</v>
      </c>
      <c r="I310" s="35">
        <v>1.0746672998540532</v>
      </c>
      <c r="J310" s="35">
        <v>1.2273552151223197</v>
      </c>
      <c r="K310" s="35">
        <v>1.4892042071468643</v>
      </c>
      <c r="L310" s="35">
        <v>1.7659372765141652</v>
      </c>
      <c r="M310" s="6"/>
      <c r="N310" s="84" t="s">
        <v>168</v>
      </c>
    </row>
    <row r="311" spans="1:14" x14ac:dyDescent="0.25">
      <c r="A311" t="str">
        <v>EE Non-econ</v>
      </c>
      <c r="C311" s="35">
        <v>2.7463591159524837E-2</v>
      </c>
      <c r="D311" s="35">
        <v>5.2816729393570953E-2</v>
      </c>
      <c r="E311" s="35">
        <v>9.8070950480588934E-2</v>
      </c>
      <c r="F311" s="35">
        <v>0.17349506076968055</v>
      </c>
      <c r="G311" s="35">
        <v>0.25944714112428147</v>
      </c>
      <c r="H311" s="35">
        <v>0.34434858879805075</v>
      </c>
      <c r="I311" s="35">
        <v>0.49131357523855712</v>
      </c>
      <c r="J311" s="35">
        <v>0.60460920076074443</v>
      </c>
      <c r="K311" s="35">
        <v>0.79126485758617582</v>
      </c>
      <c r="L311" s="35">
        <v>0.93757338149906999</v>
      </c>
      <c r="M311" s="6"/>
      <c r="N311" s="84" t="s">
        <v>168</v>
      </c>
    </row>
    <row r="312" spans="1:14" x14ac:dyDescent="0.25">
      <c r="A312" t="str">
        <v>CA Non-econ</v>
      </c>
      <c r="C312" s="35">
        <v>0</v>
      </c>
      <c r="D312" s="35">
        <v>0</v>
      </c>
      <c r="E312" s="35">
        <v>0</v>
      </c>
      <c r="F312" s="35">
        <v>0</v>
      </c>
      <c r="G312" s="35">
        <v>-1.4461346818888623E-2</v>
      </c>
      <c r="H312" s="35">
        <v>-1.8496988205427001E-2</v>
      </c>
      <c r="I312" s="35">
        <v>5.680544705253332E-2</v>
      </c>
      <c r="J312" s="35">
        <v>0.20299265813092943</v>
      </c>
      <c r="K312" s="35">
        <v>0.52802507112964325</v>
      </c>
      <c r="L312" s="35">
        <v>0.71003770258109467</v>
      </c>
      <c r="M312" s="6"/>
      <c r="N312" s="84" t="s">
        <v>168</v>
      </c>
    </row>
    <row r="313" spans="1:14" x14ac:dyDescent="0.25">
      <c r="A313" t="str">
        <v>IA Non-econ</v>
      </c>
      <c r="C313" s="35">
        <v>-1.5928674249057535E-2</v>
      </c>
      <c r="D313" s="35">
        <v>-1.4780871784623379E-2</v>
      </c>
      <c r="E313" s="35">
        <v>5.6466189619269747E-4</v>
      </c>
      <c r="F313" s="35">
        <v>5.3901826644611919E-2</v>
      </c>
      <c r="G313" s="35">
        <v>0.13851009448747709</v>
      </c>
      <c r="H313" s="35">
        <v>0.23671835629569482</v>
      </c>
      <c r="I313" s="35">
        <v>0.43771640020321406</v>
      </c>
      <c r="J313" s="35">
        <v>0.62275513747528588</v>
      </c>
      <c r="K313" s="35">
        <v>0.9422522075145463</v>
      </c>
      <c r="L313" s="35">
        <v>1.1711717082668458</v>
      </c>
      <c r="M313" s="6"/>
      <c r="N313" s="84" t="s">
        <v>168</v>
      </c>
    </row>
    <row r="314" spans="1:14" x14ac:dyDescent="0.25">
      <c r="A314" t="str">
        <v>AF Non-econ</v>
      </c>
      <c r="C314" s="35">
        <v>-3.6368093663798726E-3</v>
      </c>
      <c r="D314" s="35">
        <v>1.7628612369102559E-2</v>
      </c>
      <c r="E314" s="35">
        <v>3.8603571599771264E-2</v>
      </c>
      <c r="F314" s="35">
        <v>7.0207595038083048E-2</v>
      </c>
      <c r="G314" s="35">
        <v>0.10536049155527173</v>
      </c>
      <c r="H314" s="35">
        <v>0.14790043540136216</v>
      </c>
      <c r="I314" s="35">
        <v>0.25301901681236411</v>
      </c>
      <c r="J314" s="35">
        <v>0.38176234361739747</v>
      </c>
      <c r="K314" s="35">
        <v>0.60884116933482302</v>
      </c>
      <c r="L314" s="35">
        <v>0.76895503828217671</v>
      </c>
      <c r="M314" s="6"/>
      <c r="N314" s="84" t="s">
        <v>168</v>
      </c>
    </row>
    <row r="315" spans="1:14" x14ac:dyDescent="0.25">
      <c r="A315" t="str">
        <v>LA Non-econ</v>
      </c>
      <c r="C315" s="35">
        <v>8.1064190380421945E-3</v>
      </c>
      <c r="D315" s="35">
        <v>4.0687443232796675E-2</v>
      </c>
      <c r="E315" s="35">
        <v>8.1103021241290638E-2</v>
      </c>
      <c r="F315" s="35">
        <v>0.12716872954856009</v>
      </c>
      <c r="G315" s="35">
        <v>0.17621983089552376</v>
      </c>
      <c r="H315" s="35">
        <v>0.23110741703619295</v>
      </c>
      <c r="I315" s="35">
        <v>0.35210622987503543</v>
      </c>
      <c r="J315" s="35">
        <v>0.48472495794306503</v>
      </c>
      <c r="K315" s="35">
        <v>0.71245032371150496</v>
      </c>
      <c r="L315" s="35">
        <v>0.88380298495244802</v>
      </c>
      <c r="M315" s="6"/>
      <c r="N315" s="84" t="s">
        <v>168</v>
      </c>
    </row>
    <row r="316" spans="1:14" s="2" customFormat="1" ht="15" x14ac:dyDescent="0.4">
      <c r="A316" s="2" t="s">
        <v>279</v>
      </c>
      <c r="C316" s="2" t="s">
        <v>297</v>
      </c>
    </row>
    <row r="317" spans="1:14" x14ac:dyDescent="0.25">
      <c r="A317" t="str">
        <f t="array" ref="A317:A324">R_CODE&amp;" "&amp;I_2_NAME</f>
        <v>EU Non-econ</v>
      </c>
      <c r="C317" s="39">
        <f t="array" ref="C317:L324">IF(igdp_2&lt;ISATG,igdp_2,ISATG+(100-SAVE-ISATG)*((igdp_2-ISATG)/((100-SAVE-ISATG)+(igdp_2-ISATG))))*(1-imp_2/100*IF(i_2&lt;impmax_2_a,1,impmax_2_a/i_2))</f>
        <v>4.6584785029146758E-4</v>
      </c>
      <c r="D317" s="39">
        <v>4.0219560666615563E-2</v>
      </c>
      <c r="E317" s="39">
        <v>9.8550173948488279E-2</v>
      </c>
      <c r="F317" s="39">
        <v>0.17759295736755426</v>
      </c>
      <c r="G317" s="39">
        <v>0.25332768463429006</v>
      </c>
      <c r="H317" s="39">
        <v>0.34054262244785427</v>
      </c>
      <c r="I317" s="39">
        <v>0.50369822334202197</v>
      </c>
      <c r="J317" s="39">
        <v>0.64004126443984422</v>
      </c>
      <c r="K317" s="39">
        <v>0.88061352239453616</v>
      </c>
      <c r="L317" s="39">
        <v>1.1195070308549215</v>
      </c>
      <c r="M317" s="6"/>
      <c r="N317" s="84" t="s">
        <v>168</v>
      </c>
    </row>
    <row r="318" spans="1:14" x14ac:dyDescent="0.25">
      <c r="A318" t="str">
        <v>US Non-econ</v>
      </c>
      <c r="C318" s="35">
        <v>1.1014694878183007E-2</v>
      </c>
      <c r="D318" s="35">
        <v>5.7649216296899557E-2</v>
      </c>
      <c r="E318" s="35">
        <v>0.12230580292509495</v>
      </c>
      <c r="F318" s="35">
        <v>0.20673064295754703</v>
      </c>
      <c r="G318" s="35">
        <v>0.28708746614399294</v>
      </c>
      <c r="H318" s="35">
        <v>0.37554451993788757</v>
      </c>
      <c r="I318" s="35">
        <v>0.53053597238797912</v>
      </c>
      <c r="J318" s="35">
        <v>0.6498485861251555</v>
      </c>
      <c r="K318" s="35">
        <v>0.85804882142097305</v>
      </c>
      <c r="L318" s="35">
        <v>1.0682776212302201</v>
      </c>
      <c r="M318" s="6"/>
      <c r="N318" s="84" t="s">
        <v>168</v>
      </c>
    </row>
    <row r="319" spans="1:14" x14ac:dyDescent="0.25">
      <c r="A319" t="str">
        <v>OT Non-econ</v>
      </c>
      <c r="C319" s="35">
        <v>7.3173151145947954E-2</v>
      </c>
      <c r="D319" s="35">
        <v>0.18058604139983048</v>
      </c>
      <c r="E319" s="35">
        <v>0.3163121635357205</v>
      </c>
      <c r="F319" s="35">
        <v>0.47208608021853316</v>
      </c>
      <c r="G319" s="35">
        <v>0.61995411806912326</v>
      </c>
      <c r="H319" s="35">
        <v>0.76932690677867965</v>
      </c>
      <c r="I319" s="35">
        <v>0.99952935458769299</v>
      </c>
      <c r="J319" s="35">
        <v>1.1460437913262251</v>
      </c>
      <c r="K319" s="35">
        <v>1.3980692451640389</v>
      </c>
      <c r="L319" s="35">
        <v>1.6652450677301489</v>
      </c>
      <c r="M319" s="6"/>
      <c r="N319" s="84" t="s">
        <v>168</v>
      </c>
    </row>
    <row r="320" spans="1:14" x14ac:dyDescent="0.25">
      <c r="A320" t="str">
        <v>EE Non-econ</v>
      </c>
      <c r="C320" s="35">
        <v>2.7463591159524837E-2</v>
      </c>
      <c r="D320" s="35">
        <v>5.0836102041312045E-2</v>
      </c>
      <c r="E320" s="35">
        <v>9.164426303884099E-2</v>
      </c>
      <c r="F320" s="35">
        <v>0.15946749475985308</v>
      </c>
      <c r="G320" s="35">
        <v>0.23532868961948136</v>
      </c>
      <c r="H320" s="35">
        <v>0.31562786915095237</v>
      </c>
      <c r="I320" s="35">
        <v>0.4557022651145981</v>
      </c>
      <c r="J320" s="35">
        <v>0.56431061834580376</v>
      </c>
      <c r="K320" s="35">
        <v>0.74404373186153328</v>
      </c>
      <c r="L320" s="35">
        <v>0.88543685512625425</v>
      </c>
      <c r="M320" s="6"/>
      <c r="N320" s="84" t="s">
        <v>168</v>
      </c>
    </row>
    <row r="321" spans="1:15" x14ac:dyDescent="0.25">
      <c r="A321" t="str">
        <v>CA Non-econ</v>
      </c>
      <c r="C321" s="35">
        <v>0</v>
      </c>
      <c r="D321" s="35">
        <v>0</v>
      </c>
      <c r="E321" s="35">
        <v>0</v>
      </c>
      <c r="F321" s="35">
        <v>0</v>
      </c>
      <c r="G321" s="35">
        <v>-1.2292144796055329E-2</v>
      </c>
      <c r="H321" s="35">
        <v>-1.5722439974612951E-2</v>
      </c>
      <c r="I321" s="35">
        <v>4.8284629994653321E-2</v>
      </c>
      <c r="J321" s="35">
        <v>0.17668447829300749</v>
      </c>
      <c r="K321" s="35">
        <v>0.4792616764405418</v>
      </c>
      <c r="L321" s="35">
        <v>0.65151561797512247</v>
      </c>
      <c r="M321" s="6"/>
      <c r="N321" s="84" t="s">
        <v>168</v>
      </c>
    </row>
    <row r="322" spans="1:15" x14ac:dyDescent="0.25">
      <c r="A322" t="str">
        <v>IA Non-econ</v>
      </c>
      <c r="C322" s="35">
        <v>-1.5928674249057535E-2</v>
      </c>
      <c r="D322" s="35">
        <v>-1.4226589092700003E-2</v>
      </c>
      <c r="E322" s="35">
        <v>5.2231225397824516E-4</v>
      </c>
      <c r="F322" s="35">
        <v>4.7837871147093078E-2</v>
      </c>
      <c r="G322" s="35">
        <v>0.11826465947825707</v>
      </c>
      <c r="H322" s="35">
        <v>0.20756688095534545</v>
      </c>
      <c r="I322" s="35">
        <v>0.39435592039095135</v>
      </c>
      <c r="J322" s="35">
        <v>0.56875192286274967</v>
      </c>
      <c r="K322" s="35">
        <v>0.87279943818435302</v>
      </c>
      <c r="L322" s="35">
        <v>1.0920889130814817</v>
      </c>
      <c r="M322" s="6"/>
      <c r="N322" s="84" t="s">
        <v>168</v>
      </c>
    </row>
    <row r="323" spans="1:15" x14ac:dyDescent="0.25">
      <c r="A323" t="str">
        <v>AF Non-econ</v>
      </c>
      <c r="C323" s="35">
        <v>-3.6368093663798726E-3</v>
      </c>
      <c r="D323" s="35">
        <v>1.6967539405261214E-2</v>
      </c>
      <c r="E323" s="35">
        <v>3.5708303729788421E-2</v>
      </c>
      <c r="F323" s="35">
        <v>6.23092405962987E-2</v>
      </c>
      <c r="G323" s="35">
        <v>9.0025909627639428E-2</v>
      </c>
      <c r="H323" s="35">
        <v>0.12855023760116369</v>
      </c>
      <c r="I323" s="35">
        <v>0.22546662327177969</v>
      </c>
      <c r="J323" s="35">
        <v>0.34601534858378419</v>
      </c>
      <c r="K323" s="35">
        <v>0.56122770163798708</v>
      </c>
      <c r="L323" s="35">
        <v>0.71416260906454243</v>
      </c>
      <c r="M323" s="6"/>
      <c r="N323" s="84" t="s">
        <v>168</v>
      </c>
    </row>
    <row r="324" spans="1:15" x14ac:dyDescent="0.25">
      <c r="A324" t="str">
        <v>LA Non-econ</v>
      </c>
      <c r="C324" s="35">
        <v>8.1064190380421945E-3</v>
      </c>
      <c r="D324" s="35">
        <v>3.9161664111566803E-2</v>
      </c>
      <c r="E324" s="35">
        <v>7.5020294648193847E-2</v>
      </c>
      <c r="F324" s="35">
        <v>0.11407122718206796</v>
      </c>
      <c r="G324" s="35">
        <v>0.1544640787234294</v>
      </c>
      <c r="H324" s="35">
        <v>0.2051197827898974</v>
      </c>
      <c r="I324" s="35">
        <v>0.31812183613290157</v>
      </c>
      <c r="J324" s="35">
        <v>0.44328834977691656</v>
      </c>
      <c r="K324" s="35">
        <v>0.66010624658950223</v>
      </c>
      <c r="L324" s="35">
        <v>0.82427371154425211</v>
      </c>
      <c r="M324" s="6"/>
      <c r="N324" s="84" t="s">
        <v>168</v>
      </c>
    </row>
    <row r="325" spans="1:15" s="2" customFormat="1" ht="15" x14ac:dyDescent="0.4">
      <c r="A325" s="2" t="s">
        <v>280</v>
      </c>
      <c r="C325" s="2" t="s">
        <v>298</v>
      </c>
    </row>
    <row r="326" spans="1:15" x14ac:dyDescent="0.25">
      <c r="A326" t="str">
        <f t="array" ref="A326:A333">R_CODE&amp;" "&amp;I_2_NAME</f>
        <v>EU Non-econ</v>
      </c>
      <c r="C326" s="39">
        <f t="array" ref="C326:L333">(isat_2/100)*rgdp_1_per_cap</f>
        <v>9.9941315928824964E-2</v>
      </c>
      <c r="D326" s="39">
        <v>10.330021674634313</v>
      </c>
      <c r="E326" s="39">
        <v>29.693109884072811</v>
      </c>
      <c r="F326" s="39">
        <v>61.119695609076736</v>
      </c>
      <c r="G326" s="39">
        <v>98.304449395189209</v>
      </c>
      <c r="H326" s="39">
        <v>148.97062422669435</v>
      </c>
      <c r="I326" s="39">
        <v>278.04238350722579</v>
      </c>
      <c r="J326" s="39">
        <v>442.91132830215389</v>
      </c>
      <c r="K326" s="39">
        <v>1904.920715563856</v>
      </c>
      <c r="L326" s="39">
        <v>3413.503359413548</v>
      </c>
      <c r="M326" s="6"/>
      <c r="N326" s="1" t="str">
        <f t="shared" ref="N326:N333" si="17">CURRENCY_NAME&amp;"/"&amp;POP_UNIT_NAME</f>
        <v>$million/million</v>
      </c>
      <c r="O326" s="1"/>
    </row>
    <row r="327" spans="1:15" x14ac:dyDescent="0.25">
      <c r="A327" t="str">
        <v>US Non-econ</v>
      </c>
      <c r="C327" s="35">
        <v>4.331482777350991</v>
      </c>
      <c r="D327" s="35">
        <v>25.675751003620025</v>
      </c>
      <c r="E327" s="35">
        <v>60.403086255352363</v>
      </c>
      <c r="F327" s="35">
        <v>113.65993502700854</v>
      </c>
      <c r="G327" s="35">
        <v>173.76195314716765</v>
      </c>
      <c r="H327" s="35">
        <v>252.01698254845849</v>
      </c>
      <c r="I327" s="35">
        <v>441.29839087215737</v>
      </c>
      <c r="J327" s="35">
        <v>675.29074079988311</v>
      </c>
      <c r="K327" s="35">
        <v>2489.8884682205326</v>
      </c>
      <c r="L327" s="35">
        <v>4373.5689975967434</v>
      </c>
      <c r="M327" s="6"/>
      <c r="N327" s="1" t="str">
        <f t="shared" si="17"/>
        <v>$million/million</v>
      </c>
      <c r="O327" s="1"/>
    </row>
    <row r="328" spans="1:15" x14ac:dyDescent="0.25">
      <c r="A328" t="str">
        <v>OT Non-econ</v>
      </c>
      <c r="C328" s="35">
        <v>16.135108098559805</v>
      </c>
      <c r="D328" s="35">
        <v>51.535292135692721</v>
      </c>
      <c r="E328" s="35">
        <v>117.63419528876013</v>
      </c>
      <c r="F328" s="35">
        <v>227.96327520497903</v>
      </c>
      <c r="G328" s="35">
        <v>381.58157967989678</v>
      </c>
      <c r="H328" s="35">
        <v>597.55066383096391</v>
      </c>
      <c r="I328" s="35">
        <v>1162.8267717300791</v>
      </c>
      <c r="J328" s="35">
        <v>1901.7984638609805</v>
      </c>
      <c r="K328" s="35">
        <v>7079.5541092945759</v>
      </c>
      <c r="L328" s="35">
        <v>11897.851175394602</v>
      </c>
      <c r="M328" s="6"/>
      <c r="N328" s="1" t="str">
        <f t="shared" si="17"/>
        <v>$million/million</v>
      </c>
      <c r="O328" s="1"/>
    </row>
    <row r="329" spans="1:15" x14ac:dyDescent="0.25">
      <c r="A329" t="str">
        <v>EE Non-econ</v>
      </c>
      <c r="C329" s="35">
        <v>0.80754752726670198</v>
      </c>
      <c r="D329" s="35">
        <v>1.9359776365547734</v>
      </c>
      <c r="E329" s="35">
        <v>4.5533142395920727</v>
      </c>
      <c r="F329" s="35">
        <v>10.294852929681973</v>
      </c>
      <c r="G329" s="35">
        <v>19.37702155460801</v>
      </c>
      <c r="H329" s="35">
        <v>32.807378091271367</v>
      </c>
      <c r="I329" s="35">
        <v>71.009641427391031</v>
      </c>
      <c r="J329" s="35">
        <v>125.3888239556304</v>
      </c>
      <c r="K329" s="35">
        <v>504.12487897680904</v>
      </c>
      <c r="L329" s="35">
        <v>846.78156197450573</v>
      </c>
      <c r="M329" s="6"/>
      <c r="N329" s="1" t="str">
        <f t="shared" si="17"/>
        <v>$million/million</v>
      </c>
      <c r="O329" s="1"/>
    </row>
    <row r="330" spans="1:15" x14ac:dyDescent="0.25">
      <c r="A330" t="str">
        <v>CA Non-econ</v>
      </c>
      <c r="C330" s="35">
        <v>0</v>
      </c>
      <c r="D330" s="35">
        <v>0</v>
      </c>
      <c r="E330" s="35">
        <v>0</v>
      </c>
      <c r="F330" s="35">
        <v>0</v>
      </c>
      <c r="G330" s="35">
        <v>-0.93158724313551344</v>
      </c>
      <c r="H330" s="35">
        <v>-1.4986140052802543</v>
      </c>
      <c r="I330" s="35">
        <v>6.886786690575315</v>
      </c>
      <c r="J330" s="35">
        <v>36.056963646950813</v>
      </c>
      <c r="K330" s="35">
        <v>298.68192808685285</v>
      </c>
      <c r="L330" s="35">
        <v>571.98573913223549</v>
      </c>
      <c r="M330" s="6"/>
      <c r="N330" s="1" t="str">
        <f t="shared" si="17"/>
        <v>$million/million</v>
      </c>
      <c r="O330" s="1"/>
    </row>
    <row r="331" spans="1:15" x14ac:dyDescent="0.25">
      <c r="A331" t="str">
        <v>IA Non-econ</v>
      </c>
      <c r="C331" s="35">
        <v>-0.23312160079772581</v>
      </c>
      <c r="D331" s="35">
        <v>-0.26981368514896747</v>
      </c>
      <c r="E331" s="35">
        <v>1.2951357747358182E-2</v>
      </c>
      <c r="F331" s="35">
        <v>1.5531953222420842</v>
      </c>
      <c r="G331" s="35">
        <v>4.8440141263280054</v>
      </c>
      <c r="H331" s="35">
        <v>10.646715134981131</v>
      </c>
      <c r="I331" s="35">
        <v>30.129965867237999</v>
      </c>
      <c r="J331" s="35">
        <v>62.374278258429271</v>
      </c>
      <c r="K331" s="35">
        <v>293.20137111031204</v>
      </c>
      <c r="L331" s="35">
        <v>516.03580162484138</v>
      </c>
      <c r="M331" s="6"/>
      <c r="N331" s="1" t="str">
        <f t="shared" si="17"/>
        <v>$million/million</v>
      </c>
      <c r="O331" s="1"/>
    </row>
    <row r="332" spans="1:15" x14ac:dyDescent="0.25">
      <c r="A332" t="str">
        <v>AF Non-econ</v>
      </c>
      <c r="C332" s="35">
        <v>-9.3341160247946489E-2</v>
      </c>
      <c r="D332" s="35">
        <v>0.56403956939859135</v>
      </c>
      <c r="E332" s="35">
        <v>1.5512379621314685</v>
      </c>
      <c r="F332" s="35">
        <v>3.5408293725016042</v>
      </c>
      <c r="G332" s="35">
        <v>6.463362688118802</v>
      </c>
      <c r="H332" s="35">
        <v>11.558141864871306</v>
      </c>
      <c r="I332" s="35">
        <v>30.265089467061049</v>
      </c>
      <c r="J332" s="35">
        <v>66.760411350031987</v>
      </c>
      <c r="K332" s="35">
        <v>331.92808541246796</v>
      </c>
      <c r="L332" s="35">
        <v>595.34499140207913</v>
      </c>
      <c r="M332" s="6"/>
      <c r="N332" s="1" t="str">
        <f t="shared" si="17"/>
        <v>$million/million</v>
      </c>
      <c r="O332" s="1"/>
    </row>
    <row r="333" spans="1:15" x14ac:dyDescent="0.25">
      <c r="A333" t="str">
        <v>LA Non-econ</v>
      </c>
      <c r="C333" s="35">
        <v>0.38065048543442276</v>
      </c>
      <c r="D333" s="35">
        <v>2.3811651564960976</v>
      </c>
      <c r="E333" s="35">
        <v>5.9597078751538577</v>
      </c>
      <c r="F333" s="35">
        <v>11.834694646902973</v>
      </c>
      <c r="G333" s="35">
        <v>20.352649223529472</v>
      </c>
      <c r="H333" s="35">
        <v>33.975093849716266</v>
      </c>
      <c r="I333" s="35">
        <v>78.805055848780455</v>
      </c>
      <c r="J333" s="35">
        <v>157.07473356243355</v>
      </c>
      <c r="K333" s="35">
        <v>714.579344505721</v>
      </c>
      <c r="L333" s="35">
        <v>1258.4510980026789</v>
      </c>
      <c r="M333" s="6"/>
      <c r="N333" s="1" t="str">
        <f t="shared" si="17"/>
        <v>$million/million</v>
      </c>
      <c r="O333" s="1"/>
    </row>
    <row r="334" spans="1:15" s="2" customFormat="1" ht="15" x14ac:dyDescent="0.4">
      <c r="A334" s="2" t="s">
        <v>282</v>
      </c>
      <c r="C334" s="2" t="s">
        <v>300</v>
      </c>
    </row>
    <row r="335" spans="1:15" x14ac:dyDescent="0.25">
      <c r="A335" t="str">
        <f t="array" ref="A335:A342">R_CODE&amp;" "&amp;I_2_NAME</f>
        <v>EU Non-econ</v>
      </c>
      <c r="C335" s="39">
        <f t="array" ref="C335:L342">rcons_1_per_cap-isat_2_per_cap</f>
        <v>18235.493179131096</v>
      </c>
      <c r="D335" s="39">
        <v>21821.132773809048</v>
      </c>
      <c r="E335" s="39">
        <v>25580.757273140389</v>
      </c>
      <c r="F335" s="39">
        <v>29192.146896597955</v>
      </c>
      <c r="G335" s="39">
        <v>32886.160752873679</v>
      </c>
      <c r="H335" s="39">
        <v>37034.342783797503</v>
      </c>
      <c r="I335" s="39">
        <v>46642.120330798134</v>
      </c>
      <c r="J335" s="39">
        <v>58377.456978156421</v>
      </c>
      <c r="K335" s="39">
        <v>181964.91174243065</v>
      </c>
      <c r="L335" s="39">
        <v>255761.09541785147</v>
      </c>
      <c r="M335" s="6"/>
      <c r="N335" s="1" t="str">
        <f t="shared" ref="N335:N342" si="18">CURRENCY_NAME&amp;"/"&amp;POP_UNIT_NAME</f>
        <v>$million/million</v>
      </c>
      <c r="O335" s="1"/>
    </row>
    <row r="336" spans="1:15" x14ac:dyDescent="0.25">
      <c r="A336" t="str">
        <v>US Non-econ</v>
      </c>
      <c r="C336" s="35">
        <v>33421.563664267233</v>
      </c>
      <c r="D336" s="35">
        <v>37831.540278923159</v>
      </c>
      <c r="E336" s="35">
        <v>41918.490873905983</v>
      </c>
      <c r="F336" s="35">
        <v>46619.10468603437</v>
      </c>
      <c r="G336" s="35">
        <v>51273.158443235639</v>
      </c>
      <c r="H336" s="35">
        <v>56789.005797285819</v>
      </c>
      <c r="I336" s="35">
        <v>70261.472347361938</v>
      </c>
      <c r="J336" s="35">
        <v>87652.535453678211</v>
      </c>
      <c r="K336" s="35">
        <v>244163.34910427287</v>
      </c>
      <c r="L336" s="35">
        <v>343619.64681798394</v>
      </c>
      <c r="M336" s="6"/>
      <c r="N336" s="1" t="str">
        <f t="shared" si="18"/>
        <v>$million/million</v>
      </c>
      <c r="O336" s="1"/>
    </row>
    <row r="337" spans="1:15" x14ac:dyDescent="0.25">
      <c r="A337" t="str">
        <v>OT Non-econ</v>
      </c>
      <c r="C337" s="35">
        <v>18726.862383455154</v>
      </c>
      <c r="D337" s="35">
        <v>24205.598856096392</v>
      </c>
      <c r="E337" s="35">
        <v>31493.248193100502</v>
      </c>
      <c r="F337" s="35">
        <v>40817.259628748201</v>
      </c>
      <c r="G337" s="35">
        <v>51935.893742219443</v>
      </c>
      <c r="H337" s="35">
        <v>65423.546451187452</v>
      </c>
      <c r="I337" s="35">
        <v>97723.98945171987</v>
      </c>
      <c r="J337" s="35">
        <v>139151.16186073128</v>
      </c>
      <c r="K337" s="35">
        <v>423344.11866052792</v>
      </c>
      <c r="L337" s="35">
        <v>595410.56817157927</v>
      </c>
      <c r="M337" s="6"/>
      <c r="N337" s="1" t="str">
        <f t="shared" si="18"/>
        <v>$million/million</v>
      </c>
      <c r="O337" s="1"/>
    </row>
    <row r="338" spans="1:15" x14ac:dyDescent="0.25">
      <c r="A338" t="str">
        <v>EE Non-econ</v>
      </c>
      <c r="C338" s="35">
        <v>2498.5574997805988</v>
      </c>
      <c r="D338" s="35">
        <v>3235.0962199427818</v>
      </c>
      <c r="E338" s="35">
        <v>4218.6429615741272</v>
      </c>
      <c r="F338" s="35">
        <v>5477.1087106664645</v>
      </c>
      <c r="G338" s="35">
        <v>6979.5436574535506</v>
      </c>
      <c r="H338" s="35">
        <v>8802.3666046737799</v>
      </c>
      <c r="I338" s="35">
        <v>13174.084762065151</v>
      </c>
      <c r="J338" s="35">
        <v>18761.461236514861</v>
      </c>
      <c r="K338" s="35">
        <v>57087.402175246505</v>
      </c>
      <c r="L338" s="35">
        <v>80442.394906255839</v>
      </c>
      <c r="M338" s="6"/>
      <c r="N338" s="1" t="str">
        <f t="shared" si="18"/>
        <v>$million/million</v>
      </c>
      <c r="O338" s="1"/>
    </row>
    <row r="339" spans="1:15" x14ac:dyDescent="0.25">
      <c r="A339" t="str">
        <v>CA Non-econ</v>
      </c>
      <c r="C339" s="35">
        <v>2297.5049167973011</v>
      </c>
      <c r="D339" s="35">
        <v>2976.4915463404254</v>
      </c>
      <c r="E339" s="35">
        <v>3890.5569897753567</v>
      </c>
      <c r="F339" s="35">
        <v>5073.6534040099732</v>
      </c>
      <c r="G339" s="35">
        <v>6442.8436359793213</v>
      </c>
      <c r="H339" s="35">
        <v>8103.4338514433521</v>
      </c>
      <c r="I339" s="35">
        <v>12116.575042958364</v>
      </c>
      <c r="J339" s="35">
        <v>17310.355916539334</v>
      </c>
      <c r="K339" s="35">
        <v>52674.391312273052</v>
      </c>
      <c r="L339" s="35">
        <v>74052.146798695103</v>
      </c>
      <c r="M339" s="6"/>
      <c r="N339" s="1" t="str">
        <f t="shared" si="18"/>
        <v>$million/million</v>
      </c>
      <c r="O339" s="1"/>
    </row>
    <row r="340" spans="1:15" x14ac:dyDescent="0.25">
      <c r="A340" t="str">
        <v>IA Non-econ</v>
      </c>
      <c r="C340" s="35">
        <v>1244.2372212501532</v>
      </c>
      <c r="D340" s="35">
        <v>1612.3331893983261</v>
      </c>
      <c r="E340" s="35">
        <v>2107.6638265477882</v>
      </c>
      <c r="F340" s="35">
        <v>2758.2184923566228</v>
      </c>
      <c r="G340" s="35">
        <v>3476.6795665810509</v>
      </c>
      <c r="H340" s="35">
        <v>4349.2530063821796</v>
      </c>
      <c r="I340" s="35">
        <v>6464.1229825259115</v>
      </c>
      <c r="J340" s="35">
        <v>9259.4643632364387</v>
      </c>
      <c r="K340" s="35">
        <v>28261.029365129536</v>
      </c>
      <c r="L340" s="35">
        <v>39648.315848412334</v>
      </c>
      <c r="M340" s="6"/>
      <c r="N340" s="1" t="str">
        <f t="shared" si="18"/>
        <v>$million/million</v>
      </c>
      <c r="O340" s="1"/>
    </row>
    <row r="341" spans="1:15" x14ac:dyDescent="0.25">
      <c r="A341" t="str">
        <v>AF Non-econ</v>
      </c>
      <c r="C341" s="35">
        <v>2181.6755528704693</v>
      </c>
      <c r="D341" s="35">
        <v>2825.0291271106335</v>
      </c>
      <c r="E341" s="35">
        <v>3691.013600148035</v>
      </c>
      <c r="F341" s="35">
        <v>4826.7298300409702</v>
      </c>
      <c r="G341" s="35">
        <v>6096.0667951568821</v>
      </c>
      <c r="H341" s="35">
        <v>7630.9174913747793</v>
      </c>
      <c r="I341" s="35">
        <v>11379.550551401579</v>
      </c>
      <c r="J341" s="35">
        <v>16333.191174550966</v>
      </c>
      <c r="K341" s="35">
        <v>49939.801513314269</v>
      </c>
      <c r="L341" s="35">
        <v>70262.921216992152</v>
      </c>
      <c r="M341" s="6"/>
      <c r="N341" s="1" t="str">
        <f t="shared" si="18"/>
        <v>$million/million</v>
      </c>
      <c r="O341" s="1"/>
    </row>
    <row r="342" spans="1:15" x14ac:dyDescent="0.25">
      <c r="A342" t="str">
        <v>LA Non-econ</v>
      </c>
      <c r="C342" s="35">
        <v>3990.9367376347045</v>
      </c>
      <c r="D342" s="35">
        <v>5165.913974844656</v>
      </c>
      <c r="E342" s="35">
        <v>6746.5486868685866</v>
      </c>
      <c r="F342" s="35">
        <v>8806.7698723151698</v>
      </c>
      <c r="G342" s="35">
        <v>11179.501700716015</v>
      </c>
      <c r="H342" s="35">
        <v>14045.032488680334</v>
      </c>
      <c r="I342" s="35">
        <v>20977.372126367467</v>
      </c>
      <c r="J342" s="35">
        <v>29961.813704461885</v>
      </c>
      <c r="K342" s="35">
        <v>91299.766220016652</v>
      </c>
      <c r="L342" s="35">
        <v>128514.39235447829</v>
      </c>
      <c r="M342" s="6"/>
      <c r="N342" s="1" t="str">
        <f t="shared" si="18"/>
        <v>$million/million</v>
      </c>
      <c r="O342" s="1"/>
    </row>
    <row r="343" spans="1:15" s="2" customFormat="1" ht="15" x14ac:dyDescent="0.4">
      <c r="A343" s="2" t="s">
        <v>284</v>
      </c>
      <c r="C343" s="2" t="s">
        <v>299</v>
      </c>
    </row>
    <row r="344" spans="1:15" x14ac:dyDescent="0.25">
      <c r="A344" t="str">
        <f t="array" ref="A344:A351">R_CODE&amp;" "&amp;I_2_NAME</f>
        <v>EU Non-econ</v>
      </c>
      <c r="C344" s="39">
        <f t="array" ref="C344:L351" xml:space="preserve"> rcons_2_per_cap/(1-SAVE/100)</f>
        <v>21453.521387213055</v>
      </c>
      <c r="D344" s="39">
        <v>25671.920910363588</v>
      </c>
      <c r="E344" s="39">
        <v>30095.008556635752</v>
      </c>
      <c r="F344" s="39">
        <v>34343.702231291711</v>
      </c>
      <c r="G344" s="39">
        <v>38689.600885733744</v>
      </c>
      <c r="H344" s="39">
        <v>43569.815039761772</v>
      </c>
      <c r="I344" s="39">
        <v>54873.082742115454</v>
      </c>
      <c r="J344" s="39">
        <v>68679.361150772267</v>
      </c>
      <c r="K344" s="39">
        <v>214076.36675580076</v>
      </c>
      <c r="L344" s="39">
        <v>300895.40637394291</v>
      </c>
      <c r="M344" s="6"/>
      <c r="N344" s="1" t="str">
        <f t="shared" ref="N344:N351" si="19">CURRENCY_NAME&amp;"/"&amp;POP_UNIT_NAME</f>
        <v>$million/million</v>
      </c>
      <c r="O344" s="1"/>
    </row>
    <row r="345" spans="1:15" x14ac:dyDescent="0.25">
      <c r="A345" t="str">
        <v>US Non-econ</v>
      </c>
      <c r="C345" s="35">
        <v>39319.486663843803</v>
      </c>
      <c r="D345" s="35">
        <v>44507.694445791953</v>
      </c>
      <c r="E345" s="35">
        <v>49315.871616359982</v>
      </c>
      <c r="F345" s="35">
        <v>54846.00551298161</v>
      </c>
      <c r="G345" s="35">
        <v>60321.362874394872</v>
      </c>
      <c r="H345" s="35">
        <v>66810.595055630372</v>
      </c>
      <c r="I345" s="35">
        <v>82660.555702778758</v>
      </c>
      <c r="J345" s="35">
        <v>103120.62994550378</v>
      </c>
      <c r="K345" s="35">
        <v>287250.99894620338</v>
      </c>
      <c r="L345" s="35">
        <v>404258.40802115761</v>
      </c>
      <c r="M345" s="6"/>
      <c r="N345" s="1" t="str">
        <f t="shared" si="19"/>
        <v>$million/million</v>
      </c>
      <c r="O345" s="1"/>
    </row>
    <row r="346" spans="1:15" x14ac:dyDescent="0.25">
      <c r="A346" t="str">
        <v>OT Non-econ</v>
      </c>
      <c r="C346" s="35">
        <v>22031.602804064889</v>
      </c>
      <c r="D346" s="35">
        <v>28477.175124819285</v>
      </c>
      <c r="E346" s="35">
        <v>37050.880227177062</v>
      </c>
      <c r="F346" s="35">
        <v>48020.30544558612</v>
      </c>
      <c r="G346" s="35">
        <v>61101.051461434639</v>
      </c>
      <c r="H346" s="35">
        <v>76968.878177867591</v>
      </c>
      <c r="I346" s="35">
        <v>114969.39935496455</v>
      </c>
      <c r="J346" s="35">
        <v>163707.24924791916</v>
      </c>
      <c r="K346" s="35">
        <v>498051.90430650348</v>
      </c>
      <c r="L346" s="35">
        <v>700483.02137832856</v>
      </c>
      <c r="M346" s="6"/>
      <c r="N346" s="1" t="str">
        <f t="shared" si="19"/>
        <v>$million/million</v>
      </c>
      <c r="O346" s="1"/>
    </row>
    <row r="347" spans="1:15" x14ac:dyDescent="0.25">
      <c r="A347" t="str">
        <v>EE Non-econ</v>
      </c>
      <c r="C347" s="35">
        <v>2939.479411506587</v>
      </c>
      <c r="D347" s="35">
        <v>3805.995552873861</v>
      </c>
      <c r="E347" s="35">
        <v>4963.1093665577964</v>
      </c>
      <c r="F347" s="35">
        <v>6443.6573066664287</v>
      </c>
      <c r="G347" s="35">
        <v>8211.2278322982947</v>
      </c>
      <c r="H347" s="35">
        <v>10355.725417263271</v>
      </c>
      <c r="I347" s="35">
        <v>15498.923249488413</v>
      </c>
      <c r="J347" s="35">
        <v>22072.307337076309</v>
      </c>
      <c r="K347" s="35">
        <v>67161.649617937073</v>
      </c>
      <c r="L347" s="35">
        <v>94638.111654418637</v>
      </c>
      <c r="M347" s="6"/>
      <c r="N347" s="1" t="str">
        <f t="shared" si="19"/>
        <v>$million/million</v>
      </c>
      <c r="O347" s="1"/>
    </row>
    <row r="348" spans="1:15" x14ac:dyDescent="0.25">
      <c r="A348" t="str">
        <v>CA Non-econ</v>
      </c>
      <c r="C348" s="35">
        <v>2702.9469609380012</v>
      </c>
      <c r="D348" s="35">
        <v>3501.7547604005008</v>
      </c>
      <c r="E348" s="35">
        <v>4577.1258703239491</v>
      </c>
      <c r="F348" s="35">
        <v>5969.0040047176153</v>
      </c>
      <c r="G348" s="35">
        <v>7579.8160423286135</v>
      </c>
      <c r="H348" s="35">
        <v>9533.4515899333564</v>
      </c>
      <c r="I348" s="35">
        <v>14254.79416818631</v>
      </c>
      <c r="J348" s="35">
        <v>20365.124607693335</v>
      </c>
      <c r="K348" s="35">
        <v>61969.872132085948</v>
      </c>
      <c r="L348" s="35">
        <v>87120.172704347176</v>
      </c>
      <c r="M348" s="6"/>
      <c r="N348" s="1" t="str">
        <f t="shared" si="19"/>
        <v>$million/million</v>
      </c>
      <c r="O348" s="1"/>
    </row>
    <row r="349" spans="1:15" x14ac:dyDescent="0.25">
      <c r="A349" t="str">
        <v>IA Non-econ</v>
      </c>
      <c r="C349" s="35">
        <v>1463.8084955884156</v>
      </c>
      <c r="D349" s="35">
        <v>1896.8625757627367</v>
      </c>
      <c r="E349" s="35">
        <v>2479.6045018209275</v>
      </c>
      <c r="F349" s="35">
        <v>3244.9629321842622</v>
      </c>
      <c r="G349" s="35">
        <v>4090.2112548012365</v>
      </c>
      <c r="H349" s="35">
        <v>5116.7682428025646</v>
      </c>
      <c r="I349" s="35">
        <v>7604.850567677543</v>
      </c>
      <c r="J349" s="35">
        <v>10893.487486160517</v>
      </c>
      <c r="K349" s="35">
        <v>33248.269841328867</v>
      </c>
      <c r="L349" s="35">
        <v>46645.077468720396</v>
      </c>
      <c r="M349" s="6"/>
      <c r="N349" s="1" t="str">
        <f t="shared" si="19"/>
        <v>$million/million</v>
      </c>
      <c r="O349" s="1"/>
    </row>
    <row r="350" spans="1:15" x14ac:dyDescent="0.25">
      <c r="A350" t="str">
        <v>AF Non-econ</v>
      </c>
      <c r="C350" s="35">
        <v>2566.6771210240818</v>
      </c>
      <c r="D350" s="35">
        <v>3323.5636789536866</v>
      </c>
      <c r="E350" s="35">
        <v>4342.3689413506299</v>
      </c>
      <c r="F350" s="35">
        <v>5678.5056824011417</v>
      </c>
      <c r="G350" s="35">
        <v>7171.8432884198619</v>
      </c>
      <c r="H350" s="35">
        <v>8977.5499898526814</v>
      </c>
      <c r="I350" s="35">
        <v>13387.706531060681</v>
      </c>
      <c r="J350" s="35">
        <v>19215.519028883489</v>
      </c>
      <c r="K350" s="35">
        <v>58752.707662722671</v>
      </c>
      <c r="L350" s="35">
        <v>82662.260255284884</v>
      </c>
      <c r="M350" s="6"/>
      <c r="N350" s="1" t="str">
        <f t="shared" si="19"/>
        <v>$million/million</v>
      </c>
      <c r="O350" s="1"/>
    </row>
    <row r="351" spans="1:15" x14ac:dyDescent="0.25">
      <c r="A351" t="str">
        <v>LA Non-econ</v>
      </c>
      <c r="C351" s="35">
        <v>4695.2196913349462</v>
      </c>
      <c r="D351" s="35">
        <v>6077.5458527584187</v>
      </c>
      <c r="E351" s="35">
        <v>7937.1161021983371</v>
      </c>
      <c r="F351" s="35">
        <v>10360.905732135494</v>
      </c>
      <c r="G351" s="35">
        <v>13152.354942018841</v>
      </c>
      <c r="H351" s="35">
        <v>16523.567633741568</v>
      </c>
      <c r="I351" s="35">
        <v>24679.261325138195</v>
      </c>
      <c r="J351" s="35">
        <v>35249.192593484571</v>
      </c>
      <c r="K351" s="35">
        <v>107411.48967060783</v>
      </c>
      <c r="L351" s="35">
        <v>151193.40276997446</v>
      </c>
      <c r="M351" s="6"/>
      <c r="N351" s="1" t="str">
        <f t="shared" si="19"/>
        <v>$million/million</v>
      </c>
      <c r="O351" s="1"/>
    </row>
    <row r="352" spans="1:15" s="2" customFormat="1" ht="15" x14ac:dyDescent="0.4">
      <c r="A352" s="2" t="s">
        <v>301</v>
      </c>
      <c r="C352" s="2" t="s">
        <v>302</v>
      </c>
    </row>
    <row r="353" spans="1:14" x14ac:dyDescent="0.25">
      <c r="A353" t="str">
        <f t="array" ref="A353:A360">R_CODE&amp;" discontinuity"</f>
        <v>EU discontinuity</v>
      </c>
      <c r="C353" s="39">
        <f t="array" ref="C353:L360">WINCF*WDIS</f>
        <v>15</v>
      </c>
      <c r="D353" s="39">
        <v>15</v>
      </c>
      <c r="E353" s="39">
        <v>15</v>
      </c>
      <c r="F353" s="39">
        <v>15</v>
      </c>
      <c r="G353" s="39">
        <v>15</v>
      </c>
      <c r="H353" s="39">
        <v>15</v>
      </c>
      <c r="I353" s="39">
        <v>15</v>
      </c>
      <c r="J353" s="39">
        <v>15</v>
      </c>
      <c r="K353" s="39">
        <v>15</v>
      </c>
      <c r="L353" s="39">
        <v>15</v>
      </c>
      <c r="M353" s="6"/>
      <c r="N353" s="84" t="s">
        <v>168</v>
      </c>
    </row>
    <row r="354" spans="1:14" x14ac:dyDescent="0.25">
      <c r="A354" t="str">
        <v>US discontinuity</v>
      </c>
      <c r="C354" s="35">
        <v>12</v>
      </c>
      <c r="D354" s="35">
        <v>12</v>
      </c>
      <c r="E354" s="35">
        <v>12</v>
      </c>
      <c r="F354" s="35">
        <v>12</v>
      </c>
      <c r="G354" s="35">
        <v>12</v>
      </c>
      <c r="H354" s="35">
        <v>12</v>
      </c>
      <c r="I354" s="35">
        <v>12</v>
      </c>
      <c r="J354" s="35">
        <v>12</v>
      </c>
      <c r="K354" s="35">
        <v>12</v>
      </c>
      <c r="L354" s="35">
        <v>12</v>
      </c>
      <c r="M354" s="6"/>
      <c r="N354" s="84" t="s">
        <v>168</v>
      </c>
    </row>
    <row r="355" spans="1:14" x14ac:dyDescent="0.25">
      <c r="A355" t="str">
        <v>OT discontinuity</v>
      </c>
      <c r="C355" s="35">
        <v>12</v>
      </c>
      <c r="D355" s="35">
        <v>12</v>
      </c>
      <c r="E355" s="35">
        <v>12</v>
      </c>
      <c r="F355" s="35">
        <v>12</v>
      </c>
      <c r="G355" s="35">
        <v>12</v>
      </c>
      <c r="H355" s="35">
        <v>12</v>
      </c>
      <c r="I355" s="35">
        <v>12</v>
      </c>
      <c r="J355" s="35">
        <v>12</v>
      </c>
      <c r="K355" s="35">
        <v>12</v>
      </c>
      <c r="L355" s="35">
        <v>12</v>
      </c>
      <c r="M355" s="6"/>
      <c r="N355" s="84" t="s">
        <v>168</v>
      </c>
    </row>
    <row r="356" spans="1:14" x14ac:dyDescent="0.25">
      <c r="A356" t="str">
        <v>EE discontinuity</v>
      </c>
      <c r="C356" s="35">
        <v>6</v>
      </c>
      <c r="D356" s="35">
        <v>6</v>
      </c>
      <c r="E356" s="35">
        <v>6</v>
      </c>
      <c r="F356" s="35">
        <v>6</v>
      </c>
      <c r="G356" s="35">
        <v>6</v>
      </c>
      <c r="H356" s="35">
        <v>6</v>
      </c>
      <c r="I356" s="35">
        <v>6</v>
      </c>
      <c r="J356" s="35">
        <v>6</v>
      </c>
      <c r="K356" s="35">
        <v>6</v>
      </c>
      <c r="L356" s="35">
        <v>6</v>
      </c>
      <c r="M356" s="6"/>
      <c r="N356" s="84" t="s">
        <v>168</v>
      </c>
    </row>
    <row r="357" spans="1:14" x14ac:dyDescent="0.25">
      <c r="A357" t="str">
        <v>CA discontinuity</v>
      </c>
      <c r="C357" s="35">
        <v>12</v>
      </c>
      <c r="D357" s="35">
        <v>12</v>
      </c>
      <c r="E357" s="35">
        <v>12</v>
      </c>
      <c r="F357" s="35">
        <v>12</v>
      </c>
      <c r="G357" s="35">
        <v>12</v>
      </c>
      <c r="H357" s="35">
        <v>12</v>
      </c>
      <c r="I357" s="35">
        <v>12</v>
      </c>
      <c r="J357" s="35">
        <v>12</v>
      </c>
      <c r="K357" s="35">
        <v>12</v>
      </c>
      <c r="L357" s="35">
        <v>12</v>
      </c>
      <c r="M357" s="6"/>
      <c r="N357" s="84" t="s">
        <v>168</v>
      </c>
    </row>
    <row r="358" spans="1:14" x14ac:dyDescent="0.25">
      <c r="A358" t="str">
        <v>IA discontinuity</v>
      </c>
      <c r="C358" s="35">
        <v>12</v>
      </c>
      <c r="D358" s="35">
        <v>12</v>
      </c>
      <c r="E358" s="35">
        <v>12</v>
      </c>
      <c r="F358" s="35">
        <v>12</v>
      </c>
      <c r="G358" s="35">
        <v>12</v>
      </c>
      <c r="H358" s="35">
        <v>12</v>
      </c>
      <c r="I358" s="35">
        <v>12</v>
      </c>
      <c r="J358" s="35">
        <v>12</v>
      </c>
      <c r="K358" s="35">
        <v>12</v>
      </c>
      <c r="L358" s="35">
        <v>12</v>
      </c>
      <c r="M358" s="6"/>
      <c r="N358" s="84" t="s">
        <v>168</v>
      </c>
    </row>
    <row r="359" spans="1:14" x14ac:dyDescent="0.25">
      <c r="A359" t="str">
        <v>AF discontinuity</v>
      </c>
      <c r="C359" s="35">
        <v>9</v>
      </c>
      <c r="D359" s="35">
        <v>9</v>
      </c>
      <c r="E359" s="35">
        <v>9</v>
      </c>
      <c r="F359" s="35">
        <v>9</v>
      </c>
      <c r="G359" s="35">
        <v>9</v>
      </c>
      <c r="H359" s="35">
        <v>9</v>
      </c>
      <c r="I359" s="35">
        <v>9</v>
      </c>
      <c r="J359" s="35">
        <v>9</v>
      </c>
      <c r="K359" s="35">
        <v>9</v>
      </c>
      <c r="L359" s="35">
        <v>9</v>
      </c>
      <c r="M359" s="6"/>
      <c r="N359" s="84" t="s">
        <v>168</v>
      </c>
    </row>
    <row r="360" spans="1:14" x14ac:dyDescent="0.25">
      <c r="A360" t="str">
        <v>LA discontinuity</v>
      </c>
      <c r="C360" s="35">
        <v>9</v>
      </c>
      <c r="D360" s="35">
        <v>9</v>
      </c>
      <c r="E360" s="35">
        <v>9</v>
      </c>
      <c r="F360" s="35">
        <v>9</v>
      </c>
      <c r="G360" s="35">
        <v>9</v>
      </c>
      <c r="H360" s="35">
        <v>9</v>
      </c>
      <c r="I360" s="35">
        <v>9</v>
      </c>
      <c r="J360" s="35">
        <v>9</v>
      </c>
      <c r="K360" s="35">
        <v>9</v>
      </c>
      <c r="L360" s="35">
        <v>9</v>
      </c>
      <c r="M360" s="6"/>
      <c r="N360" s="84" t="s">
        <v>168</v>
      </c>
    </row>
    <row r="361" spans="1:14" s="2" customFormat="1" ht="15" x14ac:dyDescent="0.4">
      <c r="A361" s="2" t="s">
        <v>303</v>
      </c>
      <c r="C361" s="2" t="s">
        <v>304</v>
      </c>
    </row>
    <row r="362" spans="1:14" x14ac:dyDescent="0.25">
      <c r="A362" t="str">
        <f t="array" ref="A362:A369">R_CODE&amp;" discontinuity"</f>
        <v>EU discontinuity</v>
      </c>
      <c r="C362" s="39">
        <f t="array" ref="C362:L369">IREFEQDIS*(rgdp_2_per_cap/GDP_PER_CAP_FOCUS_0)^IPOWDIS</f>
        <v>14.690809881302748</v>
      </c>
      <c r="D362" s="39">
        <v>14.343366687951354</v>
      </c>
      <c r="E362" s="39">
        <v>14.042559971417607</v>
      </c>
      <c r="F362" s="39">
        <v>13.797463974018605</v>
      </c>
      <c r="G362" s="39">
        <v>13.579996254393798</v>
      </c>
      <c r="H362" s="39">
        <v>13.366594955606844</v>
      </c>
      <c r="I362" s="39">
        <v>12.961769741983295</v>
      </c>
      <c r="J362" s="39">
        <v>12.579654611192113</v>
      </c>
      <c r="K362" s="39">
        <v>10.810266156991677</v>
      </c>
      <c r="L362" s="39">
        <v>10.330550755330513</v>
      </c>
      <c r="M362" s="6"/>
      <c r="N362" s="84" t="s">
        <v>168</v>
      </c>
    </row>
    <row r="363" spans="1:14" x14ac:dyDescent="0.25">
      <c r="A363" t="str">
        <v>US discontinuity</v>
      </c>
      <c r="C363" s="35">
        <v>10.840629252109164</v>
      </c>
      <c r="D363" s="35">
        <v>10.662953714999336</v>
      </c>
      <c r="E363" s="35">
        <v>10.518100318416343</v>
      </c>
      <c r="F363" s="35">
        <v>10.370098225535603</v>
      </c>
      <c r="G363" s="35">
        <v>10.239357768653793</v>
      </c>
      <c r="H363" s="35">
        <v>10.100808988735031</v>
      </c>
      <c r="I363" s="35">
        <v>9.8181371473676506</v>
      </c>
      <c r="J363" s="35">
        <v>9.5328508057649444</v>
      </c>
      <c r="K363" s="35">
        <v>8.3157354408057067</v>
      </c>
      <c r="L363" s="35">
        <v>7.9453737085585363</v>
      </c>
      <c r="M363" s="6"/>
      <c r="N363" s="84" t="s">
        <v>168</v>
      </c>
    </row>
    <row r="364" spans="1:14" x14ac:dyDescent="0.25">
      <c r="A364" t="str">
        <v>OT discontinuity</v>
      </c>
      <c r="C364" s="35">
        <v>11.711056007874948</v>
      </c>
      <c r="D364" s="35">
        <v>11.317120748364909</v>
      </c>
      <c r="E364" s="35">
        <v>10.926868915756643</v>
      </c>
      <c r="F364" s="35">
        <v>10.555501732142861</v>
      </c>
      <c r="G364" s="35">
        <v>10.221839227031072</v>
      </c>
      <c r="H364" s="35">
        <v>9.9119746550877306</v>
      </c>
      <c r="I364" s="35">
        <v>9.3956010722997316</v>
      </c>
      <c r="J364" s="35">
        <v>8.9631324811267454</v>
      </c>
      <c r="K364" s="35">
        <v>7.7273797675276814</v>
      </c>
      <c r="L364" s="35">
        <v>7.3838441594198585</v>
      </c>
      <c r="M364" s="6"/>
      <c r="N364" s="84" t="s">
        <v>168</v>
      </c>
    </row>
    <row r="365" spans="1:14" x14ac:dyDescent="0.25">
      <c r="A365" t="str">
        <v>EE discontinuity</v>
      </c>
      <c r="C365" s="35">
        <v>7.6595422905885933</v>
      </c>
      <c r="D365" s="35">
        <v>7.4001939897685745</v>
      </c>
      <c r="E365" s="35">
        <v>7.142852719239011</v>
      </c>
      <c r="F365" s="35">
        <v>6.8984981163679944</v>
      </c>
      <c r="G365" s="35">
        <v>6.6790976719542563</v>
      </c>
      <c r="H365" s="35">
        <v>6.4756217220985368</v>
      </c>
      <c r="I365" s="35">
        <v>6.1366591864508582</v>
      </c>
      <c r="J365" s="35">
        <v>5.854087059754546</v>
      </c>
      <c r="K365" s="35">
        <v>5.0468766944069685</v>
      </c>
      <c r="L365" s="35">
        <v>4.8212916017080492</v>
      </c>
      <c r="M365" s="6"/>
      <c r="N365" s="84" t="s">
        <v>168</v>
      </c>
    </row>
    <row r="366" spans="1:14" x14ac:dyDescent="0.25">
      <c r="A366" t="str">
        <v>CA discontinuity</v>
      </c>
      <c r="C366" s="35">
        <v>15.491395219793944</v>
      </c>
      <c r="D366" s="35">
        <v>14.965713951478326</v>
      </c>
      <c r="E366" s="35">
        <v>14.44075244376511</v>
      </c>
      <c r="F366" s="35">
        <v>13.938475874221339</v>
      </c>
      <c r="G366" s="35">
        <v>13.501469768615395</v>
      </c>
      <c r="H366" s="35">
        <v>13.094899861669575</v>
      </c>
      <c r="I366" s="35">
        <v>12.411018138454821</v>
      </c>
      <c r="J366" s="35">
        <v>11.834518535557779</v>
      </c>
      <c r="K366" s="35">
        <v>10.202614023434839</v>
      </c>
      <c r="L366" s="35">
        <v>9.7495904658128687</v>
      </c>
      <c r="M366" s="6"/>
      <c r="N366" s="84" t="s">
        <v>168</v>
      </c>
    </row>
    <row r="367" spans="1:14" x14ac:dyDescent="0.25">
      <c r="A367" t="str">
        <v>IA discontinuity</v>
      </c>
      <c r="C367" s="35">
        <v>16.81141627082642</v>
      </c>
      <c r="D367" s="35">
        <v>16.240426162240851</v>
      </c>
      <c r="E367" s="35">
        <v>15.67056114150324</v>
      </c>
      <c r="F367" s="35">
        <v>15.118460574411134</v>
      </c>
      <c r="G367" s="35">
        <v>14.658946904845596</v>
      </c>
      <c r="H367" s="35">
        <v>14.227746026999647</v>
      </c>
      <c r="I367" s="35">
        <v>13.495535204720493</v>
      </c>
      <c r="J367" s="35">
        <v>12.864115930068287</v>
      </c>
      <c r="K367" s="35">
        <v>11.085781906574468</v>
      </c>
      <c r="L367" s="35">
        <v>10.596475246482617</v>
      </c>
      <c r="M367" s="6"/>
      <c r="N367" s="84" t="s">
        <v>168</v>
      </c>
    </row>
    <row r="368" spans="1:14" x14ac:dyDescent="0.25">
      <c r="A368" t="str">
        <v>AF discontinuity</v>
      </c>
      <c r="C368" s="35">
        <v>11.698961233610403</v>
      </c>
      <c r="D368" s="35">
        <v>11.302719067970214</v>
      </c>
      <c r="E368" s="35">
        <v>10.906864166813053</v>
      </c>
      <c r="F368" s="35">
        <v>10.523630521071457</v>
      </c>
      <c r="G368" s="35">
        <v>10.201077060490206</v>
      </c>
      <c r="H368" s="35">
        <v>9.9001647739257557</v>
      </c>
      <c r="I368" s="35">
        <v>9.3864774825890418</v>
      </c>
      <c r="J368" s="35">
        <v>8.9449211762679592</v>
      </c>
      <c r="K368" s="35">
        <v>7.7065455381461092</v>
      </c>
      <c r="L368" s="35">
        <v>7.3635826146725893</v>
      </c>
      <c r="M368" s="6"/>
      <c r="N368" s="84" t="s">
        <v>168</v>
      </c>
    </row>
    <row r="369" spans="1:14" x14ac:dyDescent="0.25">
      <c r="A369" t="str">
        <v>LA discontinuity</v>
      </c>
      <c r="C369" s="35">
        <v>10.793840877292739</v>
      </c>
      <c r="D369" s="35">
        <v>10.42876868206667</v>
      </c>
      <c r="E369" s="35">
        <v>10.064103691952695</v>
      </c>
      <c r="F369" s="35">
        <v>9.7127848978838109</v>
      </c>
      <c r="G369" s="35">
        <v>9.4087009377755368</v>
      </c>
      <c r="H369" s="35">
        <v>9.1267528650007694</v>
      </c>
      <c r="I369" s="35">
        <v>8.6513891243582552</v>
      </c>
      <c r="J369" s="35">
        <v>8.2498029875062251</v>
      </c>
      <c r="K369" s="35">
        <v>7.1108803077380571</v>
      </c>
      <c r="L369" s="35">
        <v>6.7940033236679005</v>
      </c>
      <c r="M369" s="6"/>
      <c r="N369" s="84" t="s">
        <v>168</v>
      </c>
    </row>
    <row r="370" spans="1:14" s="2" customFormat="1" ht="15" x14ac:dyDescent="0.4">
      <c r="A370" s="2" t="s">
        <v>275</v>
      </c>
      <c r="C370" s="2" t="s">
        <v>305</v>
      </c>
    </row>
    <row r="371" spans="1:14" x14ac:dyDescent="0.25">
      <c r="A371" t="str">
        <f t="array" ref="A371:A378">R_CODE&amp;" discontinuity"</f>
        <v>EU discontinuity</v>
      </c>
      <c r="C371" s="39">
        <f t="array" ref="C371:C378">occur_dis_1*(1-EXPFDIS_1)*igdpeqdis_1</f>
        <v>0</v>
      </c>
      <c r="D371" s="39">
        <f t="array" ref="D371:L378">igdpdis+occur_dis_not_1*(1-EXPFDIS_NOT_1)*(igdpeqdis_not_1-igdpdis)</f>
        <v>0</v>
      </c>
      <c r="E371" s="39">
        <v>0</v>
      </c>
      <c r="F371" s="39">
        <v>0</v>
      </c>
      <c r="G371" s="39">
        <v>0</v>
      </c>
      <c r="H371" s="39">
        <v>0</v>
      </c>
      <c r="I371" s="39">
        <v>0</v>
      </c>
      <c r="J371" s="39">
        <v>0</v>
      </c>
      <c r="K371" s="39">
        <v>0</v>
      </c>
      <c r="L371" s="39">
        <v>0</v>
      </c>
      <c r="M371" s="6"/>
      <c r="N371" s="84" t="s">
        <v>168</v>
      </c>
    </row>
    <row r="372" spans="1:14" x14ac:dyDescent="0.25">
      <c r="A372" t="str">
        <v>US discontinuity</v>
      </c>
      <c r="C372" s="35">
        <v>0</v>
      </c>
      <c r="D372" s="35">
        <v>0</v>
      </c>
      <c r="E372" s="35">
        <v>0</v>
      </c>
      <c r="F372" s="35">
        <v>0</v>
      </c>
      <c r="G372" s="35">
        <v>0</v>
      </c>
      <c r="H372" s="35">
        <v>0</v>
      </c>
      <c r="I372" s="35">
        <v>0</v>
      </c>
      <c r="J372" s="35">
        <v>0</v>
      </c>
      <c r="K372" s="35">
        <v>0</v>
      </c>
      <c r="L372" s="35">
        <v>0</v>
      </c>
      <c r="M372" s="6"/>
      <c r="N372" s="84" t="s">
        <v>168</v>
      </c>
    </row>
    <row r="373" spans="1:14" x14ac:dyDescent="0.25">
      <c r="A373" t="str">
        <v>OT discontinuity</v>
      </c>
      <c r="C373" s="35">
        <v>0</v>
      </c>
      <c r="D373" s="35">
        <v>0</v>
      </c>
      <c r="E373" s="35">
        <v>0</v>
      </c>
      <c r="F373" s="35">
        <v>0</v>
      </c>
      <c r="G373" s="35">
        <v>0</v>
      </c>
      <c r="H373" s="35">
        <v>0</v>
      </c>
      <c r="I373" s="35">
        <v>0</v>
      </c>
      <c r="J373" s="35">
        <v>0</v>
      </c>
      <c r="K373" s="35">
        <v>0</v>
      </c>
      <c r="L373" s="35">
        <v>0</v>
      </c>
      <c r="M373" s="6"/>
      <c r="N373" s="84" t="s">
        <v>168</v>
      </c>
    </row>
    <row r="374" spans="1:14" x14ac:dyDescent="0.25">
      <c r="A374" t="str">
        <v>EE discontinuity</v>
      </c>
      <c r="C374" s="35">
        <v>0</v>
      </c>
      <c r="D374" s="35">
        <v>0</v>
      </c>
      <c r="E374" s="35">
        <v>0</v>
      </c>
      <c r="F374" s="35">
        <v>0</v>
      </c>
      <c r="G374" s="35">
        <v>0</v>
      </c>
      <c r="H374" s="35">
        <v>0</v>
      </c>
      <c r="I374" s="35">
        <v>0</v>
      </c>
      <c r="J374" s="35">
        <v>0</v>
      </c>
      <c r="K374" s="35">
        <v>0</v>
      </c>
      <c r="L374" s="35">
        <v>0</v>
      </c>
      <c r="M374" s="6"/>
      <c r="N374" s="84" t="s">
        <v>168</v>
      </c>
    </row>
    <row r="375" spans="1:14" x14ac:dyDescent="0.25">
      <c r="A375" t="str">
        <v>CA discontinuity</v>
      </c>
      <c r="C375" s="35">
        <v>0</v>
      </c>
      <c r="D375" s="35">
        <v>0</v>
      </c>
      <c r="E375" s="35">
        <v>0</v>
      </c>
      <c r="F375" s="35">
        <v>0</v>
      </c>
      <c r="G375" s="35">
        <v>0</v>
      </c>
      <c r="H375" s="35">
        <v>0</v>
      </c>
      <c r="I375" s="35">
        <v>0</v>
      </c>
      <c r="J375" s="35">
        <v>0</v>
      </c>
      <c r="K375" s="35">
        <v>0</v>
      </c>
      <c r="L375" s="35">
        <v>0</v>
      </c>
      <c r="M375" s="6"/>
      <c r="N375" s="84" t="s">
        <v>168</v>
      </c>
    </row>
    <row r="376" spans="1:14" x14ac:dyDescent="0.25">
      <c r="A376" t="str">
        <v>IA discontinuity</v>
      </c>
      <c r="C376" s="35">
        <v>0</v>
      </c>
      <c r="D376" s="35">
        <v>0</v>
      </c>
      <c r="E376" s="35">
        <v>0</v>
      </c>
      <c r="F376" s="35">
        <v>0</v>
      </c>
      <c r="G376" s="35">
        <v>0</v>
      </c>
      <c r="H376" s="35">
        <v>0</v>
      </c>
      <c r="I376" s="35">
        <v>0</v>
      </c>
      <c r="J376" s="35">
        <v>0</v>
      </c>
      <c r="K376" s="35">
        <v>0</v>
      </c>
      <c r="L376" s="35">
        <v>0</v>
      </c>
      <c r="M376" s="6"/>
      <c r="N376" s="84" t="s">
        <v>168</v>
      </c>
    </row>
    <row r="377" spans="1:14" x14ac:dyDescent="0.25">
      <c r="A377" t="str">
        <v>AF discontinuity</v>
      </c>
      <c r="C377" s="35">
        <v>0</v>
      </c>
      <c r="D377" s="35">
        <v>0</v>
      </c>
      <c r="E377" s="35">
        <v>0</v>
      </c>
      <c r="F377" s="35">
        <v>0</v>
      </c>
      <c r="G377" s="35">
        <v>0</v>
      </c>
      <c r="H377" s="35">
        <v>0</v>
      </c>
      <c r="I377" s="35">
        <v>0</v>
      </c>
      <c r="J377" s="35">
        <v>0</v>
      </c>
      <c r="K377" s="35">
        <v>0</v>
      </c>
      <c r="L377" s="35">
        <v>0</v>
      </c>
      <c r="M377" s="6"/>
      <c r="N377" s="84" t="s">
        <v>168</v>
      </c>
    </row>
    <row r="378" spans="1:14" x14ac:dyDescent="0.25">
      <c r="A378" t="str">
        <v>LA discontinuity</v>
      </c>
      <c r="C378" s="35">
        <v>0</v>
      </c>
      <c r="D378" s="35">
        <v>0</v>
      </c>
      <c r="E378" s="35">
        <v>0</v>
      </c>
      <c r="F378" s="35">
        <v>0</v>
      </c>
      <c r="G378" s="35">
        <v>0</v>
      </c>
      <c r="H378" s="35">
        <v>0</v>
      </c>
      <c r="I378" s="35">
        <v>0</v>
      </c>
      <c r="J378" s="35">
        <v>0</v>
      </c>
      <c r="K378" s="35">
        <v>0</v>
      </c>
      <c r="L378" s="35">
        <v>0</v>
      </c>
      <c r="M378" s="6"/>
      <c r="N378" s="84" t="s">
        <v>168</v>
      </c>
    </row>
    <row r="379" spans="1:14" s="2" customFormat="1" ht="15" x14ac:dyDescent="0.4">
      <c r="A379" s="2" t="s">
        <v>279</v>
      </c>
      <c r="C379" s="2" t="s">
        <v>307</v>
      </c>
    </row>
    <row r="380" spans="1:14" x14ac:dyDescent="0.25">
      <c r="A380" t="str">
        <f t="array" ref="A380:A387">R_CODE&amp;" discontinuity"</f>
        <v>EU discontinuity</v>
      </c>
      <c r="C380" s="39">
        <f t="array" ref="C380:L387">IF(igdpdis&lt;ISATG,igdpdis,ISATG+(100-SAVE-ISATG)*((igdpdis-ISATG)/((100-SAVE-ISATG)+(igdpdis-ISATG))))</f>
        <v>0</v>
      </c>
      <c r="D380" s="39">
        <v>0</v>
      </c>
      <c r="E380" s="39">
        <v>0</v>
      </c>
      <c r="F380" s="39">
        <v>0</v>
      </c>
      <c r="G380" s="39">
        <v>0</v>
      </c>
      <c r="H380" s="39">
        <v>0</v>
      </c>
      <c r="I380" s="39">
        <v>0</v>
      </c>
      <c r="J380" s="39">
        <v>0</v>
      </c>
      <c r="K380" s="39">
        <v>0</v>
      </c>
      <c r="L380" s="39">
        <v>0</v>
      </c>
      <c r="M380" s="6"/>
      <c r="N380" s="84" t="s">
        <v>168</v>
      </c>
    </row>
    <row r="381" spans="1:14" x14ac:dyDescent="0.25">
      <c r="A381" t="str">
        <v>US discontinuity</v>
      </c>
      <c r="C381" s="35">
        <v>0</v>
      </c>
      <c r="D381" s="35">
        <v>0</v>
      </c>
      <c r="E381" s="35">
        <v>0</v>
      </c>
      <c r="F381" s="35">
        <v>0</v>
      </c>
      <c r="G381" s="35">
        <v>0</v>
      </c>
      <c r="H381" s="35">
        <v>0</v>
      </c>
      <c r="I381" s="35">
        <v>0</v>
      </c>
      <c r="J381" s="35">
        <v>0</v>
      </c>
      <c r="K381" s="35">
        <v>0</v>
      </c>
      <c r="L381" s="35">
        <v>0</v>
      </c>
      <c r="M381" s="6"/>
      <c r="N381" s="84" t="s">
        <v>168</v>
      </c>
    </row>
    <row r="382" spans="1:14" x14ac:dyDescent="0.25">
      <c r="A382" t="str">
        <v>OT discontinuity</v>
      </c>
      <c r="C382" s="35">
        <v>0</v>
      </c>
      <c r="D382" s="35">
        <v>0</v>
      </c>
      <c r="E382" s="35">
        <v>0</v>
      </c>
      <c r="F382" s="35">
        <v>0</v>
      </c>
      <c r="G382" s="35">
        <v>0</v>
      </c>
      <c r="H382" s="35">
        <v>0</v>
      </c>
      <c r="I382" s="35">
        <v>0</v>
      </c>
      <c r="J382" s="35">
        <v>0</v>
      </c>
      <c r="K382" s="35">
        <v>0</v>
      </c>
      <c r="L382" s="35">
        <v>0</v>
      </c>
      <c r="M382" s="6"/>
      <c r="N382" s="84" t="s">
        <v>168</v>
      </c>
    </row>
    <row r="383" spans="1:14" x14ac:dyDescent="0.25">
      <c r="A383" t="str">
        <v>EE discontinuity</v>
      </c>
      <c r="C383" s="35">
        <v>0</v>
      </c>
      <c r="D383" s="35">
        <v>0</v>
      </c>
      <c r="E383" s="35">
        <v>0</v>
      </c>
      <c r="F383" s="35">
        <v>0</v>
      </c>
      <c r="G383" s="35">
        <v>0</v>
      </c>
      <c r="H383" s="35">
        <v>0</v>
      </c>
      <c r="I383" s="35">
        <v>0</v>
      </c>
      <c r="J383" s="35">
        <v>0</v>
      </c>
      <c r="K383" s="35">
        <v>0</v>
      </c>
      <c r="L383" s="35">
        <v>0</v>
      </c>
      <c r="M383" s="6"/>
      <c r="N383" s="84" t="s">
        <v>168</v>
      </c>
    </row>
    <row r="384" spans="1:14" x14ac:dyDescent="0.25">
      <c r="A384" t="str">
        <v>CA discontinuity</v>
      </c>
      <c r="C384" s="35">
        <v>0</v>
      </c>
      <c r="D384" s="35">
        <v>0</v>
      </c>
      <c r="E384" s="35">
        <v>0</v>
      </c>
      <c r="F384" s="35">
        <v>0</v>
      </c>
      <c r="G384" s="35">
        <v>0</v>
      </c>
      <c r="H384" s="35">
        <v>0</v>
      </c>
      <c r="I384" s="35">
        <v>0</v>
      </c>
      <c r="J384" s="35">
        <v>0</v>
      </c>
      <c r="K384" s="35">
        <v>0</v>
      </c>
      <c r="L384" s="35">
        <v>0</v>
      </c>
      <c r="M384" s="6"/>
      <c r="N384" s="84" t="s">
        <v>168</v>
      </c>
    </row>
    <row r="385" spans="1:15" x14ac:dyDescent="0.25">
      <c r="A385" t="str">
        <v>IA discontinuity</v>
      </c>
      <c r="C385" s="35">
        <v>0</v>
      </c>
      <c r="D385" s="35">
        <v>0</v>
      </c>
      <c r="E385" s="35">
        <v>0</v>
      </c>
      <c r="F385" s="35">
        <v>0</v>
      </c>
      <c r="G385" s="35">
        <v>0</v>
      </c>
      <c r="H385" s="35">
        <v>0</v>
      </c>
      <c r="I385" s="35">
        <v>0</v>
      </c>
      <c r="J385" s="35">
        <v>0</v>
      </c>
      <c r="K385" s="35">
        <v>0</v>
      </c>
      <c r="L385" s="35">
        <v>0</v>
      </c>
      <c r="M385" s="6"/>
      <c r="N385" s="84" t="s">
        <v>168</v>
      </c>
    </row>
    <row r="386" spans="1:15" x14ac:dyDescent="0.25">
      <c r="A386" t="str">
        <v>AF discontinuity</v>
      </c>
      <c r="C386" s="35">
        <v>0</v>
      </c>
      <c r="D386" s="35">
        <v>0</v>
      </c>
      <c r="E386" s="35">
        <v>0</v>
      </c>
      <c r="F386" s="35">
        <v>0</v>
      </c>
      <c r="G386" s="35">
        <v>0</v>
      </c>
      <c r="H386" s="35">
        <v>0</v>
      </c>
      <c r="I386" s="35">
        <v>0</v>
      </c>
      <c r="J386" s="35">
        <v>0</v>
      </c>
      <c r="K386" s="35">
        <v>0</v>
      </c>
      <c r="L386" s="35">
        <v>0</v>
      </c>
      <c r="M386" s="6"/>
      <c r="N386" s="84" t="s">
        <v>168</v>
      </c>
    </row>
    <row r="387" spans="1:15" x14ac:dyDescent="0.25">
      <c r="A387" t="str">
        <v>LA discontinuity</v>
      </c>
      <c r="C387" s="35">
        <v>0</v>
      </c>
      <c r="D387" s="35">
        <v>0</v>
      </c>
      <c r="E387" s="35">
        <v>0</v>
      </c>
      <c r="F387" s="35">
        <v>0</v>
      </c>
      <c r="G387" s="35">
        <v>0</v>
      </c>
      <c r="H387" s="35">
        <v>0</v>
      </c>
      <c r="I387" s="35">
        <v>0</v>
      </c>
      <c r="J387" s="35">
        <v>0</v>
      </c>
      <c r="K387" s="35">
        <v>0</v>
      </c>
      <c r="L387" s="35">
        <v>0</v>
      </c>
      <c r="M387" s="6"/>
      <c r="N387" s="84" t="s">
        <v>168</v>
      </c>
    </row>
    <row r="388" spans="1:15" s="2" customFormat="1" ht="15" x14ac:dyDescent="0.4">
      <c r="A388" s="2" t="s">
        <v>280</v>
      </c>
      <c r="C388" s="2" t="s">
        <v>308</v>
      </c>
    </row>
    <row r="389" spans="1:15" x14ac:dyDescent="0.25">
      <c r="A389" t="str">
        <f t="array" ref="A389:A396">R_CODE&amp;" discontinuity"</f>
        <v>EU discontinuity</v>
      </c>
      <c r="C389" s="39">
        <f t="array" ref="C389:L396">(isatdis/100)*rgdp_2_per_cap</f>
        <v>0</v>
      </c>
      <c r="D389" s="39">
        <v>0</v>
      </c>
      <c r="E389" s="39">
        <v>0</v>
      </c>
      <c r="F389" s="39">
        <v>0</v>
      </c>
      <c r="G389" s="39">
        <v>0</v>
      </c>
      <c r="H389" s="39">
        <v>0</v>
      </c>
      <c r="I389" s="39">
        <v>0</v>
      </c>
      <c r="J389" s="39">
        <v>0</v>
      </c>
      <c r="K389" s="39">
        <v>0</v>
      </c>
      <c r="L389" s="39">
        <v>0</v>
      </c>
      <c r="M389" s="6"/>
      <c r="N389" s="1" t="str">
        <f t="shared" ref="N389:N396" si="20">CURRENCY_NAME&amp;"/"&amp;POP_UNIT_NAME</f>
        <v>$million/million</v>
      </c>
      <c r="O389" s="1"/>
    </row>
    <row r="390" spans="1:15" x14ac:dyDescent="0.25">
      <c r="A390" t="str">
        <v>US discontinuity</v>
      </c>
      <c r="C390" s="35">
        <v>0</v>
      </c>
      <c r="D390" s="35">
        <v>0</v>
      </c>
      <c r="E390" s="35">
        <v>0</v>
      </c>
      <c r="F390" s="35">
        <v>0</v>
      </c>
      <c r="G390" s="35">
        <v>0</v>
      </c>
      <c r="H390" s="35">
        <v>0</v>
      </c>
      <c r="I390" s="35">
        <v>0</v>
      </c>
      <c r="J390" s="35">
        <v>0</v>
      </c>
      <c r="K390" s="35">
        <v>0</v>
      </c>
      <c r="L390" s="35">
        <v>0</v>
      </c>
      <c r="M390" s="6"/>
      <c r="N390" s="1" t="str">
        <f t="shared" si="20"/>
        <v>$million/million</v>
      </c>
      <c r="O390" s="1"/>
    </row>
    <row r="391" spans="1:15" x14ac:dyDescent="0.25">
      <c r="A391" t="str">
        <v>OT discontinuity</v>
      </c>
      <c r="C391" s="35">
        <v>0</v>
      </c>
      <c r="D391" s="35">
        <v>0</v>
      </c>
      <c r="E391" s="35">
        <v>0</v>
      </c>
      <c r="F391" s="35">
        <v>0</v>
      </c>
      <c r="G391" s="35">
        <v>0</v>
      </c>
      <c r="H391" s="35">
        <v>0</v>
      </c>
      <c r="I391" s="35">
        <v>0</v>
      </c>
      <c r="J391" s="35">
        <v>0</v>
      </c>
      <c r="K391" s="35">
        <v>0</v>
      </c>
      <c r="L391" s="35">
        <v>0</v>
      </c>
      <c r="M391" s="6"/>
      <c r="N391" s="1" t="str">
        <f t="shared" si="20"/>
        <v>$million/million</v>
      </c>
      <c r="O391" s="1"/>
    </row>
    <row r="392" spans="1:15" x14ac:dyDescent="0.25">
      <c r="A392" t="str">
        <v>EE discontinuity</v>
      </c>
      <c r="C392" s="35">
        <v>0</v>
      </c>
      <c r="D392" s="35">
        <v>0</v>
      </c>
      <c r="E392" s="35">
        <v>0</v>
      </c>
      <c r="F392" s="35">
        <v>0</v>
      </c>
      <c r="G392" s="35">
        <v>0</v>
      </c>
      <c r="H392" s="35">
        <v>0</v>
      </c>
      <c r="I392" s="35">
        <v>0</v>
      </c>
      <c r="J392" s="35">
        <v>0</v>
      </c>
      <c r="K392" s="35">
        <v>0</v>
      </c>
      <c r="L392" s="35">
        <v>0</v>
      </c>
      <c r="M392" s="6"/>
      <c r="N392" s="1" t="str">
        <f t="shared" si="20"/>
        <v>$million/million</v>
      </c>
      <c r="O392" s="1"/>
    </row>
    <row r="393" spans="1:15" x14ac:dyDescent="0.25">
      <c r="A393" t="str">
        <v>CA discontinuity</v>
      </c>
      <c r="C393" s="35">
        <v>0</v>
      </c>
      <c r="D393" s="35">
        <v>0</v>
      </c>
      <c r="E393" s="35">
        <v>0</v>
      </c>
      <c r="F393" s="35">
        <v>0</v>
      </c>
      <c r="G393" s="35">
        <v>0</v>
      </c>
      <c r="H393" s="35">
        <v>0</v>
      </c>
      <c r="I393" s="35">
        <v>0</v>
      </c>
      <c r="J393" s="35">
        <v>0</v>
      </c>
      <c r="K393" s="35">
        <v>0</v>
      </c>
      <c r="L393" s="35">
        <v>0</v>
      </c>
      <c r="M393" s="6"/>
      <c r="N393" s="1" t="str">
        <f t="shared" si="20"/>
        <v>$million/million</v>
      </c>
      <c r="O393" s="1"/>
    </row>
    <row r="394" spans="1:15" x14ac:dyDescent="0.25">
      <c r="A394" t="str">
        <v>IA discontinuity</v>
      </c>
      <c r="C394" s="35">
        <v>0</v>
      </c>
      <c r="D394" s="35">
        <v>0</v>
      </c>
      <c r="E394" s="35">
        <v>0</v>
      </c>
      <c r="F394" s="35">
        <v>0</v>
      </c>
      <c r="G394" s="35">
        <v>0</v>
      </c>
      <c r="H394" s="35">
        <v>0</v>
      </c>
      <c r="I394" s="35">
        <v>0</v>
      </c>
      <c r="J394" s="35">
        <v>0</v>
      </c>
      <c r="K394" s="35">
        <v>0</v>
      </c>
      <c r="L394" s="35">
        <v>0</v>
      </c>
      <c r="M394" s="6"/>
      <c r="N394" s="1" t="str">
        <f t="shared" si="20"/>
        <v>$million/million</v>
      </c>
      <c r="O394" s="1"/>
    </row>
    <row r="395" spans="1:15" x14ac:dyDescent="0.25">
      <c r="A395" t="str">
        <v>AF discontinuity</v>
      </c>
      <c r="C395" s="35">
        <v>0</v>
      </c>
      <c r="D395" s="35">
        <v>0</v>
      </c>
      <c r="E395" s="35">
        <v>0</v>
      </c>
      <c r="F395" s="35">
        <v>0</v>
      </c>
      <c r="G395" s="35">
        <v>0</v>
      </c>
      <c r="H395" s="35">
        <v>0</v>
      </c>
      <c r="I395" s="35">
        <v>0</v>
      </c>
      <c r="J395" s="35">
        <v>0</v>
      </c>
      <c r="K395" s="35">
        <v>0</v>
      </c>
      <c r="L395" s="35">
        <v>0</v>
      </c>
      <c r="M395" s="6"/>
      <c r="N395" s="1" t="str">
        <f t="shared" si="20"/>
        <v>$million/million</v>
      </c>
      <c r="O395" s="1"/>
    </row>
    <row r="396" spans="1:15" x14ac:dyDescent="0.25">
      <c r="A396" t="str">
        <v>LA discontinuity</v>
      </c>
      <c r="C396" s="35">
        <v>0</v>
      </c>
      <c r="D396" s="35">
        <v>0</v>
      </c>
      <c r="E396" s="35">
        <v>0</v>
      </c>
      <c r="F396" s="35">
        <v>0</v>
      </c>
      <c r="G396" s="35">
        <v>0</v>
      </c>
      <c r="H396" s="35">
        <v>0</v>
      </c>
      <c r="I396" s="35">
        <v>0</v>
      </c>
      <c r="J396" s="35">
        <v>0</v>
      </c>
      <c r="K396" s="35">
        <v>0</v>
      </c>
      <c r="L396" s="35">
        <v>0</v>
      </c>
      <c r="M396" s="6"/>
      <c r="N396" s="1" t="str">
        <f t="shared" si="20"/>
        <v>$million/million</v>
      </c>
      <c r="O396" s="1"/>
    </row>
    <row r="397" spans="1:15" s="2" customFormat="1" ht="15" x14ac:dyDescent="0.4">
      <c r="A397" s="2" t="s">
        <v>282</v>
      </c>
      <c r="C397" s="2" t="s">
        <v>310</v>
      </c>
    </row>
    <row r="398" spans="1:15" x14ac:dyDescent="0.25">
      <c r="A398" t="str">
        <f t="array" ref="A398:A405">R_CODE&amp;" discontinuity"</f>
        <v>EU discontinuity</v>
      </c>
      <c r="C398" s="39">
        <f t="array" ref="C398:L405">rcons_2_per_cap-isatdis_per_cap</f>
        <v>18235.493179131096</v>
      </c>
      <c r="D398" s="39">
        <v>21821.132773809048</v>
      </c>
      <c r="E398" s="39">
        <v>25580.757273140389</v>
      </c>
      <c r="F398" s="39">
        <v>29192.146896597955</v>
      </c>
      <c r="G398" s="39">
        <v>32886.160752873679</v>
      </c>
      <c r="H398" s="39">
        <v>37034.342783797503</v>
      </c>
      <c r="I398" s="39">
        <v>46642.120330798134</v>
      </c>
      <c r="J398" s="39">
        <v>58377.456978156421</v>
      </c>
      <c r="K398" s="39">
        <v>181964.91174243065</v>
      </c>
      <c r="L398" s="39">
        <v>255761.09541785147</v>
      </c>
      <c r="M398" s="6"/>
      <c r="N398" s="1" t="str">
        <f t="shared" ref="N398:N405" si="21">CURRENCY_NAME&amp;"/"&amp;POP_UNIT_NAME</f>
        <v>$million/million</v>
      </c>
      <c r="O398" s="1"/>
    </row>
    <row r="399" spans="1:15" x14ac:dyDescent="0.25">
      <c r="A399" t="str">
        <v>US discontinuity</v>
      </c>
      <c r="C399" s="35">
        <v>33421.563664267233</v>
      </c>
      <c r="D399" s="35">
        <v>37831.540278923159</v>
      </c>
      <c r="E399" s="35">
        <v>41918.490873905983</v>
      </c>
      <c r="F399" s="35">
        <v>46619.10468603437</v>
      </c>
      <c r="G399" s="35">
        <v>51273.158443235639</v>
      </c>
      <c r="H399" s="35">
        <v>56789.005797285819</v>
      </c>
      <c r="I399" s="35">
        <v>70261.472347361938</v>
      </c>
      <c r="J399" s="35">
        <v>87652.535453678211</v>
      </c>
      <c r="K399" s="35">
        <v>244163.34910427287</v>
      </c>
      <c r="L399" s="35">
        <v>343619.64681798394</v>
      </c>
      <c r="M399" s="6"/>
      <c r="N399" s="1" t="str">
        <f t="shared" si="21"/>
        <v>$million/million</v>
      </c>
      <c r="O399" s="1"/>
    </row>
    <row r="400" spans="1:15" x14ac:dyDescent="0.25">
      <c r="A400" t="str">
        <v>OT discontinuity</v>
      </c>
      <c r="C400" s="35">
        <v>18726.862383455154</v>
      </c>
      <c r="D400" s="35">
        <v>24205.598856096392</v>
      </c>
      <c r="E400" s="35">
        <v>31493.248193100502</v>
      </c>
      <c r="F400" s="35">
        <v>40817.259628748201</v>
      </c>
      <c r="G400" s="35">
        <v>51935.893742219443</v>
      </c>
      <c r="H400" s="35">
        <v>65423.546451187452</v>
      </c>
      <c r="I400" s="35">
        <v>97723.98945171987</v>
      </c>
      <c r="J400" s="35">
        <v>139151.16186073128</v>
      </c>
      <c r="K400" s="35">
        <v>423344.11866052792</v>
      </c>
      <c r="L400" s="35">
        <v>595410.56817157927</v>
      </c>
      <c r="M400" s="6"/>
      <c r="N400" s="1" t="str">
        <f t="shared" si="21"/>
        <v>$million/million</v>
      </c>
      <c r="O400" s="1"/>
    </row>
    <row r="401" spans="1:15" x14ac:dyDescent="0.25">
      <c r="A401" t="str">
        <v>EE discontinuity</v>
      </c>
      <c r="C401" s="35">
        <v>2498.5574997805988</v>
      </c>
      <c r="D401" s="35">
        <v>3235.0962199427818</v>
      </c>
      <c r="E401" s="35">
        <v>4218.6429615741272</v>
      </c>
      <c r="F401" s="35">
        <v>5477.1087106664645</v>
      </c>
      <c r="G401" s="35">
        <v>6979.5436574535506</v>
      </c>
      <c r="H401" s="35">
        <v>8802.3666046737799</v>
      </c>
      <c r="I401" s="35">
        <v>13174.084762065151</v>
      </c>
      <c r="J401" s="35">
        <v>18761.461236514861</v>
      </c>
      <c r="K401" s="35">
        <v>57087.402175246505</v>
      </c>
      <c r="L401" s="35">
        <v>80442.394906255839</v>
      </c>
      <c r="M401" s="6"/>
      <c r="N401" s="1" t="str">
        <f t="shared" si="21"/>
        <v>$million/million</v>
      </c>
      <c r="O401" s="1"/>
    </row>
    <row r="402" spans="1:15" x14ac:dyDescent="0.25">
      <c r="A402" t="str">
        <v>CA discontinuity</v>
      </c>
      <c r="C402" s="35">
        <v>2297.5049167973011</v>
      </c>
      <c r="D402" s="35">
        <v>2976.4915463404254</v>
      </c>
      <c r="E402" s="35">
        <v>3890.5569897753567</v>
      </c>
      <c r="F402" s="35">
        <v>5073.6534040099732</v>
      </c>
      <c r="G402" s="35">
        <v>6442.8436359793213</v>
      </c>
      <c r="H402" s="35">
        <v>8103.4338514433521</v>
      </c>
      <c r="I402" s="35">
        <v>12116.575042958364</v>
      </c>
      <c r="J402" s="35">
        <v>17310.355916539334</v>
      </c>
      <c r="K402" s="35">
        <v>52674.391312273052</v>
      </c>
      <c r="L402" s="35">
        <v>74052.146798695103</v>
      </c>
      <c r="M402" s="6"/>
      <c r="N402" s="1" t="str">
        <f t="shared" si="21"/>
        <v>$million/million</v>
      </c>
      <c r="O402" s="1"/>
    </row>
    <row r="403" spans="1:15" x14ac:dyDescent="0.25">
      <c r="A403" t="str">
        <v>IA discontinuity</v>
      </c>
      <c r="C403" s="35">
        <v>1244.2372212501532</v>
      </c>
      <c r="D403" s="35">
        <v>1612.3331893983261</v>
      </c>
      <c r="E403" s="35">
        <v>2107.6638265477882</v>
      </c>
      <c r="F403" s="35">
        <v>2758.2184923566228</v>
      </c>
      <c r="G403" s="35">
        <v>3476.6795665810509</v>
      </c>
      <c r="H403" s="35">
        <v>4349.2530063821796</v>
      </c>
      <c r="I403" s="35">
        <v>6464.1229825259115</v>
      </c>
      <c r="J403" s="35">
        <v>9259.4643632364387</v>
      </c>
      <c r="K403" s="35">
        <v>28261.029365129536</v>
      </c>
      <c r="L403" s="35">
        <v>39648.315848412334</v>
      </c>
      <c r="M403" s="6"/>
      <c r="N403" s="1" t="str">
        <f t="shared" si="21"/>
        <v>$million/million</v>
      </c>
      <c r="O403" s="1"/>
    </row>
    <row r="404" spans="1:15" x14ac:dyDescent="0.25">
      <c r="A404" t="str">
        <v>AF discontinuity</v>
      </c>
      <c r="C404" s="35">
        <v>2181.6755528704693</v>
      </c>
      <c r="D404" s="35">
        <v>2825.0291271106335</v>
      </c>
      <c r="E404" s="35">
        <v>3691.013600148035</v>
      </c>
      <c r="F404" s="35">
        <v>4826.7298300409702</v>
      </c>
      <c r="G404" s="35">
        <v>6096.0667951568821</v>
      </c>
      <c r="H404" s="35">
        <v>7630.9174913747793</v>
      </c>
      <c r="I404" s="35">
        <v>11379.550551401579</v>
      </c>
      <c r="J404" s="35">
        <v>16333.191174550966</v>
      </c>
      <c r="K404" s="35">
        <v>49939.801513314269</v>
      </c>
      <c r="L404" s="35">
        <v>70262.921216992152</v>
      </c>
      <c r="M404" s="6"/>
      <c r="N404" s="1" t="str">
        <f t="shared" si="21"/>
        <v>$million/million</v>
      </c>
      <c r="O404" s="1"/>
    </row>
    <row r="405" spans="1:15" x14ac:dyDescent="0.25">
      <c r="A405" t="str">
        <v>LA discontinuity</v>
      </c>
      <c r="C405" s="35">
        <v>3990.9367376347045</v>
      </c>
      <c r="D405" s="35">
        <v>5165.913974844656</v>
      </c>
      <c r="E405" s="35">
        <v>6746.5486868685866</v>
      </c>
      <c r="F405" s="35">
        <v>8806.7698723151698</v>
      </c>
      <c r="G405" s="35">
        <v>11179.501700716015</v>
      </c>
      <c r="H405" s="35">
        <v>14045.032488680334</v>
      </c>
      <c r="I405" s="35">
        <v>20977.372126367467</v>
      </c>
      <c r="J405" s="35">
        <v>29961.813704461885</v>
      </c>
      <c r="K405" s="35">
        <v>91299.766220016652</v>
      </c>
      <c r="L405" s="35">
        <v>128514.39235447829</v>
      </c>
      <c r="M405" s="6"/>
      <c r="N405" s="1" t="str">
        <f t="shared" si="21"/>
        <v>$million/million</v>
      </c>
      <c r="O405" s="1"/>
    </row>
    <row r="406" spans="1:15" s="2" customFormat="1" ht="15" x14ac:dyDescent="0.4">
      <c r="A406" s="2" t="s">
        <v>284</v>
      </c>
      <c r="C406" s="2" t="s">
        <v>309</v>
      </c>
    </row>
    <row r="407" spans="1:15" x14ac:dyDescent="0.25">
      <c r="A407" t="str">
        <f t="array" ref="A407:A414">R_CODE&amp;" discontinuity"</f>
        <v>EU discontinuity</v>
      </c>
      <c r="C407" s="39">
        <f t="array" ref="C407:L414" xml:space="preserve"> rconsdis_per_cap/(1-SAVE/100)</f>
        <v>21453.521387213055</v>
      </c>
      <c r="D407" s="39">
        <v>25671.920910363588</v>
      </c>
      <c r="E407" s="39">
        <v>30095.008556635752</v>
      </c>
      <c r="F407" s="39">
        <v>34343.702231291711</v>
      </c>
      <c r="G407" s="39">
        <v>38689.600885733744</v>
      </c>
      <c r="H407" s="39">
        <v>43569.815039761772</v>
      </c>
      <c r="I407" s="39">
        <v>54873.082742115454</v>
      </c>
      <c r="J407" s="39">
        <v>68679.361150772267</v>
      </c>
      <c r="K407" s="39">
        <v>214076.36675580076</v>
      </c>
      <c r="L407" s="39">
        <v>300895.40637394291</v>
      </c>
      <c r="M407" s="6"/>
      <c r="N407" s="1" t="str">
        <f t="shared" ref="N407:N414" si="22">CURRENCY_NAME&amp;"/"&amp;POP_UNIT_NAME</f>
        <v>$million/million</v>
      </c>
      <c r="O407" s="1"/>
    </row>
    <row r="408" spans="1:15" x14ac:dyDescent="0.25">
      <c r="A408" t="str">
        <v>US discontinuity</v>
      </c>
      <c r="C408" s="35">
        <v>39319.486663843803</v>
      </c>
      <c r="D408" s="35">
        <v>44507.694445791953</v>
      </c>
      <c r="E408" s="35">
        <v>49315.871616359982</v>
      </c>
      <c r="F408" s="35">
        <v>54846.00551298161</v>
      </c>
      <c r="G408" s="35">
        <v>60321.362874394872</v>
      </c>
      <c r="H408" s="35">
        <v>66810.595055630372</v>
      </c>
      <c r="I408" s="35">
        <v>82660.555702778758</v>
      </c>
      <c r="J408" s="35">
        <v>103120.62994550378</v>
      </c>
      <c r="K408" s="35">
        <v>287250.99894620338</v>
      </c>
      <c r="L408" s="35">
        <v>404258.40802115761</v>
      </c>
      <c r="M408" s="6"/>
      <c r="N408" s="1" t="str">
        <f t="shared" si="22"/>
        <v>$million/million</v>
      </c>
      <c r="O408" s="1"/>
    </row>
    <row r="409" spans="1:15" x14ac:dyDescent="0.25">
      <c r="A409" t="str">
        <v>OT discontinuity</v>
      </c>
      <c r="C409" s="35">
        <v>22031.602804064889</v>
      </c>
      <c r="D409" s="35">
        <v>28477.175124819285</v>
      </c>
      <c r="E409" s="35">
        <v>37050.880227177062</v>
      </c>
      <c r="F409" s="35">
        <v>48020.30544558612</v>
      </c>
      <c r="G409" s="35">
        <v>61101.051461434639</v>
      </c>
      <c r="H409" s="35">
        <v>76968.878177867591</v>
      </c>
      <c r="I409" s="35">
        <v>114969.39935496455</v>
      </c>
      <c r="J409" s="35">
        <v>163707.24924791916</v>
      </c>
      <c r="K409" s="35">
        <v>498051.90430650348</v>
      </c>
      <c r="L409" s="35">
        <v>700483.02137832856</v>
      </c>
      <c r="M409" s="6"/>
      <c r="N409" s="1" t="str">
        <f t="shared" si="22"/>
        <v>$million/million</v>
      </c>
      <c r="O409" s="1"/>
    </row>
    <row r="410" spans="1:15" x14ac:dyDescent="0.25">
      <c r="A410" t="str">
        <v>EE discontinuity</v>
      </c>
      <c r="C410" s="35">
        <v>2939.479411506587</v>
      </c>
      <c r="D410" s="35">
        <v>3805.995552873861</v>
      </c>
      <c r="E410" s="35">
        <v>4963.1093665577964</v>
      </c>
      <c r="F410" s="35">
        <v>6443.6573066664287</v>
      </c>
      <c r="G410" s="35">
        <v>8211.2278322982947</v>
      </c>
      <c r="H410" s="35">
        <v>10355.725417263271</v>
      </c>
      <c r="I410" s="35">
        <v>15498.923249488413</v>
      </c>
      <c r="J410" s="35">
        <v>22072.307337076309</v>
      </c>
      <c r="K410" s="35">
        <v>67161.649617937073</v>
      </c>
      <c r="L410" s="35">
        <v>94638.111654418637</v>
      </c>
      <c r="M410" s="6"/>
      <c r="N410" s="1" t="str">
        <f t="shared" si="22"/>
        <v>$million/million</v>
      </c>
      <c r="O410" s="1"/>
    </row>
    <row r="411" spans="1:15" x14ac:dyDescent="0.25">
      <c r="A411" t="str">
        <v>CA discontinuity</v>
      </c>
      <c r="C411" s="35">
        <v>2702.9469609380012</v>
      </c>
      <c r="D411" s="35">
        <v>3501.7547604005008</v>
      </c>
      <c r="E411" s="35">
        <v>4577.1258703239491</v>
      </c>
      <c r="F411" s="35">
        <v>5969.0040047176153</v>
      </c>
      <c r="G411" s="35">
        <v>7579.8160423286135</v>
      </c>
      <c r="H411" s="35">
        <v>9533.4515899333564</v>
      </c>
      <c r="I411" s="35">
        <v>14254.79416818631</v>
      </c>
      <c r="J411" s="35">
        <v>20365.124607693335</v>
      </c>
      <c r="K411" s="35">
        <v>61969.872132085948</v>
      </c>
      <c r="L411" s="35">
        <v>87120.172704347176</v>
      </c>
      <c r="M411" s="6"/>
      <c r="N411" s="1" t="str">
        <f t="shared" si="22"/>
        <v>$million/million</v>
      </c>
      <c r="O411" s="1"/>
    </row>
    <row r="412" spans="1:15" x14ac:dyDescent="0.25">
      <c r="A412" t="str">
        <v>IA discontinuity</v>
      </c>
      <c r="C412" s="35">
        <v>1463.8084955884156</v>
      </c>
      <c r="D412" s="35">
        <v>1896.8625757627367</v>
      </c>
      <c r="E412" s="35">
        <v>2479.6045018209275</v>
      </c>
      <c r="F412" s="35">
        <v>3244.9629321842622</v>
      </c>
      <c r="G412" s="35">
        <v>4090.2112548012365</v>
      </c>
      <c r="H412" s="35">
        <v>5116.7682428025646</v>
      </c>
      <c r="I412" s="35">
        <v>7604.850567677543</v>
      </c>
      <c r="J412" s="35">
        <v>10893.487486160517</v>
      </c>
      <c r="K412" s="35">
        <v>33248.269841328867</v>
      </c>
      <c r="L412" s="35">
        <v>46645.077468720396</v>
      </c>
      <c r="M412" s="6"/>
      <c r="N412" s="1" t="str">
        <f t="shared" si="22"/>
        <v>$million/million</v>
      </c>
      <c r="O412" s="1"/>
    </row>
    <row r="413" spans="1:15" x14ac:dyDescent="0.25">
      <c r="A413" t="str">
        <v>AF discontinuity</v>
      </c>
      <c r="C413" s="35">
        <v>2566.6771210240818</v>
      </c>
      <c r="D413" s="35">
        <v>3323.5636789536866</v>
      </c>
      <c r="E413" s="35">
        <v>4342.3689413506299</v>
      </c>
      <c r="F413" s="35">
        <v>5678.5056824011417</v>
      </c>
      <c r="G413" s="35">
        <v>7171.8432884198619</v>
      </c>
      <c r="H413" s="35">
        <v>8977.5499898526814</v>
      </c>
      <c r="I413" s="35">
        <v>13387.706531060681</v>
      </c>
      <c r="J413" s="35">
        <v>19215.519028883489</v>
      </c>
      <c r="K413" s="35">
        <v>58752.707662722671</v>
      </c>
      <c r="L413" s="35">
        <v>82662.260255284884</v>
      </c>
      <c r="M413" s="6"/>
      <c r="N413" s="1" t="str">
        <f t="shared" si="22"/>
        <v>$million/million</v>
      </c>
      <c r="O413" s="1"/>
    </row>
    <row r="414" spans="1:15" x14ac:dyDescent="0.25">
      <c r="A414" t="str">
        <v>LA discontinuity</v>
      </c>
      <c r="C414" s="35">
        <v>4695.2196913349462</v>
      </c>
      <c r="D414" s="35">
        <v>6077.5458527584187</v>
      </c>
      <c r="E414" s="35">
        <v>7937.1161021983371</v>
      </c>
      <c r="F414" s="35">
        <v>10360.905732135494</v>
      </c>
      <c r="G414" s="35">
        <v>13152.354942018841</v>
      </c>
      <c r="H414" s="35">
        <v>16523.567633741568</v>
      </c>
      <c r="I414" s="35">
        <v>24679.261325138195</v>
      </c>
      <c r="J414" s="35">
        <v>35249.192593484571</v>
      </c>
      <c r="K414" s="35">
        <v>107411.48967060783</v>
      </c>
      <c r="L414" s="35">
        <v>151193.40276997446</v>
      </c>
      <c r="M414" s="6"/>
      <c r="N414" s="1" t="str">
        <f t="shared" si="22"/>
        <v>$million/million</v>
      </c>
      <c r="O414" s="1"/>
    </row>
    <row r="415" spans="1:15" ht="15" x14ac:dyDescent="0.4">
      <c r="A415" s="2" t="s">
        <v>150</v>
      </c>
      <c r="B415" s="2"/>
      <c r="C415" s="73" t="s">
        <v>311</v>
      </c>
      <c r="D415" s="58"/>
      <c r="E415" s="58"/>
      <c r="F415" s="58"/>
      <c r="G415" s="58"/>
      <c r="H415" s="58"/>
      <c r="I415" s="58"/>
      <c r="J415" s="58"/>
      <c r="K415" s="58"/>
      <c r="L415" s="58"/>
      <c r="M415" s="1"/>
      <c r="N415" s="1"/>
    </row>
    <row r="416" spans="1:15" x14ac:dyDescent="0.25">
      <c r="A416" s="1" t="str">
        <f t="array" ref="A416:A423">R_CODE&amp;" total"</f>
        <v>EU total</v>
      </c>
      <c r="C416" s="38">
        <f t="array" ref="C416:L423" xml:space="preserve"> (((CONS_PER_CAP_FOCUS_0)^EMUC)/(1-EMUC))*( (cons_per_cap_after_costs)^(1-EMUC) - (rconsdis_per_cap) ^(1-EMUC))*POP</f>
        <v>14695.855808884902</v>
      </c>
      <c r="D416" s="38">
        <v>475.37693870886619</v>
      </c>
      <c r="E416" s="38">
        <v>10470.229907276629</v>
      </c>
      <c r="F416" s="38">
        <v>39322.16375204338</v>
      </c>
      <c r="G416" s="38">
        <v>73015.226782343132</v>
      </c>
      <c r="H416" s="38">
        <v>109745.76693999767</v>
      </c>
      <c r="I416" s="38">
        <v>210431.57960621166</v>
      </c>
      <c r="J416" s="38">
        <v>340406.523666978</v>
      </c>
      <c r="K416" s="38">
        <v>1474988.533449057</v>
      </c>
      <c r="L416" s="38">
        <v>2938665.8876091004</v>
      </c>
      <c r="M416" s="1"/>
      <c r="N416" s="1" t="str">
        <f t="array" ref="N416:N424">CURRENCY_NAME</f>
        <v>$million</v>
      </c>
    </row>
    <row r="417" spans="1:14" x14ac:dyDescent="0.25">
      <c r="A417" s="1" t="str">
        <v>US total</v>
      </c>
      <c r="C417" s="38">
        <v>10918.790888044741</v>
      </c>
      <c r="D417" s="38">
        <v>3859.6750350584293</v>
      </c>
      <c r="E417" s="38">
        <v>17795.993490107714</v>
      </c>
      <c r="F417" s="38">
        <v>50760.336334963089</v>
      </c>
      <c r="G417" s="38">
        <v>91984.293999460715</v>
      </c>
      <c r="H417" s="38">
        <v>140981.21545149569</v>
      </c>
      <c r="I417" s="38">
        <v>278020.18073863065</v>
      </c>
      <c r="J417" s="38">
        <v>454735.4958417305</v>
      </c>
      <c r="K417" s="38">
        <v>1885020.0954774604</v>
      </c>
      <c r="L417" s="38">
        <v>3621114.6790857022</v>
      </c>
      <c r="M417" s="1"/>
      <c r="N417" s="1" t="str">
        <v>$million</v>
      </c>
    </row>
    <row r="418" spans="1:14" x14ac:dyDescent="0.25">
      <c r="A418" s="1" t="str">
        <v>OT total</v>
      </c>
      <c r="C418" s="38">
        <v>9026.8147352442884</v>
      </c>
      <c r="D418" s="38">
        <v>11324.574704747833</v>
      </c>
      <c r="E418" s="38">
        <v>34008.839989111701</v>
      </c>
      <c r="F418" s="38">
        <v>82862.933098285226</v>
      </c>
      <c r="G418" s="38">
        <v>157003.93286825306</v>
      </c>
      <c r="H418" s="38">
        <v>259356.03732003699</v>
      </c>
      <c r="I418" s="38">
        <v>538753.96763471072</v>
      </c>
      <c r="J418" s="38">
        <v>887263.65968733141</v>
      </c>
      <c r="K418" s="38">
        <v>3271002.0626720525</v>
      </c>
      <c r="L418" s="38">
        <v>5807071.4238344794</v>
      </c>
      <c r="M418" s="1"/>
      <c r="N418" s="1" t="str">
        <v>$million</v>
      </c>
    </row>
    <row r="419" spans="1:14" x14ac:dyDescent="0.25">
      <c r="A419" s="1" t="str">
        <v>EE total</v>
      </c>
      <c r="C419" s="38">
        <v>2578.6493447072075</v>
      </c>
      <c r="D419" s="38">
        <v>798.70919966701877</v>
      </c>
      <c r="E419" s="38">
        <v>3308.7906163492712</v>
      </c>
      <c r="F419" s="38">
        <v>11903.263246897714</v>
      </c>
      <c r="G419" s="38">
        <v>26580.068451112609</v>
      </c>
      <c r="H419" s="38">
        <v>47591.356271864708</v>
      </c>
      <c r="I419" s="38">
        <v>112063.88197869917</v>
      </c>
      <c r="J419" s="38">
        <v>200725.44086641795</v>
      </c>
      <c r="K419" s="38">
        <v>807066.61060645944</v>
      </c>
      <c r="L419" s="38">
        <v>1464515.2279262312</v>
      </c>
      <c r="M419" s="1"/>
      <c r="N419" s="1" t="str">
        <v>$million</v>
      </c>
    </row>
    <row r="420" spans="1:14" x14ac:dyDescent="0.25">
      <c r="A420" s="1" t="str">
        <v>CA total</v>
      </c>
      <c r="C420" s="38">
        <v>17984.64586367863</v>
      </c>
      <c r="D420" s="38">
        <v>17303.973197692121</v>
      </c>
      <c r="E420" s="38">
        <v>12505.850844060418</v>
      </c>
      <c r="F420" s="38">
        <v>25624.087233951897</v>
      </c>
      <c r="G420" s="38">
        <v>39310.857198734666</v>
      </c>
      <c r="H420" s="38">
        <v>55813.434240001865</v>
      </c>
      <c r="I420" s="38">
        <v>119138.63501578481</v>
      </c>
      <c r="J420" s="38">
        <v>259493.82507163467</v>
      </c>
      <c r="K420" s="38">
        <v>1569427.0900724484</v>
      </c>
      <c r="L420" s="38">
        <v>3170029.8189561265</v>
      </c>
      <c r="M420" s="1"/>
      <c r="N420" s="1" t="str">
        <v>$million</v>
      </c>
    </row>
    <row r="421" spans="1:14" x14ac:dyDescent="0.25">
      <c r="A421" s="1" t="str">
        <v>IA total</v>
      </c>
      <c r="C421" s="38">
        <v>15512.541062431657</v>
      </c>
      <c r="D421" s="38">
        <v>14239.477048794159</v>
      </c>
      <c r="E421" s="38">
        <v>9655.8113138665267</v>
      </c>
      <c r="F421" s="38">
        <v>26011.111696040789</v>
      </c>
      <c r="G421" s="38">
        <v>50833.752389661924</v>
      </c>
      <c r="H421" s="38">
        <v>90418.623170662599</v>
      </c>
      <c r="I421" s="38">
        <v>232519.55854208546</v>
      </c>
      <c r="J421" s="38">
        <v>456089.60293803673</v>
      </c>
      <c r="K421" s="38">
        <v>2113617.3306111963</v>
      </c>
      <c r="L421" s="38">
        <v>3992349.6631268705</v>
      </c>
      <c r="M421" s="1"/>
      <c r="N421" s="1" t="str">
        <v>$million</v>
      </c>
    </row>
    <row r="422" spans="1:14" x14ac:dyDescent="0.25">
      <c r="A422" s="1" t="str">
        <v>AF total</v>
      </c>
      <c r="C422" s="38">
        <v>7084.3874263090484</v>
      </c>
      <c r="D422" s="38">
        <v>7119.7906628717301</v>
      </c>
      <c r="E422" s="38">
        <v>5602.6634987389798</v>
      </c>
      <c r="F422" s="38">
        <v>13342.379666442615</v>
      </c>
      <c r="G422" s="38">
        <v>23685.175244931466</v>
      </c>
      <c r="H422" s="38">
        <v>38641.957767465676</v>
      </c>
      <c r="I422" s="38">
        <v>94043.073097523244</v>
      </c>
      <c r="J422" s="38">
        <v>190675.96213039357</v>
      </c>
      <c r="K422" s="38">
        <v>921949.23423760722</v>
      </c>
      <c r="L422" s="38">
        <v>1766537.9358459122</v>
      </c>
      <c r="M422" s="1"/>
      <c r="N422" s="1" t="str">
        <v>$million</v>
      </c>
    </row>
    <row r="423" spans="1:14" x14ac:dyDescent="0.25">
      <c r="A423" s="1" t="str">
        <v>LA total</v>
      </c>
      <c r="C423" s="38">
        <v>7246.5673243727251</v>
      </c>
      <c r="D423" s="38">
        <v>8072.9234265756895</v>
      </c>
      <c r="E423" s="38">
        <v>8269.5023322015513</v>
      </c>
      <c r="F423" s="38">
        <v>17813.078246502526</v>
      </c>
      <c r="G423" s="38">
        <v>32188.486734773753</v>
      </c>
      <c r="H423" s="38">
        <v>53187.505558337609</v>
      </c>
      <c r="I423" s="38">
        <v>125213.64086786084</v>
      </c>
      <c r="J423" s="38">
        <v>243040.43906556236</v>
      </c>
      <c r="K423" s="38">
        <v>1100262.338496</v>
      </c>
      <c r="L423" s="38">
        <v>2057372.7870679949</v>
      </c>
      <c r="M423" s="1"/>
      <c r="N423" s="1" t="str">
        <v>$million</v>
      </c>
    </row>
    <row r="424" spans="1:14" ht="13" x14ac:dyDescent="0.3">
      <c r="A424" s="2" t="s">
        <v>313</v>
      </c>
      <c r="B424" s="2"/>
      <c r="C424" s="54">
        <f>SUM(C416:C423)</f>
        <v>85048.252453673209</v>
      </c>
      <c r="D424" s="54">
        <f t="shared" ref="D424:L424" si="23">SUM(D416:D423)</f>
        <v>63194.50021411584</v>
      </c>
      <c r="E424" s="54">
        <f t="shared" si="23"/>
        <v>101617.68199171279</v>
      </c>
      <c r="F424" s="54">
        <f t="shared" si="23"/>
        <v>267639.35327512724</v>
      </c>
      <c r="G424" s="54">
        <f t="shared" si="23"/>
        <v>494601.79366927128</v>
      </c>
      <c r="H424" s="54">
        <f t="shared" si="23"/>
        <v>795735.89671986271</v>
      </c>
      <c r="I424" s="54">
        <f t="shared" si="23"/>
        <v>1710184.5174815066</v>
      </c>
      <c r="J424" s="54">
        <f t="shared" si="23"/>
        <v>3032430.9492680854</v>
      </c>
      <c r="K424" s="54">
        <f t="shared" si="23"/>
        <v>13143333.295622282</v>
      </c>
      <c r="L424" s="54">
        <f t="shared" si="23"/>
        <v>24817657.423452418</v>
      </c>
      <c r="M424" s="1"/>
      <c r="N424" s="1" t="str">
        <v>$million</v>
      </c>
    </row>
    <row r="425" spans="1:14" ht="15" x14ac:dyDescent="0.4">
      <c r="A425" s="2" t="s">
        <v>117</v>
      </c>
      <c r="B425" s="2"/>
      <c r="C425" s="73" t="s">
        <v>312</v>
      </c>
      <c r="D425" s="58"/>
      <c r="E425" s="58"/>
      <c r="F425" s="58"/>
      <c r="G425" s="58"/>
      <c r="H425" s="58"/>
      <c r="I425" s="58"/>
      <c r="J425" s="58"/>
      <c r="K425" s="58"/>
      <c r="L425" s="58"/>
      <c r="M425" s="1"/>
      <c r="N425" s="1"/>
    </row>
    <row r="426" spans="1:14" x14ac:dyDescent="0.25">
      <c r="A426" s="1" t="str">
        <f t="array" ref="A426:A433">R_CODE&amp;" total"</f>
        <v>EU total</v>
      </c>
      <c r="C426" s="38">
        <f t="array" ref="C426:L433">wit*DF</f>
        <v>10935.096881590947</v>
      </c>
      <c r="D426" s="38">
        <v>263.20468506242264</v>
      </c>
      <c r="E426" s="38">
        <v>4313.5960908854331</v>
      </c>
      <c r="F426" s="38">
        <v>12054.478292216721</v>
      </c>
      <c r="G426" s="38">
        <v>16655.290161506928</v>
      </c>
      <c r="H426" s="38">
        <v>18627.488138947425</v>
      </c>
      <c r="I426" s="38">
        <v>19775.748889650033</v>
      </c>
      <c r="J426" s="38">
        <v>17712.318129930311</v>
      </c>
      <c r="K426" s="38">
        <v>3993.4081790160021</v>
      </c>
      <c r="L426" s="38">
        <v>413.98327900695659</v>
      </c>
      <c r="M426" s="1"/>
      <c r="N426" s="1" t="str">
        <f t="array" ref="N426:N434">CURRENCY_NAME</f>
        <v>$million</v>
      </c>
    </row>
    <row r="427" spans="1:14" x14ac:dyDescent="0.25">
      <c r="A427" s="1" t="str">
        <v>US total</v>
      </c>
      <c r="C427" s="38">
        <v>8124.6058578239017</v>
      </c>
      <c r="D427" s="38">
        <v>2137.0084859501449</v>
      </c>
      <c r="E427" s="38">
        <v>7331.713690355652</v>
      </c>
      <c r="F427" s="38">
        <v>15560.928343462161</v>
      </c>
      <c r="G427" s="38">
        <v>20982.268690739173</v>
      </c>
      <c r="H427" s="38">
        <v>23929.177332852698</v>
      </c>
      <c r="I427" s="38">
        <v>26127.529389034633</v>
      </c>
      <c r="J427" s="38">
        <v>23661.179229338228</v>
      </c>
      <c r="K427" s="38">
        <v>5103.5343639498233</v>
      </c>
      <c r="L427" s="38">
        <v>510.12295573614023</v>
      </c>
      <c r="M427" s="1"/>
      <c r="N427" s="1" t="str">
        <v>$million</v>
      </c>
    </row>
    <row r="428" spans="1:14" x14ac:dyDescent="0.25">
      <c r="A428" s="1" t="str">
        <v>OT total</v>
      </c>
      <c r="C428" s="38">
        <v>6716.7979153953684</v>
      </c>
      <c r="D428" s="38">
        <v>6270.1424404907475</v>
      </c>
      <c r="E428" s="38">
        <v>14011.19178200912</v>
      </c>
      <c r="F428" s="38">
        <v>25402.198987861633</v>
      </c>
      <c r="G428" s="38">
        <v>35813.70864208378</v>
      </c>
      <c r="H428" s="38">
        <v>44021.301628743226</v>
      </c>
      <c r="I428" s="38">
        <v>50630.533673626327</v>
      </c>
      <c r="J428" s="38">
        <v>46166.84790942142</v>
      </c>
      <c r="K428" s="38">
        <v>8855.964703744552</v>
      </c>
      <c r="L428" s="38">
        <v>818.06866156618912</v>
      </c>
      <c r="M428" s="1"/>
      <c r="N428" s="1" t="str">
        <v>$million</v>
      </c>
    </row>
    <row r="429" spans="1:14" x14ac:dyDescent="0.25">
      <c r="A429" s="1" t="str">
        <v>EE total</v>
      </c>
      <c r="C429" s="38">
        <v>1918.7572860490609</v>
      </c>
      <c r="D429" s="38">
        <v>442.22591850120062</v>
      </c>
      <c r="E429" s="38">
        <v>1363.1779239463765</v>
      </c>
      <c r="F429" s="38">
        <v>3649.0267758679297</v>
      </c>
      <c r="G429" s="38">
        <v>6063.1017949950665</v>
      </c>
      <c r="H429" s="38">
        <v>8077.8279580958178</v>
      </c>
      <c r="I429" s="38">
        <v>10531.438264909144</v>
      </c>
      <c r="J429" s="38">
        <v>10444.314718464959</v>
      </c>
      <c r="K429" s="38">
        <v>2185.0653959120232</v>
      </c>
      <c r="L429" s="38">
        <v>206.31294587415488</v>
      </c>
      <c r="M429" s="1"/>
      <c r="N429" s="1" t="str">
        <v>$million</v>
      </c>
    </row>
    <row r="430" spans="1:14" x14ac:dyDescent="0.25">
      <c r="A430" s="1" t="str">
        <v>CA total</v>
      </c>
      <c r="C430" s="38">
        <v>13382.265548735826</v>
      </c>
      <c r="D430" s="38">
        <v>9580.790410652311</v>
      </c>
      <c r="E430" s="38">
        <v>5152.2449642337206</v>
      </c>
      <c r="F430" s="38">
        <v>7855.2392301527289</v>
      </c>
      <c r="G430" s="38">
        <v>8967.0848396353922</v>
      </c>
      <c r="H430" s="38">
        <v>9473.3866579836467</v>
      </c>
      <c r="I430" s="38">
        <v>11196.30301467489</v>
      </c>
      <c r="J430" s="38">
        <v>13502.200642070564</v>
      </c>
      <c r="K430" s="38">
        <v>4249.0926781710205</v>
      </c>
      <c r="L430" s="38">
        <v>446.57657222441367</v>
      </c>
      <c r="M430" s="1"/>
      <c r="N430" s="1" t="str">
        <v>$million</v>
      </c>
    </row>
    <row r="431" spans="1:14" x14ac:dyDescent="0.25">
      <c r="A431" s="1" t="str">
        <v>IA total</v>
      </c>
      <c r="C431" s="38">
        <v>11542.787409140976</v>
      </c>
      <c r="D431" s="38">
        <v>7884.0531942101134</v>
      </c>
      <c r="E431" s="38">
        <v>3978.0664136969017</v>
      </c>
      <c r="F431" s="38">
        <v>7973.884226552881</v>
      </c>
      <c r="G431" s="38">
        <v>11595.53881236121</v>
      </c>
      <c r="H431" s="38">
        <v>15347.032305786626</v>
      </c>
      <c r="I431" s="38">
        <v>21851.513020362407</v>
      </c>
      <c r="J431" s="38">
        <v>23731.63726702036</v>
      </c>
      <c r="K431" s="38">
        <v>5722.4422725752938</v>
      </c>
      <c r="L431" s="38">
        <v>562.42052267747647</v>
      </c>
      <c r="M431" s="1"/>
      <c r="N431" s="1" t="str">
        <v>$million</v>
      </c>
    </row>
    <row r="432" spans="1:14" x14ac:dyDescent="0.25">
      <c r="A432" s="1" t="str">
        <v>AF total</v>
      </c>
      <c r="C432" s="38">
        <v>5271.4495746874345</v>
      </c>
      <c r="D432" s="38">
        <v>3942.055464914331</v>
      </c>
      <c r="E432" s="38">
        <v>2308.2231795035259</v>
      </c>
      <c r="F432" s="38">
        <v>4090.1977589493272</v>
      </c>
      <c r="G432" s="38">
        <v>5402.7561594298877</v>
      </c>
      <c r="H432" s="38">
        <v>6558.8188961558626</v>
      </c>
      <c r="I432" s="38">
        <v>8837.8949674183023</v>
      </c>
      <c r="J432" s="38">
        <v>9921.41180081532</v>
      </c>
      <c r="K432" s="38">
        <v>2496.1004978342494</v>
      </c>
      <c r="L432" s="38">
        <v>248.86026351456761</v>
      </c>
      <c r="M432" s="1"/>
      <c r="N432" s="1" t="str">
        <v>$million</v>
      </c>
    </row>
    <row r="433" spans="1:14" x14ac:dyDescent="0.25">
      <c r="A433" s="1" t="str">
        <v>LA total</v>
      </c>
      <c r="C433" s="38">
        <v>5392.1266499551875</v>
      </c>
      <c r="D433" s="38">
        <v>4469.7819666978266</v>
      </c>
      <c r="E433" s="38">
        <v>3406.9254686529516</v>
      </c>
      <c r="F433" s="38">
        <v>5460.7209917044374</v>
      </c>
      <c r="G433" s="38">
        <v>7342.4217119204741</v>
      </c>
      <c r="H433" s="38">
        <v>9027.6796686820344</v>
      </c>
      <c r="I433" s="38">
        <v>11767.2144266342</v>
      </c>
      <c r="J433" s="38">
        <v>12646.08424302293</v>
      </c>
      <c r="K433" s="38">
        <v>2978.8683247176932</v>
      </c>
      <c r="L433" s="38">
        <v>289.83149670786412</v>
      </c>
      <c r="M433" s="1"/>
      <c r="N433" s="1" t="str">
        <v>$million</v>
      </c>
    </row>
    <row r="434" spans="1:14" ht="13" x14ac:dyDescent="0.3">
      <c r="A434" s="2" t="s">
        <v>313</v>
      </c>
      <c r="B434" s="2"/>
      <c r="C434" s="54">
        <f>SUM(C426:C433)</f>
        <v>63283.887123378707</v>
      </c>
      <c r="D434" s="54">
        <f t="shared" ref="D434:L434" si="24">SUM(D426:D433)</f>
        <v>34989.262566479098</v>
      </c>
      <c r="E434" s="54">
        <f t="shared" si="24"/>
        <v>41865.139513283677</v>
      </c>
      <c r="F434" s="54">
        <f t="shared" si="24"/>
        <v>82046.674606767832</v>
      </c>
      <c r="G434" s="54">
        <f t="shared" si="24"/>
        <v>112822.17081267192</v>
      </c>
      <c r="H434" s="54">
        <f t="shared" si="24"/>
        <v>135062.71258724734</v>
      </c>
      <c r="I434" s="54">
        <f t="shared" si="24"/>
        <v>160718.17564630994</v>
      </c>
      <c r="J434" s="54">
        <f t="shared" si="24"/>
        <v>157785.9939400841</v>
      </c>
      <c r="K434" s="54">
        <f t="shared" si="24"/>
        <v>35584.476415920661</v>
      </c>
      <c r="L434" s="54">
        <f t="shared" si="24"/>
        <v>3496.1766973077624</v>
      </c>
      <c r="M434" s="1"/>
      <c r="N434" s="1" t="str">
        <v>$million</v>
      </c>
    </row>
    <row r="435" spans="1:14" s="12" customFormat="1" ht="15" x14ac:dyDescent="0.4">
      <c r="A435" s="2" t="s">
        <v>115</v>
      </c>
      <c r="B435" s="57"/>
      <c r="C435" s="2" t="s">
        <v>314</v>
      </c>
      <c r="D435" s="58"/>
      <c r="E435" s="58"/>
      <c r="F435" s="58"/>
      <c r="G435" s="58"/>
      <c r="H435" s="58"/>
      <c r="I435" s="58"/>
      <c r="J435" s="58"/>
      <c r="K435" s="58"/>
      <c r="L435" s="58"/>
      <c r="M435" s="58"/>
      <c r="N435" s="13"/>
    </row>
    <row r="436" spans="1:14" x14ac:dyDescent="0.25">
      <c r="A436" s="1" t="str">
        <f t="array" ref="A436:A443">R_CODE&amp;" total"</f>
        <v>EU total</v>
      </c>
      <c r="B436" s="3"/>
      <c r="C436" s="38">
        <f t="array" ref="C436:L443">widt*YAGG</f>
        <v>164026.4532238642</v>
      </c>
      <c r="D436" s="38">
        <v>2632.0468506242264</v>
      </c>
      <c r="E436" s="38">
        <v>43135.960908854329</v>
      </c>
      <c r="F436" s="38">
        <v>120544.78292216721</v>
      </c>
      <c r="G436" s="38">
        <v>166552.90161506928</v>
      </c>
      <c r="H436" s="38">
        <v>279412.3220842114</v>
      </c>
      <c r="I436" s="38">
        <v>395514.97779300064</v>
      </c>
      <c r="J436" s="38">
        <v>1062739.0877958187</v>
      </c>
      <c r="K436" s="38">
        <v>399340.81790160021</v>
      </c>
      <c r="L436" s="38">
        <v>20699.163950347829</v>
      </c>
      <c r="M436" s="54">
        <f t="shared" ref="M436:M443" si="25">SUM(C436:L436)</f>
        <v>2654598.5150455576</v>
      </c>
      <c r="N436" s="1" t="str">
        <f t="array" ref="N436:N444">CURRENCY_NAME</f>
        <v>$million</v>
      </c>
    </row>
    <row r="437" spans="1:14" x14ac:dyDescent="0.25">
      <c r="A437" s="1" t="str">
        <v>US total</v>
      </c>
      <c r="B437" s="3"/>
      <c r="C437" s="38">
        <v>121869.08786735852</v>
      </c>
      <c r="D437" s="38">
        <v>21370.084859501447</v>
      </c>
      <c r="E437" s="38">
        <v>73317.136903556515</v>
      </c>
      <c r="F437" s="38">
        <v>155609.28343462161</v>
      </c>
      <c r="G437" s="38">
        <v>209822.68690739173</v>
      </c>
      <c r="H437" s="38">
        <v>358937.65999279049</v>
      </c>
      <c r="I437" s="38">
        <v>522550.58778069267</v>
      </c>
      <c r="J437" s="38">
        <v>1419670.7537602936</v>
      </c>
      <c r="K437" s="38">
        <v>510353.43639498233</v>
      </c>
      <c r="L437" s="38">
        <v>25506.147786807011</v>
      </c>
      <c r="M437" s="54">
        <f t="shared" si="25"/>
        <v>3419006.8656879961</v>
      </c>
      <c r="N437" s="1" t="str">
        <v>$million</v>
      </c>
    </row>
    <row r="438" spans="1:14" x14ac:dyDescent="0.25">
      <c r="A438" s="1" t="str">
        <v>OT total</v>
      </c>
      <c r="B438" s="3"/>
      <c r="C438" s="38">
        <v>100751.96873093053</v>
      </c>
      <c r="D438" s="38">
        <v>62701.424404907477</v>
      </c>
      <c r="E438" s="38">
        <v>140111.91782009121</v>
      </c>
      <c r="F438" s="38">
        <v>254021.98987861632</v>
      </c>
      <c r="G438" s="38">
        <v>358137.08642083779</v>
      </c>
      <c r="H438" s="38">
        <v>660319.52443114843</v>
      </c>
      <c r="I438" s="38">
        <v>1012610.6734725265</v>
      </c>
      <c r="J438" s="38">
        <v>2770010.8745652852</v>
      </c>
      <c r="K438" s="38">
        <v>885596.47037445521</v>
      </c>
      <c r="L438" s="38">
        <v>40903.433078309456</v>
      </c>
      <c r="M438" s="54">
        <f t="shared" si="25"/>
        <v>6285165.3631771076</v>
      </c>
      <c r="N438" s="1" t="str">
        <v>$million</v>
      </c>
    </row>
    <row r="439" spans="1:14" x14ac:dyDescent="0.25">
      <c r="A439" s="1" t="str">
        <v>EE total</v>
      </c>
      <c r="B439" s="3"/>
      <c r="C439" s="38">
        <v>28781.359290735913</v>
      </c>
      <c r="D439" s="38">
        <v>4422.2591850120061</v>
      </c>
      <c r="E439" s="38">
        <v>13631.779239463765</v>
      </c>
      <c r="F439" s="38">
        <v>36490.2677586793</v>
      </c>
      <c r="G439" s="38">
        <v>60631.017949950663</v>
      </c>
      <c r="H439" s="38">
        <v>121167.41937143727</v>
      </c>
      <c r="I439" s="38">
        <v>210628.76529818287</v>
      </c>
      <c r="J439" s="38">
        <v>626658.88310789748</v>
      </c>
      <c r="K439" s="38">
        <v>218506.53959120231</v>
      </c>
      <c r="L439" s="38">
        <v>10315.647293707743</v>
      </c>
      <c r="M439" s="54">
        <f t="shared" si="25"/>
        <v>1331233.9380862694</v>
      </c>
      <c r="N439" s="1" t="str">
        <v>$million</v>
      </c>
    </row>
    <row r="440" spans="1:14" x14ac:dyDescent="0.25">
      <c r="A440" s="1" t="str">
        <v>CA total</v>
      </c>
      <c r="B440" s="3"/>
      <c r="C440" s="38">
        <v>200733.98323103739</v>
      </c>
      <c r="D440" s="38">
        <v>95807.904106523114</v>
      </c>
      <c r="E440" s="38">
        <v>51522.449642337204</v>
      </c>
      <c r="F440" s="38">
        <v>78552.392301527289</v>
      </c>
      <c r="G440" s="38">
        <v>89670.848396353918</v>
      </c>
      <c r="H440" s="38">
        <v>142100.7998697547</v>
      </c>
      <c r="I440" s="38">
        <v>223926.06029349781</v>
      </c>
      <c r="J440" s="38">
        <v>810132.03852423385</v>
      </c>
      <c r="K440" s="38">
        <v>424909.26781710202</v>
      </c>
      <c r="L440" s="38">
        <v>22328.828611220684</v>
      </c>
      <c r="M440" s="54">
        <f t="shared" si="25"/>
        <v>2139684.572793588</v>
      </c>
      <c r="N440" s="1" t="str">
        <v>$million</v>
      </c>
    </row>
    <row r="441" spans="1:14" x14ac:dyDescent="0.25">
      <c r="A441" s="1" t="str">
        <v>IA total</v>
      </c>
      <c r="B441" s="3"/>
      <c r="C441" s="38">
        <v>173141.81113711465</v>
      </c>
      <c r="D441" s="38">
        <v>78840.531942101137</v>
      </c>
      <c r="E441" s="38">
        <v>39780.664136969019</v>
      </c>
      <c r="F441" s="38">
        <v>79738.842265528816</v>
      </c>
      <c r="G441" s="38">
        <v>115955.38812361209</v>
      </c>
      <c r="H441" s="38">
        <v>230205.4845867994</v>
      </c>
      <c r="I441" s="38">
        <v>437030.26040724816</v>
      </c>
      <c r="J441" s="38">
        <v>1423898.2360212216</v>
      </c>
      <c r="K441" s="38">
        <v>572244.22725752939</v>
      </c>
      <c r="L441" s="38">
        <v>28121.026133873824</v>
      </c>
      <c r="M441" s="54">
        <f t="shared" si="25"/>
        <v>3178956.4720119983</v>
      </c>
      <c r="N441" s="1" t="str">
        <v>$million</v>
      </c>
    </row>
    <row r="442" spans="1:14" x14ac:dyDescent="0.25">
      <c r="A442" s="1" t="str">
        <v>AF total</v>
      </c>
      <c r="B442" s="3"/>
      <c r="C442" s="38">
        <v>79071.743620311521</v>
      </c>
      <c r="D442" s="38">
        <v>39420.554649143312</v>
      </c>
      <c r="E442" s="38">
        <v>23082.231795035259</v>
      </c>
      <c r="F442" s="38">
        <v>40901.977589493268</v>
      </c>
      <c r="G442" s="38">
        <v>54027.561594298881</v>
      </c>
      <c r="H442" s="38">
        <v>98382.283442337939</v>
      </c>
      <c r="I442" s="38">
        <v>176757.89934836605</v>
      </c>
      <c r="J442" s="38">
        <v>595284.70804891922</v>
      </c>
      <c r="K442" s="38">
        <v>249610.04978342494</v>
      </c>
      <c r="L442" s="38">
        <v>12443.01317572838</v>
      </c>
      <c r="M442" s="54">
        <f t="shared" si="25"/>
        <v>1368982.0230470586</v>
      </c>
      <c r="N442" s="1" t="str">
        <v>$million</v>
      </c>
    </row>
    <row r="443" spans="1:14" x14ac:dyDescent="0.25">
      <c r="A443" s="1" t="str">
        <v>LA total</v>
      </c>
      <c r="B443" s="3"/>
      <c r="C443" s="38">
        <v>80881.899749327815</v>
      </c>
      <c r="D443" s="38">
        <v>44697.819666978263</v>
      </c>
      <c r="E443" s="38">
        <v>34069.254686529515</v>
      </c>
      <c r="F443" s="38">
        <v>54607.209917044376</v>
      </c>
      <c r="G443" s="38">
        <v>73424.217119204739</v>
      </c>
      <c r="H443" s="38">
        <v>135415.1950302305</v>
      </c>
      <c r="I443" s="38">
        <v>235344.288532684</v>
      </c>
      <c r="J443" s="38">
        <v>758765.05458137579</v>
      </c>
      <c r="K443" s="38">
        <v>297886.8324717693</v>
      </c>
      <c r="L443" s="38">
        <v>14491.574835393207</v>
      </c>
      <c r="M443" s="54">
        <f t="shared" si="25"/>
        <v>1729583.3465905376</v>
      </c>
      <c r="N443" s="1" t="str">
        <v>$million</v>
      </c>
    </row>
    <row r="444" spans="1:14" ht="13" x14ac:dyDescent="0.3">
      <c r="A444" s="2" t="s">
        <v>313</v>
      </c>
      <c r="B444" s="2"/>
      <c r="C444" s="54">
        <f t="shared" ref="C444:L444" si="26">SUM(C436:C443)</f>
        <v>949258.3068506805</v>
      </c>
      <c r="D444" s="54">
        <f t="shared" si="26"/>
        <v>349892.62566479098</v>
      </c>
      <c r="E444" s="54">
        <f t="shared" si="26"/>
        <v>418651.39513283683</v>
      </c>
      <c r="F444" s="54">
        <f t="shared" si="26"/>
        <v>820466.74606767832</v>
      </c>
      <c r="G444" s="54">
        <f t="shared" si="26"/>
        <v>1128221.7081267191</v>
      </c>
      <c r="H444" s="54">
        <f t="shared" si="26"/>
        <v>2025940.6888087103</v>
      </c>
      <c r="I444" s="54">
        <f t="shared" si="26"/>
        <v>3214363.512926199</v>
      </c>
      <c r="J444" s="54">
        <f t="shared" si="26"/>
        <v>9467159.6364050452</v>
      </c>
      <c r="K444" s="54">
        <f t="shared" si="26"/>
        <v>3558447.6415920658</v>
      </c>
      <c r="L444" s="54">
        <f t="shared" si="26"/>
        <v>174808.83486538814</v>
      </c>
      <c r="M444" s="54">
        <f>SUM(M436:M443)</f>
        <v>22107211.096440114</v>
      </c>
      <c r="N444" s="1" t="str">
        <v>$million</v>
      </c>
    </row>
    <row r="445" spans="1:14" ht="13.5" thickBot="1" x14ac:dyDescent="0.35">
      <c r="A445" s="2" t="s">
        <v>119</v>
      </c>
      <c r="B445" s="2"/>
      <c r="M445" s="56">
        <f>MIN(addt_gt,CIV_VALUE)</f>
        <v>22107211.096440114</v>
      </c>
      <c r="N445" s="1" t="str">
        <f>CURRENCY_NAME</f>
        <v>$million</v>
      </c>
    </row>
    <row r="446" spans="1:14" ht="13" thickTop="1" x14ac:dyDescent="0.25"/>
    <row r="447" spans="1:14" ht="13" x14ac:dyDescent="0.3">
      <c r="A447" s="2" t="s">
        <v>483</v>
      </c>
      <c r="B447" s="7"/>
      <c r="C447" s="51">
        <f t="array" ref="C447:L447">DF*((CONS_PER_CAP_FOCUS/CONS_PER_CAP_FOCUS_0)^-EMUC)*OCCUR_SCC</f>
        <v>0</v>
      </c>
      <c r="D447" s="51">
        <v>0.55367575418633497</v>
      </c>
      <c r="E447" s="51">
        <v>0</v>
      </c>
      <c r="F447" s="51">
        <v>0</v>
      </c>
      <c r="G447" s="51">
        <v>0</v>
      </c>
      <c r="H447" s="51">
        <v>0</v>
      </c>
      <c r="I447" s="51">
        <v>0</v>
      </c>
      <c r="J447" s="51">
        <v>0</v>
      </c>
      <c r="K447" s="51">
        <v>0</v>
      </c>
      <c r="L447" s="51">
        <v>0</v>
      </c>
      <c r="M447" s="124">
        <f>SUM(C447:L447)</f>
        <v>0.55367575418633497</v>
      </c>
    </row>
    <row r="449" spans="1:15" ht="13.5" thickBot="1" x14ac:dyDescent="0.35">
      <c r="A449" s="2" t="s">
        <v>484</v>
      </c>
      <c r="M449" s="56">
        <f>td/UDFT</f>
        <v>39928082.328488804</v>
      </c>
      <c r="N449" s="1" t="str">
        <f>CURRENCY_NAME</f>
        <v>$million</v>
      </c>
    </row>
    <row r="450" spans="1:15" ht="13.5" thickTop="1" x14ac:dyDescent="0.3">
      <c r="A450" s="2" t="s">
        <v>486</v>
      </c>
      <c r="M450" s="54">
        <f>tdu/DROP</f>
        <v>-39928082.328488804</v>
      </c>
      <c r="N450" s="1" t="str">
        <f>CURRENCY_NAME</f>
        <v>$million</v>
      </c>
      <c r="O450" t="s">
        <v>485</v>
      </c>
    </row>
  </sheetData>
  <phoneticPr fontId="0" type="noConversion"/>
  <pageMargins left="0.75" right="0.75" top="1" bottom="1" header="0.5" footer="0.5"/>
  <pageSetup paperSize="9" orientation="portrait" horizontalDpi="360"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450"/>
  <sheetViews>
    <sheetView topLeftCell="A441" workbookViewId="0">
      <selection activeCell="A441" sqref="A441"/>
    </sheetView>
  </sheetViews>
  <sheetFormatPr defaultRowHeight="12.5" x14ac:dyDescent="0.25"/>
  <cols>
    <col min="1" max="1" width="17.7265625" bestFit="1" customWidth="1"/>
    <col min="2" max="2" width="9.81640625" customWidth="1"/>
    <col min="3" max="3" width="10.1796875" bestFit="1" customWidth="1"/>
    <col min="4" max="4" width="9.81640625" bestFit="1" customWidth="1"/>
    <col min="5" max="6" width="9.7265625" bestFit="1" customWidth="1"/>
    <col min="7" max="10" width="10.7265625" bestFit="1" customWidth="1"/>
    <col min="11" max="12" width="11.54296875" bestFit="1" customWidth="1"/>
    <col min="13" max="13" width="11.54296875" customWidth="1"/>
    <col min="14" max="14" width="8.81640625" bestFit="1" customWidth="1"/>
  </cols>
  <sheetData>
    <row r="1" spans="1:14" ht="13" x14ac:dyDescent="0.3">
      <c r="A1" s="2" t="str">
        <f>MODEL_NAME</f>
        <v>PAGE09</v>
      </c>
      <c r="B1" s="2"/>
      <c r="C1" t="s">
        <v>44</v>
      </c>
      <c r="D1" s="71">
        <f>VERSION</f>
        <v>1.7</v>
      </c>
    </row>
    <row r="2" spans="1:14" s="3" customFormat="1" x14ac:dyDescent="0.25">
      <c r="A2" s="79"/>
      <c r="C2" s="3" t="s">
        <v>53</v>
      </c>
    </row>
    <row r="3" spans="1:14" s="3" customFormat="1" x14ac:dyDescent="0.25">
      <c r="C3" s="79" t="s">
        <v>272</v>
      </c>
    </row>
    <row r="4" spans="1:14" s="3" customFormat="1" x14ac:dyDescent="0.25">
      <c r="C4" s="79" t="s">
        <v>273</v>
      </c>
    </row>
    <row r="5" spans="1:14" x14ac:dyDescent="0.25">
      <c r="A5" s="1" t="str">
        <f t="array" ref="A5:A12">R_CODE</f>
        <v>EU</v>
      </c>
      <c r="C5" s="45">
        <v>1</v>
      </c>
    </row>
    <row r="6" spans="1:14" x14ac:dyDescent="0.25">
      <c r="A6" s="1" t="str">
        <v>US</v>
      </c>
      <c r="C6" s="46">
        <f t="array" ref="C6:C12">WF</f>
        <v>0.8</v>
      </c>
    </row>
    <row r="7" spans="1:14" x14ac:dyDescent="0.25">
      <c r="A7" s="1" t="str">
        <v>OT</v>
      </c>
      <c r="C7" s="46">
        <v>0.8</v>
      </c>
    </row>
    <row r="8" spans="1:14" x14ac:dyDescent="0.25">
      <c r="A8" s="1" t="str">
        <v>EE</v>
      </c>
      <c r="C8" s="46">
        <v>0.4</v>
      </c>
    </row>
    <row r="9" spans="1:14" x14ac:dyDescent="0.25">
      <c r="A9" s="1" t="str">
        <v>CA</v>
      </c>
      <c r="C9" s="46">
        <v>0.8</v>
      </c>
    </row>
    <row r="10" spans="1:14" x14ac:dyDescent="0.25">
      <c r="A10" s="1" t="str">
        <v>IA</v>
      </c>
      <c r="C10" s="46">
        <v>0.8</v>
      </c>
    </row>
    <row r="11" spans="1:14" x14ac:dyDescent="0.25">
      <c r="A11" s="1" t="str">
        <v>AF</v>
      </c>
      <c r="C11" s="46">
        <v>0.6</v>
      </c>
    </row>
    <row r="12" spans="1:14" ht="13" thickBot="1" x14ac:dyDescent="0.3">
      <c r="A12" s="1" t="str">
        <v>LA</v>
      </c>
      <c r="C12" s="47">
        <v>0.6</v>
      </c>
    </row>
    <row r="13" spans="1:14" ht="13.5" thickTop="1" thickBot="1" x14ac:dyDescent="0.3">
      <c r="A13" t="s">
        <v>316</v>
      </c>
      <c r="C13" s="47">
        <f>ISAT*(1-SAVE/100)</f>
        <v>28.3333333305</v>
      </c>
      <c r="D13" t="s">
        <v>168</v>
      </c>
    </row>
    <row r="14" spans="1:14" ht="13" thickTop="1" x14ac:dyDescent="0.25"/>
    <row r="15" spans="1:14" x14ac:dyDescent="0.25">
      <c r="B15">
        <f>Y_0</f>
        <v>2000</v>
      </c>
      <c r="C15">
        <f t="array" ref="C15:L15">Y</f>
        <v>2010</v>
      </c>
      <c r="D15">
        <v>2020</v>
      </c>
      <c r="E15">
        <v>2030</v>
      </c>
      <c r="F15">
        <v>2040</v>
      </c>
      <c r="G15">
        <v>2050</v>
      </c>
      <c r="H15">
        <v>2060</v>
      </c>
      <c r="I15">
        <v>2080</v>
      </c>
      <c r="J15">
        <v>2100</v>
      </c>
      <c r="K15">
        <v>2200</v>
      </c>
      <c r="L15">
        <v>2300</v>
      </c>
    </row>
    <row r="16" spans="1:14" s="4" customFormat="1" x14ac:dyDescent="0.25">
      <c r="A16" s="4" t="s">
        <v>71</v>
      </c>
      <c r="C16" s="20">
        <f t="array" ref="C16:L16">YP</f>
        <v>10</v>
      </c>
      <c r="D16" s="20">
        <v>10</v>
      </c>
      <c r="E16" s="20">
        <v>10</v>
      </c>
      <c r="F16" s="20">
        <v>10</v>
      </c>
      <c r="G16" s="20">
        <v>10</v>
      </c>
      <c r="H16" s="20">
        <v>10</v>
      </c>
      <c r="I16" s="20">
        <v>20</v>
      </c>
      <c r="J16" s="20">
        <v>20</v>
      </c>
      <c r="K16" s="20">
        <v>100</v>
      </c>
      <c r="L16" s="20">
        <v>100</v>
      </c>
      <c r="N16" s="4" t="s">
        <v>47</v>
      </c>
    </row>
    <row r="17" spans="1:14" s="4" customFormat="1" x14ac:dyDescent="0.25">
      <c r="A17" s="4" t="s">
        <v>113</v>
      </c>
      <c r="C17" s="22">
        <f t="array" ref="C17:K17">(Y+Y_NOT_1)/2</f>
        <v>2015</v>
      </c>
      <c r="D17" s="22">
        <v>2025</v>
      </c>
      <c r="E17" s="22">
        <v>2035</v>
      </c>
      <c r="F17" s="22">
        <v>2045</v>
      </c>
      <c r="G17" s="22">
        <v>2055</v>
      </c>
      <c r="H17" s="22">
        <v>2070</v>
      </c>
      <c r="I17" s="22">
        <v>2090</v>
      </c>
      <c r="J17" s="22">
        <v>2150</v>
      </c>
      <c r="K17" s="22">
        <v>2250</v>
      </c>
      <c r="L17" s="22">
        <f>Y_LAST</f>
        <v>2300</v>
      </c>
    </row>
    <row r="18" spans="1:14" s="4" customFormat="1" x14ac:dyDescent="0.25">
      <c r="A18" s="4" t="s">
        <v>114</v>
      </c>
      <c r="C18" s="22">
        <f>Y_0</f>
        <v>2000</v>
      </c>
      <c r="D18" s="22">
        <f t="array" ref="D18:L18">(Y+Y_NOT_1)/2</f>
        <v>2015</v>
      </c>
      <c r="E18" s="22">
        <v>2025</v>
      </c>
      <c r="F18" s="22">
        <v>2035</v>
      </c>
      <c r="G18" s="22">
        <v>2045</v>
      </c>
      <c r="H18" s="22">
        <v>2055</v>
      </c>
      <c r="I18" s="22">
        <v>2070</v>
      </c>
      <c r="J18" s="22">
        <v>2090</v>
      </c>
      <c r="K18" s="22">
        <v>2150</v>
      </c>
      <c r="L18" s="22">
        <v>2250</v>
      </c>
    </row>
    <row r="19" spans="1:14" s="4" customFormat="1" ht="13" thickBot="1" x14ac:dyDescent="0.3">
      <c r="A19" s="4" t="s">
        <v>112</v>
      </c>
      <c r="C19" s="49">
        <f t="array" ref="C19:L19">Y_HI-Y_LO</f>
        <v>15</v>
      </c>
      <c r="D19" s="49">
        <v>10</v>
      </c>
      <c r="E19" s="49">
        <v>10</v>
      </c>
      <c r="F19" s="49">
        <v>10</v>
      </c>
      <c r="G19" s="49">
        <v>10</v>
      </c>
      <c r="H19" s="49">
        <v>15</v>
      </c>
      <c r="I19" s="49">
        <v>20</v>
      </c>
      <c r="J19" s="49">
        <v>60</v>
      </c>
      <c r="K19" s="49">
        <v>100</v>
      </c>
      <c r="L19" s="49">
        <v>50</v>
      </c>
      <c r="N19" s="4" t="s">
        <v>47</v>
      </c>
    </row>
    <row r="20" spans="1:14" s="4" customFormat="1" ht="13" thickTop="1" x14ac:dyDescent="0.25"/>
    <row r="21" spans="1:14" ht="13" x14ac:dyDescent="0.3">
      <c r="A21" s="2" t="s">
        <v>106</v>
      </c>
      <c r="B21" s="2"/>
    </row>
    <row r="22" spans="1:14" ht="15.5" x14ac:dyDescent="0.4">
      <c r="C22" s="3" t="s">
        <v>253</v>
      </c>
      <c r="D22" s="9"/>
      <c r="E22" s="9"/>
      <c r="F22" s="9"/>
      <c r="G22" s="9"/>
      <c r="H22" s="9"/>
      <c r="I22" s="9"/>
      <c r="J22" s="9"/>
      <c r="K22" s="9"/>
      <c r="L22" s="9"/>
    </row>
    <row r="23" spans="1:14" x14ac:dyDescent="0.25">
      <c r="A23" t="str">
        <f t="array" ref="A23:A30">R_CODE&amp;" sea level"</f>
        <v>EU sea level</v>
      </c>
      <c r="C23" s="21">
        <f t="array" ref="C23:L30">IF(Y-pstart_s_b&lt;0,0,IF(((Y-pstart_s_b)/pyears_s_b)&lt;1,((Y-pstart_s_b)/pyears_s_b)*plateau_s_b,plateau_s_b))</f>
        <v>0.125</v>
      </c>
      <c r="D23" s="21">
        <v>0.25</v>
      </c>
      <c r="E23" s="21">
        <v>0.25</v>
      </c>
      <c r="F23" s="21">
        <v>0.25</v>
      </c>
      <c r="G23" s="21">
        <v>0.25</v>
      </c>
      <c r="H23" s="21">
        <v>0.25</v>
      </c>
      <c r="I23" s="21">
        <v>0.25</v>
      </c>
      <c r="J23" s="21">
        <v>0.25</v>
      </c>
      <c r="K23" s="21">
        <v>0.25</v>
      </c>
      <c r="L23" s="21">
        <v>0.25</v>
      </c>
      <c r="N23" s="84" t="s">
        <v>228</v>
      </c>
    </row>
    <row r="24" spans="1:14" x14ac:dyDescent="0.25">
      <c r="A24" t="str">
        <v>US sea level</v>
      </c>
      <c r="C24" s="21">
        <v>0.125</v>
      </c>
      <c r="D24" s="21">
        <v>0.25</v>
      </c>
      <c r="E24" s="21">
        <v>0.25</v>
      </c>
      <c r="F24" s="21">
        <v>0.25</v>
      </c>
      <c r="G24" s="21">
        <v>0.25</v>
      </c>
      <c r="H24" s="21">
        <v>0.25</v>
      </c>
      <c r="I24" s="21">
        <v>0.25</v>
      </c>
      <c r="J24" s="21">
        <v>0.25</v>
      </c>
      <c r="K24" s="21">
        <v>0.25</v>
      </c>
      <c r="L24" s="21">
        <v>0.25</v>
      </c>
      <c r="N24" s="84" t="s">
        <v>228</v>
      </c>
    </row>
    <row r="25" spans="1:14" x14ac:dyDescent="0.25">
      <c r="A25" t="str">
        <v>OT sea level</v>
      </c>
      <c r="C25" s="21">
        <v>0.125</v>
      </c>
      <c r="D25" s="21">
        <v>0.25</v>
      </c>
      <c r="E25" s="21">
        <v>0.25</v>
      </c>
      <c r="F25" s="21">
        <v>0.25</v>
      </c>
      <c r="G25" s="21">
        <v>0.25</v>
      </c>
      <c r="H25" s="21">
        <v>0.25</v>
      </c>
      <c r="I25" s="21">
        <v>0.25</v>
      </c>
      <c r="J25" s="21">
        <v>0.25</v>
      </c>
      <c r="K25" s="21">
        <v>0.25</v>
      </c>
      <c r="L25" s="21">
        <v>0.25</v>
      </c>
      <c r="N25" s="84" t="s">
        <v>228</v>
      </c>
    </row>
    <row r="26" spans="1:14" x14ac:dyDescent="0.25">
      <c r="A26" t="str">
        <v>EE sea level</v>
      </c>
      <c r="C26" s="21">
        <v>0.125</v>
      </c>
      <c r="D26" s="21">
        <v>0.25</v>
      </c>
      <c r="E26" s="21">
        <v>0.25</v>
      </c>
      <c r="F26" s="21">
        <v>0.25</v>
      </c>
      <c r="G26" s="21">
        <v>0.25</v>
      </c>
      <c r="H26" s="21">
        <v>0.25</v>
      </c>
      <c r="I26" s="21">
        <v>0.25</v>
      </c>
      <c r="J26" s="21">
        <v>0.25</v>
      </c>
      <c r="K26" s="21">
        <v>0.25</v>
      </c>
      <c r="L26" s="21">
        <v>0.25</v>
      </c>
      <c r="N26" s="84" t="s">
        <v>228</v>
      </c>
    </row>
    <row r="27" spans="1:14" x14ac:dyDescent="0.25">
      <c r="A27" t="str">
        <v>CA sea level</v>
      </c>
      <c r="C27" s="21">
        <v>6.6666666666666666E-2</v>
      </c>
      <c r="D27" s="21">
        <v>0.13333333333333333</v>
      </c>
      <c r="E27" s="21">
        <v>0.2</v>
      </c>
      <c r="F27" s="21">
        <v>0.2</v>
      </c>
      <c r="G27" s="21">
        <v>0.2</v>
      </c>
      <c r="H27" s="21">
        <v>0.2</v>
      </c>
      <c r="I27" s="21">
        <v>0.2</v>
      </c>
      <c r="J27" s="21">
        <v>0.2</v>
      </c>
      <c r="K27" s="21">
        <v>0.2</v>
      </c>
      <c r="L27" s="21">
        <v>0.2</v>
      </c>
      <c r="N27" s="84" t="s">
        <v>228</v>
      </c>
    </row>
    <row r="28" spans="1:14" x14ac:dyDescent="0.25">
      <c r="A28" t="str">
        <v>IA sea level</v>
      </c>
      <c r="C28" s="21">
        <v>6.6666666666666666E-2</v>
      </c>
      <c r="D28" s="21">
        <v>0.13333333333333333</v>
      </c>
      <c r="E28" s="21">
        <v>0.2</v>
      </c>
      <c r="F28" s="21">
        <v>0.2</v>
      </c>
      <c r="G28" s="21">
        <v>0.2</v>
      </c>
      <c r="H28" s="21">
        <v>0.2</v>
      </c>
      <c r="I28" s="21">
        <v>0.2</v>
      </c>
      <c r="J28" s="21">
        <v>0.2</v>
      </c>
      <c r="K28" s="21">
        <v>0.2</v>
      </c>
      <c r="L28" s="21">
        <v>0.2</v>
      </c>
      <c r="N28" s="84" t="s">
        <v>228</v>
      </c>
    </row>
    <row r="29" spans="1:14" x14ac:dyDescent="0.25">
      <c r="A29" t="str">
        <v>AF sea level</v>
      </c>
      <c r="C29" s="21">
        <v>6.6666666666666666E-2</v>
      </c>
      <c r="D29" s="21">
        <v>0.13333333333333333</v>
      </c>
      <c r="E29" s="21">
        <v>0.2</v>
      </c>
      <c r="F29" s="21">
        <v>0.2</v>
      </c>
      <c r="G29" s="21">
        <v>0.2</v>
      </c>
      <c r="H29" s="21">
        <v>0.2</v>
      </c>
      <c r="I29" s="21">
        <v>0.2</v>
      </c>
      <c r="J29" s="21">
        <v>0.2</v>
      </c>
      <c r="K29" s="21">
        <v>0.2</v>
      </c>
      <c r="L29" s="21">
        <v>0.2</v>
      </c>
      <c r="N29" s="84" t="s">
        <v>228</v>
      </c>
    </row>
    <row r="30" spans="1:14" x14ac:dyDescent="0.25">
      <c r="A30" t="str">
        <v>LA sea level</v>
      </c>
      <c r="C30" s="21">
        <v>6.6666666666666666E-2</v>
      </c>
      <c r="D30" s="21">
        <v>0.13333333333333333</v>
      </c>
      <c r="E30" s="21">
        <v>0.2</v>
      </c>
      <c r="F30" s="21">
        <v>0.2</v>
      </c>
      <c r="G30" s="21">
        <v>0.2</v>
      </c>
      <c r="H30" s="21">
        <v>0.2</v>
      </c>
      <c r="I30" s="21">
        <v>0.2</v>
      </c>
      <c r="J30" s="21">
        <v>0.2</v>
      </c>
      <c r="K30" s="21">
        <v>0.2</v>
      </c>
      <c r="L30" s="21">
        <v>0.2</v>
      </c>
      <c r="N30" s="84" t="s">
        <v>228</v>
      </c>
    </row>
    <row r="31" spans="1:14" ht="15.5" x14ac:dyDescent="0.4">
      <c r="C31" t="s">
        <v>107</v>
      </c>
      <c r="D31" s="9"/>
      <c r="E31" s="9"/>
      <c r="F31" s="9"/>
      <c r="G31" s="9"/>
      <c r="H31" s="9"/>
      <c r="I31" s="9"/>
      <c r="J31" s="9"/>
      <c r="K31" s="9"/>
      <c r="L31" s="9"/>
    </row>
    <row r="32" spans="1:14" x14ac:dyDescent="0.25">
      <c r="A32" t="str">
        <f t="array" ref="A32:A39">R_CODE&amp;" "&amp;I_1_NAME</f>
        <v>EU Economic</v>
      </c>
      <c r="C32" s="21">
        <f t="array" ref="C32:L39">IF(Y-pstart_1_b&lt;0,0,IF(((Y-pstart_1_b)/pyears_1_b)&lt;1,((Y-pstart_1_b)/pyears_1_b)*plateau_1_b,plateau_1_b))</f>
        <v>0.5</v>
      </c>
      <c r="D32" s="21">
        <v>1</v>
      </c>
      <c r="E32" s="21">
        <v>1</v>
      </c>
      <c r="F32" s="21">
        <v>1</v>
      </c>
      <c r="G32" s="21">
        <v>1</v>
      </c>
      <c r="H32" s="21">
        <v>1</v>
      </c>
      <c r="I32" s="21">
        <v>1</v>
      </c>
      <c r="J32" s="21">
        <v>1</v>
      </c>
      <c r="K32" s="21">
        <v>1</v>
      </c>
      <c r="L32" s="21">
        <v>1</v>
      </c>
      <c r="N32" s="84" t="s">
        <v>49</v>
      </c>
    </row>
    <row r="33" spans="1:14" x14ac:dyDescent="0.25">
      <c r="A33" t="str">
        <v>US Economic</v>
      </c>
      <c r="C33" s="21">
        <v>0.5</v>
      </c>
      <c r="D33" s="21">
        <v>1</v>
      </c>
      <c r="E33" s="21">
        <v>1</v>
      </c>
      <c r="F33" s="21">
        <v>1</v>
      </c>
      <c r="G33" s="21">
        <v>1</v>
      </c>
      <c r="H33" s="21">
        <v>1</v>
      </c>
      <c r="I33" s="21">
        <v>1</v>
      </c>
      <c r="J33" s="21">
        <v>1</v>
      </c>
      <c r="K33" s="21">
        <v>1</v>
      </c>
      <c r="L33" s="21">
        <v>1</v>
      </c>
      <c r="N33" s="84" t="s">
        <v>49</v>
      </c>
    </row>
    <row r="34" spans="1:14" x14ac:dyDescent="0.25">
      <c r="A34" t="str">
        <v>OT Economic</v>
      </c>
      <c r="C34" s="21">
        <v>0.5</v>
      </c>
      <c r="D34" s="21">
        <v>1</v>
      </c>
      <c r="E34" s="21">
        <v>1</v>
      </c>
      <c r="F34" s="21">
        <v>1</v>
      </c>
      <c r="G34" s="21">
        <v>1</v>
      </c>
      <c r="H34" s="21">
        <v>1</v>
      </c>
      <c r="I34" s="21">
        <v>1</v>
      </c>
      <c r="J34" s="21">
        <v>1</v>
      </c>
      <c r="K34" s="21">
        <v>1</v>
      </c>
      <c r="L34" s="21">
        <v>1</v>
      </c>
      <c r="N34" s="84" t="s">
        <v>49</v>
      </c>
    </row>
    <row r="35" spans="1:14" x14ac:dyDescent="0.25">
      <c r="A35" t="str">
        <v>EE Economic</v>
      </c>
      <c r="C35" s="21">
        <v>0.5</v>
      </c>
      <c r="D35" s="21">
        <v>1</v>
      </c>
      <c r="E35" s="21">
        <v>1</v>
      </c>
      <c r="F35" s="21">
        <v>1</v>
      </c>
      <c r="G35" s="21">
        <v>1</v>
      </c>
      <c r="H35" s="21">
        <v>1</v>
      </c>
      <c r="I35" s="21">
        <v>1</v>
      </c>
      <c r="J35" s="21">
        <v>1</v>
      </c>
      <c r="K35" s="21">
        <v>1</v>
      </c>
      <c r="L35" s="21">
        <v>1</v>
      </c>
      <c r="N35" s="84" t="s">
        <v>49</v>
      </c>
    </row>
    <row r="36" spans="1:14" x14ac:dyDescent="0.25">
      <c r="A36" t="str">
        <v>CA Economic</v>
      </c>
      <c r="C36" s="21">
        <v>0</v>
      </c>
      <c r="D36" s="21">
        <v>0.33333333333333331</v>
      </c>
      <c r="E36" s="21">
        <v>0.66666666666666663</v>
      </c>
      <c r="F36" s="21">
        <v>1</v>
      </c>
      <c r="G36" s="21">
        <v>1</v>
      </c>
      <c r="H36" s="21">
        <v>1</v>
      </c>
      <c r="I36" s="21">
        <v>1</v>
      </c>
      <c r="J36" s="21">
        <v>1</v>
      </c>
      <c r="K36" s="21">
        <v>1</v>
      </c>
      <c r="L36" s="21">
        <v>1</v>
      </c>
      <c r="N36" s="84" t="s">
        <v>49</v>
      </c>
    </row>
    <row r="37" spans="1:14" x14ac:dyDescent="0.25">
      <c r="A37" t="str">
        <v>IA Economic</v>
      </c>
      <c r="C37" s="21">
        <v>0</v>
      </c>
      <c r="D37" s="21">
        <v>0.33333333333333331</v>
      </c>
      <c r="E37" s="21">
        <v>0.66666666666666663</v>
      </c>
      <c r="F37" s="21">
        <v>1</v>
      </c>
      <c r="G37" s="21">
        <v>1</v>
      </c>
      <c r="H37" s="21">
        <v>1</v>
      </c>
      <c r="I37" s="21">
        <v>1</v>
      </c>
      <c r="J37" s="21">
        <v>1</v>
      </c>
      <c r="K37" s="21">
        <v>1</v>
      </c>
      <c r="L37" s="21">
        <v>1</v>
      </c>
      <c r="N37" s="84" t="s">
        <v>49</v>
      </c>
    </row>
    <row r="38" spans="1:14" x14ac:dyDescent="0.25">
      <c r="A38" t="str">
        <v>AF Economic</v>
      </c>
      <c r="C38" s="21">
        <v>0</v>
      </c>
      <c r="D38" s="21">
        <v>0.33333333333333331</v>
      </c>
      <c r="E38" s="21">
        <v>0.66666666666666663</v>
      </c>
      <c r="F38" s="21">
        <v>1</v>
      </c>
      <c r="G38" s="21">
        <v>1</v>
      </c>
      <c r="H38" s="21">
        <v>1</v>
      </c>
      <c r="I38" s="21">
        <v>1</v>
      </c>
      <c r="J38" s="21">
        <v>1</v>
      </c>
      <c r="K38" s="21">
        <v>1</v>
      </c>
      <c r="L38" s="21">
        <v>1</v>
      </c>
      <c r="N38" s="84" t="s">
        <v>49</v>
      </c>
    </row>
    <row r="39" spans="1:14" x14ac:dyDescent="0.25">
      <c r="A39" t="str">
        <v>LA Economic</v>
      </c>
      <c r="C39" s="21">
        <v>0</v>
      </c>
      <c r="D39" s="21">
        <v>0.33333333333333331</v>
      </c>
      <c r="E39" s="21">
        <v>0.66666666666666663</v>
      </c>
      <c r="F39" s="21">
        <v>1</v>
      </c>
      <c r="G39" s="21">
        <v>1</v>
      </c>
      <c r="H39" s="21">
        <v>1</v>
      </c>
      <c r="I39" s="21">
        <v>1</v>
      </c>
      <c r="J39" s="21">
        <v>1</v>
      </c>
      <c r="K39" s="21">
        <v>1</v>
      </c>
      <c r="L39" s="21">
        <v>1</v>
      </c>
      <c r="N39" s="84" t="s">
        <v>49</v>
      </c>
    </row>
    <row r="40" spans="1:14" ht="15.5" x14ac:dyDescent="0.4">
      <c r="C40" t="s">
        <v>110</v>
      </c>
      <c r="D40" s="9"/>
      <c r="E40" s="9"/>
      <c r="F40" s="9"/>
      <c r="G40" s="9"/>
      <c r="H40" s="9"/>
      <c r="I40" s="9"/>
      <c r="J40" s="9"/>
      <c r="K40" s="9"/>
      <c r="L40" s="9"/>
      <c r="N40" s="1"/>
    </row>
    <row r="41" spans="1:14" x14ac:dyDescent="0.25">
      <c r="A41" t="str">
        <f t="array" ref="A41:A48">R_CODE&amp;" "&amp;I_2_NAME</f>
        <v>EU Non-econ</v>
      </c>
      <c r="C41" s="21">
        <f t="array" ref="C41:L48">IF(Y-pstart_2_b&lt;0,0,IF(((Y-pstart_2_b)/pyears_2_b)&lt;1,((Y-pstart_2_b)/pyears_2_b)*plateau_2_b,plateau_2_b))</f>
        <v>0</v>
      </c>
      <c r="D41" s="21">
        <v>0</v>
      </c>
      <c r="E41" s="21">
        <v>0</v>
      </c>
      <c r="F41" s="21">
        <v>0</v>
      </c>
      <c r="G41" s="21">
        <v>0</v>
      </c>
      <c r="H41" s="21">
        <v>0</v>
      </c>
      <c r="I41" s="21">
        <v>0</v>
      </c>
      <c r="J41" s="21">
        <v>0</v>
      </c>
      <c r="K41" s="21">
        <v>0</v>
      </c>
      <c r="L41" s="21">
        <v>0</v>
      </c>
      <c r="N41" s="84" t="s">
        <v>49</v>
      </c>
    </row>
    <row r="42" spans="1:14" x14ac:dyDescent="0.25">
      <c r="A42" t="str">
        <v>US Non-econ</v>
      </c>
      <c r="C42" s="21">
        <v>0</v>
      </c>
      <c r="D42" s="21">
        <v>0</v>
      </c>
      <c r="E42" s="21">
        <v>0</v>
      </c>
      <c r="F42" s="21">
        <v>0</v>
      </c>
      <c r="G42" s="21">
        <v>0</v>
      </c>
      <c r="H42" s="21">
        <v>0</v>
      </c>
      <c r="I42" s="21">
        <v>0</v>
      </c>
      <c r="J42" s="21">
        <v>0</v>
      </c>
      <c r="K42" s="21">
        <v>0</v>
      </c>
      <c r="L42" s="21">
        <v>0</v>
      </c>
      <c r="N42" s="84" t="s">
        <v>49</v>
      </c>
    </row>
    <row r="43" spans="1:14" x14ac:dyDescent="0.25">
      <c r="A43" t="str">
        <v>OT Non-econ</v>
      </c>
      <c r="C43" s="21">
        <v>0</v>
      </c>
      <c r="D43" s="21">
        <v>0</v>
      </c>
      <c r="E43" s="21">
        <v>0</v>
      </c>
      <c r="F43" s="21">
        <v>0</v>
      </c>
      <c r="G43" s="21">
        <v>0</v>
      </c>
      <c r="H43" s="21">
        <v>0</v>
      </c>
      <c r="I43" s="21">
        <v>0</v>
      </c>
      <c r="J43" s="21">
        <v>0</v>
      </c>
      <c r="K43" s="21">
        <v>0</v>
      </c>
      <c r="L43" s="21">
        <v>0</v>
      </c>
      <c r="N43" s="84" t="s">
        <v>49</v>
      </c>
    </row>
    <row r="44" spans="1:14" x14ac:dyDescent="0.25">
      <c r="A44" t="str">
        <v>EE Non-econ</v>
      </c>
      <c r="C44" s="21">
        <v>0</v>
      </c>
      <c r="D44" s="21">
        <v>0</v>
      </c>
      <c r="E44" s="21">
        <v>0</v>
      </c>
      <c r="F44" s="21">
        <v>0</v>
      </c>
      <c r="G44" s="21">
        <v>0</v>
      </c>
      <c r="H44" s="21">
        <v>0</v>
      </c>
      <c r="I44" s="21">
        <v>0</v>
      </c>
      <c r="J44" s="21">
        <v>0</v>
      </c>
      <c r="K44" s="21">
        <v>0</v>
      </c>
      <c r="L44" s="21">
        <v>0</v>
      </c>
      <c r="N44" s="84" t="s">
        <v>49</v>
      </c>
    </row>
    <row r="45" spans="1:14" x14ac:dyDescent="0.25">
      <c r="A45" t="str">
        <v>CA Non-econ</v>
      </c>
      <c r="C45" s="21">
        <v>0</v>
      </c>
      <c r="D45" s="21">
        <v>0</v>
      </c>
      <c r="E45" s="21">
        <v>0</v>
      </c>
      <c r="F45" s="21">
        <v>0</v>
      </c>
      <c r="G45" s="21">
        <v>0</v>
      </c>
      <c r="H45" s="21">
        <v>0</v>
      </c>
      <c r="I45" s="21">
        <v>0</v>
      </c>
      <c r="J45" s="21">
        <v>0</v>
      </c>
      <c r="K45" s="21">
        <v>0</v>
      </c>
      <c r="L45" s="21">
        <v>0</v>
      </c>
      <c r="N45" s="84" t="s">
        <v>49</v>
      </c>
    </row>
    <row r="46" spans="1:14" x14ac:dyDescent="0.25">
      <c r="A46" t="str">
        <v>IA Non-econ</v>
      </c>
      <c r="C46" s="21">
        <v>0</v>
      </c>
      <c r="D46" s="21">
        <v>0</v>
      </c>
      <c r="E46" s="21">
        <v>0</v>
      </c>
      <c r="F46" s="21">
        <v>0</v>
      </c>
      <c r="G46" s="21">
        <v>0</v>
      </c>
      <c r="H46" s="21">
        <v>0</v>
      </c>
      <c r="I46" s="21">
        <v>0</v>
      </c>
      <c r="J46" s="21">
        <v>0</v>
      </c>
      <c r="K46" s="21">
        <v>0</v>
      </c>
      <c r="L46" s="21">
        <v>0</v>
      </c>
      <c r="N46" s="84" t="s">
        <v>49</v>
      </c>
    </row>
    <row r="47" spans="1:14" x14ac:dyDescent="0.25">
      <c r="A47" t="str">
        <v>AF Non-econ</v>
      </c>
      <c r="C47" s="21">
        <v>0</v>
      </c>
      <c r="D47" s="21">
        <v>0</v>
      </c>
      <c r="E47" s="21">
        <v>0</v>
      </c>
      <c r="F47" s="21">
        <v>0</v>
      </c>
      <c r="G47" s="21">
        <v>0</v>
      </c>
      <c r="H47" s="21">
        <v>0</v>
      </c>
      <c r="I47" s="21">
        <v>0</v>
      </c>
      <c r="J47" s="21">
        <v>0</v>
      </c>
      <c r="K47" s="21">
        <v>0</v>
      </c>
      <c r="L47" s="21">
        <v>0</v>
      </c>
      <c r="N47" s="84" t="s">
        <v>49</v>
      </c>
    </row>
    <row r="48" spans="1:14" x14ac:dyDescent="0.25">
      <c r="A48" t="str">
        <v>LA Non-econ</v>
      </c>
      <c r="C48" s="21">
        <v>0</v>
      </c>
      <c r="D48" s="21">
        <v>0</v>
      </c>
      <c r="E48" s="21">
        <v>0</v>
      </c>
      <c r="F48" s="21">
        <v>0</v>
      </c>
      <c r="G48" s="21">
        <v>0</v>
      </c>
      <c r="H48" s="21">
        <v>0</v>
      </c>
      <c r="I48" s="21">
        <v>0</v>
      </c>
      <c r="J48" s="21">
        <v>0</v>
      </c>
      <c r="K48" s="21">
        <v>0</v>
      </c>
      <c r="L48" s="21">
        <v>0</v>
      </c>
      <c r="N48" s="84" t="s">
        <v>49</v>
      </c>
    </row>
    <row r="49" spans="1:14" ht="15.5" x14ac:dyDescent="0.4">
      <c r="C49" s="89" t="s">
        <v>286</v>
      </c>
      <c r="D49" s="9"/>
      <c r="E49" s="9"/>
      <c r="F49" s="9"/>
      <c r="G49" s="9"/>
      <c r="H49" s="9"/>
      <c r="I49" s="9"/>
      <c r="J49" s="9"/>
      <c r="K49" s="9"/>
      <c r="L49" s="9"/>
    </row>
    <row r="50" spans="1:14" x14ac:dyDescent="0.25">
      <c r="A50" t="str">
        <f t="array" ref="A50:A57">R_CODE&amp;" sea level"</f>
        <v>EU sea level</v>
      </c>
      <c r="C50" s="21">
        <f t="array" ref="C50:L57">IF(Y-istart_s_b&lt;0,0,IF(((Y-istart_s_b)/iyears_s_b)&lt;1,((Y-istart_s_b)/iyears_s_b)*impred_s_b,impred_s_b))</f>
        <v>0</v>
      </c>
      <c r="D50" s="21">
        <v>0</v>
      </c>
      <c r="E50" s="21">
        <v>12.5</v>
      </c>
      <c r="F50" s="21">
        <v>25</v>
      </c>
      <c r="G50" s="21">
        <v>37.5</v>
      </c>
      <c r="H50" s="21">
        <v>50</v>
      </c>
      <c r="I50" s="21">
        <v>50</v>
      </c>
      <c r="J50" s="21">
        <v>50</v>
      </c>
      <c r="K50" s="21">
        <v>50</v>
      </c>
      <c r="L50" s="21">
        <v>50</v>
      </c>
      <c r="N50" s="84" t="s">
        <v>46</v>
      </c>
    </row>
    <row r="51" spans="1:14" x14ac:dyDescent="0.25">
      <c r="A51" t="str">
        <v>US sea level</v>
      </c>
      <c r="C51" s="21">
        <v>0</v>
      </c>
      <c r="D51" s="21">
        <v>0</v>
      </c>
      <c r="E51" s="21">
        <v>12.5</v>
      </c>
      <c r="F51" s="21">
        <v>25</v>
      </c>
      <c r="G51" s="21">
        <v>37.5</v>
      </c>
      <c r="H51" s="21">
        <v>50</v>
      </c>
      <c r="I51" s="21">
        <v>50</v>
      </c>
      <c r="J51" s="21">
        <v>50</v>
      </c>
      <c r="K51" s="21">
        <v>50</v>
      </c>
      <c r="L51" s="21">
        <v>50</v>
      </c>
      <c r="N51" s="84" t="s">
        <v>46</v>
      </c>
    </row>
    <row r="52" spans="1:14" x14ac:dyDescent="0.25">
      <c r="A52" t="str">
        <v>OT sea level</v>
      </c>
      <c r="C52" s="21">
        <v>0</v>
      </c>
      <c r="D52" s="21">
        <v>0</v>
      </c>
      <c r="E52" s="21">
        <v>12.5</v>
      </c>
      <c r="F52" s="21">
        <v>25</v>
      </c>
      <c r="G52" s="21">
        <v>37.5</v>
      </c>
      <c r="H52" s="21">
        <v>50</v>
      </c>
      <c r="I52" s="21">
        <v>50</v>
      </c>
      <c r="J52" s="21">
        <v>50</v>
      </c>
      <c r="K52" s="21">
        <v>50</v>
      </c>
      <c r="L52" s="21">
        <v>50</v>
      </c>
      <c r="N52" s="84" t="s">
        <v>46</v>
      </c>
    </row>
    <row r="53" spans="1:14" x14ac:dyDescent="0.25">
      <c r="A53" t="str">
        <v>EE sea level</v>
      </c>
      <c r="C53" s="21">
        <v>0</v>
      </c>
      <c r="D53" s="21">
        <v>0</v>
      </c>
      <c r="E53" s="21">
        <v>12.5</v>
      </c>
      <c r="F53" s="21">
        <v>25</v>
      </c>
      <c r="G53" s="21">
        <v>37.5</v>
      </c>
      <c r="H53" s="21">
        <v>50</v>
      </c>
      <c r="I53" s="21">
        <v>50</v>
      </c>
      <c r="J53" s="21">
        <v>50</v>
      </c>
      <c r="K53" s="21">
        <v>50</v>
      </c>
      <c r="L53" s="21">
        <v>50</v>
      </c>
      <c r="N53" s="84" t="s">
        <v>46</v>
      </c>
    </row>
    <row r="54" spans="1:14" x14ac:dyDescent="0.25">
      <c r="A54" t="str">
        <v>CA sea level</v>
      </c>
      <c r="C54" s="21">
        <v>0</v>
      </c>
      <c r="D54" s="21">
        <v>0</v>
      </c>
      <c r="E54" s="21">
        <v>6.25</v>
      </c>
      <c r="F54" s="21">
        <v>12.5</v>
      </c>
      <c r="G54" s="21">
        <v>18.75</v>
      </c>
      <c r="H54" s="21">
        <v>25</v>
      </c>
      <c r="I54" s="21">
        <v>25</v>
      </c>
      <c r="J54" s="21">
        <v>25</v>
      </c>
      <c r="K54" s="21">
        <v>25</v>
      </c>
      <c r="L54" s="21">
        <v>25</v>
      </c>
      <c r="N54" s="84" t="s">
        <v>46</v>
      </c>
    </row>
    <row r="55" spans="1:14" x14ac:dyDescent="0.25">
      <c r="A55" t="str">
        <v>IA sea level</v>
      </c>
      <c r="C55" s="21">
        <v>0</v>
      </c>
      <c r="D55" s="21">
        <v>0</v>
      </c>
      <c r="E55" s="21">
        <v>6.25</v>
      </c>
      <c r="F55" s="21">
        <v>12.5</v>
      </c>
      <c r="G55" s="21">
        <v>18.75</v>
      </c>
      <c r="H55" s="21">
        <v>25</v>
      </c>
      <c r="I55" s="21">
        <v>25</v>
      </c>
      <c r="J55" s="21">
        <v>25</v>
      </c>
      <c r="K55" s="21">
        <v>25</v>
      </c>
      <c r="L55" s="21">
        <v>25</v>
      </c>
      <c r="N55" s="84" t="s">
        <v>46</v>
      </c>
    </row>
    <row r="56" spans="1:14" x14ac:dyDescent="0.25">
      <c r="A56" t="str">
        <v>AF sea level</v>
      </c>
      <c r="C56" s="21">
        <v>0</v>
      </c>
      <c r="D56" s="21">
        <v>0</v>
      </c>
      <c r="E56" s="21">
        <v>6.25</v>
      </c>
      <c r="F56" s="21">
        <v>12.5</v>
      </c>
      <c r="G56" s="21">
        <v>18.75</v>
      </c>
      <c r="H56" s="21">
        <v>25</v>
      </c>
      <c r="I56" s="21">
        <v>25</v>
      </c>
      <c r="J56" s="21">
        <v>25</v>
      </c>
      <c r="K56" s="21">
        <v>25</v>
      </c>
      <c r="L56" s="21">
        <v>25</v>
      </c>
      <c r="N56" s="84" t="s">
        <v>46</v>
      </c>
    </row>
    <row r="57" spans="1:14" x14ac:dyDescent="0.25">
      <c r="A57" t="str">
        <v>LA sea level</v>
      </c>
      <c r="C57" s="21">
        <v>0</v>
      </c>
      <c r="D57" s="21">
        <v>0</v>
      </c>
      <c r="E57" s="21">
        <v>6.25</v>
      </c>
      <c r="F57" s="21">
        <v>12.5</v>
      </c>
      <c r="G57" s="21">
        <v>18.75</v>
      </c>
      <c r="H57" s="21">
        <v>25</v>
      </c>
      <c r="I57" s="21">
        <v>25</v>
      </c>
      <c r="J57" s="21">
        <v>25</v>
      </c>
      <c r="K57" s="21">
        <v>25</v>
      </c>
      <c r="L57" s="21">
        <v>25</v>
      </c>
      <c r="N57" s="84" t="s">
        <v>46</v>
      </c>
    </row>
    <row r="58" spans="1:14" ht="15.5" x14ac:dyDescent="0.4">
      <c r="C58" s="89" t="s">
        <v>287</v>
      </c>
      <c r="D58" s="9"/>
      <c r="E58" s="9"/>
      <c r="F58" s="9"/>
      <c r="G58" s="9"/>
      <c r="H58" s="9"/>
      <c r="I58" s="9"/>
      <c r="J58" s="9"/>
      <c r="K58" s="9"/>
      <c r="L58" s="9"/>
    </row>
    <row r="59" spans="1:14" x14ac:dyDescent="0.25">
      <c r="A59" t="str">
        <f t="array" ref="A59:A66">R_CODE&amp;" "&amp;I_1_NAME</f>
        <v>EU Economic</v>
      </c>
      <c r="C59" s="21">
        <f t="array" ref="C59:L66">IF(Y-istart_1_b&lt;0,0,IF(((Y-istart_1_b)/iyears_1_b)&lt;1,((Y-istart_1_b)/iyears_1_b)*impred_1_b,impred_1_b))</f>
        <v>0</v>
      </c>
      <c r="D59" s="21">
        <v>15</v>
      </c>
      <c r="E59" s="21">
        <v>30</v>
      </c>
      <c r="F59" s="21">
        <v>30</v>
      </c>
      <c r="G59" s="21">
        <v>30</v>
      </c>
      <c r="H59" s="21">
        <v>30</v>
      </c>
      <c r="I59" s="21">
        <v>30</v>
      </c>
      <c r="J59" s="21">
        <v>30</v>
      </c>
      <c r="K59" s="21">
        <v>30</v>
      </c>
      <c r="L59" s="21">
        <v>30</v>
      </c>
      <c r="N59" s="84" t="s">
        <v>46</v>
      </c>
    </row>
    <row r="60" spans="1:14" x14ac:dyDescent="0.25">
      <c r="A60" t="str">
        <v>US Economic</v>
      </c>
      <c r="C60" s="21">
        <v>0</v>
      </c>
      <c r="D60" s="21">
        <v>15</v>
      </c>
      <c r="E60" s="21">
        <v>30</v>
      </c>
      <c r="F60" s="21">
        <v>30</v>
      </c>
      <c r="G60" s="21">
        <v>30</v>
      </c>
      <c r="H60" s="21">
        <v>30</v>
      </c>
      <c r="I60" s="21">
        <v>30</v>
      </c>
      <c r="J60" s="21">
        <v>30</v>
      </c>
      <c r="K60" s="21">
        <v>30</v>
      </c>
      <c r="L60" s="21">
        <v>30</v>
      </c>
      <c r="N60" s="84" t="s">
        <v>46</v>
      </c>
    </row>
    <row r="61" spans="1:14" x14ac:dyDescent="0.25">
      <c r="A61" t="str">
        <v>OT Economic</v>
      </c>
      <c r="C61" s="21">
        <v>0</v>
      </c>
      <c r="D61" s="21">
        <v>15</v>
      </c>
      <c r="E61" s="21">
        <v>30</v>
      </c>
      <c r="F61" s="21">
        <v>30</v>
      </c>
      <c r="G61" s="21">
        <v>30</v>
      </c>
      <c r="H61" s="21">
        <v>30</v>
      </c>
      <c r="I61" s="21">
        <v>30</v>
      </c>
      <c r="J61" s="21">
        <v>30</v>
      </c>
      <c r="K61" s="21">
        <v>30</v>
      </c>
      <c r="L61" s="21">
        <v>30</v>
      </c>
      <c r="N61" s="84" t="s">
        <v>46</v>
      </c>
    </row>
    <row r="62" spans="1:14" x14ac:dyDescent="0.25">
      <c r="A62" t="str">
        <v>EE Economic</v>
      </c>
      <c r="C62" s="21">
        <v>0</v>
      </c>
      <c r="D62" s="21">
        <v>15</v>
      </c>
      <c r="E62" s="21">
        <v>30</v>
      </c>
      <c r="F62" s="21">
        <v>30</v>
      </c>
      <c r="G62" s="21">
        <v>30</v>
      </c>
      <c r="H62" s="21">
        <v>30</v>
      </c>
      <c r="I62" s="21">
        <v>30</v>
      </c>
      <c r="J62" s="21">
        <v>30</v>
      </c>
      <c r="K62" s="21">
        <v>30</v>
      </c>
      <c r="L62" s="21">
        <v>30</v>
      </c>
      <c r="N62" s="84" t="s">
        <v>46</v>
      </c>
    </row>
    <row r="63" spans="1:14" x14ac:dyDescent="0.25">
      <c r="A63" t="str">
        <v>CA Economic</v>
      </c>
      <c r="C63" s="21">
        <v>0</v>
      </c>
      <c r="D63" s="21">
        <v>5</v>
      </c>
      <c r="E63" s="21">
        <v>10</v>
      </c>
      <c r="F63" s="21">
        <v>15</v>
      </c>
      <c r="G63" s="21">
        <v>15</v>
      </c>
      <c r="H63" s="21">
        <v>15</v>
      </c>
      <c r="I63" s="21">
        <v>15</v>
      </c>
      <c r="J63" s="21">
        <v>15</v>
      </c>
      <c r="K63" s="21">
        <v>15</v>
      </c>
      <c r="L63" s="21">
        <v>15</v>
      </c>
      <c r="N63" s="84" t="s">
        <v>46</v>
      </c>
    </row>
    <row r="64" spans="1:14" x14ac:dyDescent="0.25">
      <c r="A64" t="str">
        <v>IA Economic</v>
      </c>
      <c r="C64" s="21">
        <v>0</v>
      </c>
      <c r="D64" s="21">
        <v>5</v>
      </c>
      <c r="E64" s="21">
        <v>10</v>
      </c>
      <c r="F64" s="21">
        <v>15</v>
      </c>
      <c r="G64" s="21">
        <v>15</v>
      </c>
      <c r="H64" s="21">
        <v>15</v>
      </c>
      <c r="I64" s="21">
        <v>15</v>
      </c>
      <c r="J64" s="21">
        <v>15</v>
      </c>
      <c r="K64" s="21">
        <v>15</v>
      </c>
      <c r="L64" s="21">
        <v>15</v>
      </c>
      <c r="N64" s="84" t="s">
        <v>46</v>
      </c>
    </row>
    <row r="65" spans="1:14" x14ac:dyDescent="0.25">
      <c r="A65" t="str">
        <v>AF Economic</v>
      </c>
      <c r="C65" s="21">
        <v>0</v>
      </c>
      <c r="D65" s="21">
        <v>5</v>
      </c>
      <c r="E65" s="21">
        <v>10</v>
      </c>
      <c r="F65" s="21">
        <v>15</v>
      </c>
      <c r="G65" s="21">
        <v>15</v>
      </c>
      <c r="H65" s="21">
        <v>15</v>
      </c>
      <c r="I65" s="21">
        <v>15</v>
      </c>
      <c r="J65" s="21">
        <v>15</v>
      </c>
      <c r="K65" s="21">
        <v>15</v>
      </c>
      <c r="L65" s="21">
        <v>15</v>
      </c>
      <c r="N65" s="84" t="s">
        <v>46</v>
      </c>
    </row>
    <row r="66" spans="1:14" x14ac:dyDescent="0.25">
      <c r="A66" t="str">
        <v>LA Economic</v>
      </c>
      <c r="C66" s="21">
        <v>0</v>
      </c>
      <c r="D66" s="21">
        <v>5</v>
      </c>
      <c r="E66" s="21">
        <v>10</v>
      </c>
      <c r="F66" s="21">
        <v>15</v>
      </c>
      <c r="G66" s="21">
        <v>15</v>
      </c>
      <c r="H66" s="21">
        <v>15</v>
      </c>
      <c r="I66" s="21">
        <v>15</v>
      </c>
      <c r="J66" s="21">
        <v>15</v>
      </c>
      <c r="K66" s="21">
        <v>15</v>
      </c>
      <c r="L66" s="21">
        <v>15</v>
      </c>
      <c r="N66" s="84" t="s">
        <v>46</v>
      </c>
    </row>
    <row r="67" spans="1:14" ht="15.5" x14ac:dyDescent="0.4">
      <c r="C67" s="89" t="s">
        <v>288</v>
      </c>
      <c r="D67" s="9"/>
      <c r="E67" s="9"/>
      <c r="F67" s="9"/>
      <c r="G67" s="9"/>
      <c r="H67" s="9"/>
      <c r="I67" s="9"/>
      <c r="J67" s="9"/>
      <c r="K67" s="9"/>
      <c r="L67" s="9"/>
    </row>
    <row r="68" spans="1:14" x14ac:dyDescent="0.25">
      <c r="A68" t="str">
        <f t="array" ref="A68:A75">R_CODE&amp;" "&amp;I_2_NAME</f>
        <v>EU Non-econ</v>
      </c>
      <c r="C68" s="21">
        <f t="array" ref="C68:L75">IF(Y-istart_2_b&lt;0,0,IF(((Y-istart_2_b)/iyears_2_b)&lt;1,((Y-istart_2_b)/iyears_2_b)*impred_2_b,impred_2_b))</f>
        <v>0</v>
      </c>
      <c r="D68" s="21">
        <v>3.75</v>
      </c>
      <c r="E68" s="21">
        <v>7.5</v>
      </c>
      <c r="F68" s="21">
        <v>11.25</v>
      </c>
      <c r="G68" s="21">
        <v>15</v>
      </c>
      <c r="H68" s="21">
        <v>15</v>
      </c>
      <c r="I68" s="21">
        <v>15</v>
      </c>
      <c r="J68" s="21">
        <v>15</v>
      </c>
      <c r="K68" s="21">
        <v>15</v>
      </c>
      <c r="L68" s="21">
        <v>15</v>
      </c>
      <c r="N68" s="84" t="s">
        <v>46</v>
      </c>
    </row>
    <row r="69" spans="1:14" x14ac:dyDescent="0.25">
      <c r="A69" t="str">
        <v>US Non-econ</v>
      </c>
      <c r="C69" s="21">
        <v>0</v>
      </c>
      <c r="D69" s="21">
        <v>3.75</v>
      </c>
      <c r="E69" s="21">
        <v>7.5</v>
      </c>
      <c r="F69" s="21">
        <v>11.25</v>
      </c>
      <c r="G69" s="21">
        <v>15</v>
      </c>
      <c r="H69" s="21">
        <v>15</v>
      </c>
      <c r="I69" s="21">
        <v>15</v>
      </c>
      <c r="J69" s="21">
        <v>15</v>
      </c>
      <c r="K69" s="21">
        <v>15</v>
      </c>
      <c r="L69" s="21">
        <v>15</v>
      </c>
      <c r="N69" s="84" t="s">
        <v>46</v>
      </c>
    </row>
    <row r="70" spans="1:14" x14ac:dyDescent="0.25">
      <c r="A70" t="str">
        <v>OT Non-econ</v>
      </c>
      <c r="C70" s="21">
        <v>0</v>
      </c>
      <c r="D70" s="21">
        <v>3.75</v>
      </c>
      <c r="E70" s="21">
        <v>7.5</v>
      </c>
      <c r="F70" s="21">
        <v>11.25</v>
      </c>
      <c r="G70" s="21">
        <v>15</v>
      </c>
      <c r="H70" s="21">
        <v>15</v>
      </c>
      <c r="I70" s="21">
        <v>15</v>
      </c>
      <c r="J70" s="21">
        <v>15</v>
      </c>
      <c r="K70" s="21">
        <v>15</v>
      </c>
      <c r="L70" s="21">
        <v>15</v>
      </c>
      <c r="N70" s="84" t="s">
        <v>46</v>
      </c>
    </row>
    <row r="71" spans="1:14" x14ac:dyDescent="0.25">
      <c r="A71" t="str">
        <v>EE Non-econ</v>
      </c>
      <c r="C71" s="21">
        <v>0</v>
      </c>
      <c r="D71" s="21">
        <v>3.75</v>
      </c>
      <c r="E71" s="21">
        <v>7.5</v>
      </c>
      <c r="F71" s="21">
        <v>11.25</v>
      </c>
      <c r="G71" s="21">
        <v>15</v>
      </c>
      <c r="H71" s="21">
        <v>15</v>
      </c>
      <c r="I71" s="21">
        <v>15</v>
      </c>
      <c r="J71" s="21">
        <v>15</v>
      </c>
      <c r="K71" s="21">
        <v>15</v>
      </c>
      <c r="L71" s="21">
        <v>15</v>
      </c>
      <c r="N71" s="84" t="s">
        <v>46</v>
      </c>
    </row>
    <row r="72" spans="1:14" x14ac:dyDescent="0.25">
      <c r="A72" t="str">
        <v>CA Non-econ</v>
      </c>
      <c r="C72" s="21">
        <v>0</v>
      </c>
      <c r="D72" s="21">
        <v>3.75</v>
      </c>
      <c r="E72" s="21">
        <v>7.5</v>
      </c>
      <c r="F72" s="21">
        <v>11.25</v>
      </c>
      <c r="G72" s="21">
        <v>15</v>
      </c>
      <c r="H72" s="21">
        <v>15</v>
      </c>
      <c r="I72" s="21">
        <v>15</v>
      </c>
      <c r="J72" s="21">
        <v>15</v>
      </c>
      <c r="K72" s="21">
        <v>15</v>
      </c>
      <c r="L72" s="21">
        <v>15</v>
      </c>
      <c r="N72" s="84" t="s">
        <v>46</v>
      </c>
    </row>
    <row r="73" spans="1:14" x14ac:dyDescent="0.25">
      <c r="A73" t="str">
        <v>IA Non-econ</v>
      </c>
      <c r="C73" s="21">
        <v>0</v>
      </c>
      <c r="D73" s="21">
        <v>3.75</v>
      </c>
      <c r="E73" s="21">
        <v>7.5</v>
      </c>
      <c r="F73" s="21">
        <v>11.25</v>
      </c>
      <c r="G73" s="21">
        <v>15</v>
      </c>
      <c r="H73" s="21">
        <v>15</v>
      </c>
      <c r="I73" s="21">
        <v>15</v>
      </c>
      <c r="J73" s="21">
        <v>15</v>
      </c>
      <c r="K73" s="21">
        <v>15</v>
      </c>
      <c r="L73" s="21">
        <v>15</v>
      </c>
      <c r="N73" s="84" t="s">
        <v>46</v>
      </c>
    </row>
    <row r="74" spans="1:14" x14ac:dyDescent="0.25">
      <c r="A74" t="str">
        <v>AF Non-econ</v>
      </c>
      <c r="C74" s="21">
        <v>0</v>
      </c>
      <c r="D74" s="21">
        <v>3.75</v>
      </c>
      <c r="E74" s="21">
        <v>7.5</v>
      </c>
      <c r="F74" s="21">
        <v>11.25</v>
      </c>
      <c r="G74" s="21">
        <v>15</v>
      </c>
      <c r="H74" s="21">
        <v>15</v>
      </c>
      <c r="I74" s="21">
        <v>15</v>
      </c>
      <c r="J74" s="21">
        <v>15</v>
      </c>
      <c r="K74" s="21">
        <v>15</v>
      </c>
      <c r="L74" s="21">
        <v>15</v>
      </c>
      <c r="N74" s="84" t="s">
        <v>46</v>
      </c>
    </row>
    <row r="75" spans="1:14" x14ac:dyDescent="0.25">
      <c r="A75" t="str">
        <v>LA Non-econ</v>
      </c>
      <c r="C75" s="21">
        <v>0</v>
      </c>
      <c r="D75" s="21">
        <v>3.75</v>
      </c>
      <c r="E75" s="21">
        <v>7.5</v>
      </c>
      <c r="F75" s="21">
        <v>11.25</v>
      </c>
      <c r="G75" s="21">
        <v>15</v>
      </c>
      <c r="H75" s="21">
        <v>15</v>
      </c>
      <c r="I75" s="21">
        <v>15</v>
      </c>
      <c r="J75" s="21">
        <v>15</v>
      </c>
      <c r="K75" s="21">
        <v>15</v>
      </c>
      <c r="L75" s="21">
        <v>15</v>
      </c>
      <c r="N75" s="84" t="s">
        <v>46</v>
      </c>
    </row>
    <row r="76" spans="1:14" s="2" customFormat="1" ht="15" x14ac:dyDescent="0.4">
      <c r="A76" s="2" t="s">
        <v>108</v>
      </c>
      <c r="C76" s="2" t="s">
        <v>254</v>
      </c>
    </row>
    <row r="77" spans="1:14" x14ac:dyDescent="0.25">
      <c r="A77" t="str">
        <f t="array" ref="A77:A84">R_CODE&amp;" sea level"</f>
        <v>EU sea level</v>
      </c>
      <c r="C77" s="39">
        <f t="array" ref="C77:L84">IF((s_b-atl_s_b)&lt;0,0,s_b-atl_s_b)</f>
        <v>4.946701637987036E-2</v>
      </c>
      <c r="D77" s="39">
        <v>0</v>
      </c>
      <c r="E77" s="39">
        <v>0</v>
      </c>
      <c r="F77" s="39">
        <v>1.9200885288709391E-2</v>
      </c>
      <c r="G77" s="39">
        <v>5.9275792121192383E-2</v>
      </c>
      <c r="H77" s="39">
        <v>0.10301821439090086</v>
      </c>
      <c r="I77" s="39">
        <v>0.20278360617472813</v>
      </c>
      <c r="J77" s="39">
        <v>0.31158248462886085</v>
      </c>
      <c r="K77" s="39">
        <v>0.89970523208836806</v>
      </c>
      <c r="L77" s="39">
        <v>1.4804412576848631</v>
      </c>
      <c r="M77" s="6"/>
      <c r="N77" s="84" t="s">
        <v>228</v>
      </c>
    </row>
    <row r="78" spans="1:14" x14ac:dyDescent="0.25">
      <c r="A78" t="str">
        <v>US sea level</v>
      </c>
      <c r="C78" s="35">
        <v>4.946701637987036E-2</v>
      </c>
      <c r="D78" s="35">
        <v>0</v>
      </c>
      <c r="E78" s="35">
        <v>0</v>
      </c>
      <c r="F78" s="35">
        <v>1.9200885288709391E-2</v>
      </c>
      <c r="G78" s="35">
        <v>5.9275792121192383E-2</v>
      </c>
      <c r="H78" s="35">
        <v>0.10301821439090086</v>
      </c>
      <c r="I78" s="35">
        <v>0.20278360617472813</v>
      </c>
      <c r="J78" s="35">
        <v>0.31158248462886085</v>
      </c>
      <c r="K78" s="35">
        <v>0.89970523208836806</v>
      </c>
      <c r="L78" s="35">
        <v>1.4804412576848631</v>
      </c>
      <c r="M78" s="6"/>
      <c r="N78" s="84" t="s">
        <v>228</v>
      </c>
    </row>
    <row r="79" spans="1:14" x14ac:dyDescent="0.25">
      <c r="A79" t="str">
        <v>OT sea level</v>
      </c>
      <c r="C79" s="35">
        <v>4.946701637987036E-2</v>
      </c>
      <c r="D79" s="35">
        <v>0</v>
      </c>
      <c r="E79" s="35">
        <v>0</v>
      </c>
      <c r="F79" s="35">
        <v>1.9200885288709391E-2</v>
      </c>
      <c r="G79" s="35">
        <v>5.9275792121192383E-2</v>
      </c>
      <c r="H79" s="35">
        <v>0.10301821439090086</v>
      </c>
      <c r="I79" s="35">
        <v>0.20278360617472813</v>
      </c>
      <c r="J79" s="35">
        <v>0.31158248462886085</v>
      </c>
      <c r="K79" s="35">
        <v>0.89970523208836806</v>
      </c>
      <c r="L79" s="35">
        <v>1.4804412576848631</v>
      </c>
      <c r="M79" s="6"/>
      <c r="N79" s="84" t="s">
        <v>228</v>
      </c>
    </row>
    <row r="80" spans="1:14" x14ac:dyDescent="0.25">
      <c r="A80" t="str">
        <v>EE sea level</v>
      </c>
      <c r="C80" s="35">
        <v>4.946701637987036E-2</v>
      </c>
      <c r="D80" s="35">
        <v>0</v>
      </c>
      <c r="E80" s="35">
        <v>0</v>
      </c>
      <c r="F80" s="35">
        <v>1.9200885288709391E-2</v>
      </c>
      <c r="G80" s="35">
        <v>5.9275792121192383E-2</v>
      </c>
      <c r="H80" s="35">
        <v>0.10301821439090086</v>
      </c>
      <c r="I80" s="35">
        <v>0.20278360617472813</v>
      </c>
      <c r="J80" s="35">
        <v>0.31158248462886085</v>
      </c>
      <c r="K80" s="35">
        <v>0.89970523208836806</v>
      </c>
      <c r="L80" s="35">
        <v>1.4804412576848631</v>
      </c>
      <c r="M80" s="6"/>
      <c r="N80" s="84" t="s">
        <v>228</v>
      </c>
    </row>
    <row r="81" spans="1:14" x14ac:dyDescent="0.25">
      <c r="A81" t="str">
        <v>CA sea level</v>
      </c>
      <c r="C81" s="35">
        <v>0.10780034971320369</v>
      </c>
      <c r="D81" s="35">
        <v>6.8702270289442341E-2</v>
      </c>
      <c r="E81" s="35">
        <v>3.3284321019279917E-2</v>
      </c>
      <c r="F81" s="35">
        <v>6.9200885288709379E-2</v>
      </c>
      <c r="G81" s="35">
        <v>0.10927579212119237</v>
      </c>
      <c r="H81" s="35">
        <v>0.15301821439090085</v>
      </c>
      <c r="I81" s="35">
        <v>0.25278360617472811</v>
      </c>
      <c r="J81" s="35">
        <v>0.36158248462886083</v>
      </c>
      <c r="K81" s="35">
        <v>0.9497052320883681</v>
      </c>
      <c r="L81" s="35">
        <v>1.5304412576848632</v>
      </c>
      <c r="M81" s="6"/>
      <c r="N81" s="84" t="s">
        <v>228</v>
      </c>
    </row>
    <row r="82" spans="1:14" x14ac:dyDescent="0.25">
      <c r="A82" t="str">
        <v>IA sea level</v>
      </c>
      <c r="C82" s="35">
        <v>0.10780034971320369</v>
      </c>
      <c r="D82" s="35">
        <v>6.8702270289442341E-2</v>
      </c>
      <c r="E82" s="35">
        <v>3.3284321019279917E-2</v>
      </c>
      <c r="F82" s="35">
        <v>6.9200885288709379E-2</v>
      </c>
      <c r="G82" s="35">
        <v>0.10927579212119237</v>
      </c>
      <c r="H82" s="35">
        <v>0.15301821439090085</v>
      </c>
      <c r="I82" s="35">
        <v>0.25278360617472811</v>
      </c>
      <c r="J82" s="35">
        <v>0.36158248462886083</v>
      </c>
      <c r="K82" s="35">
        <v>0.9497052320883681</v>
      </c>
      <c r="L82" s="35">
        <v>1.5304412576848632</v>
      </c>
      <c r="M82" s="6"/>
      <c r="N82" s="84" t="s">
        <v>228</v>
      </c>
    </row>
    <row r="83" spans="1:14" x14ac:dyDescent="0.25">
      <c r="A83" t="str">
        <v>AF sea level</v>
      </c>
      <c r="C83" s="35">
        <v>0.10780034971320369</v>
      </c>
      <c r="D83" s="35">
        <v>6.8702270289442341E-2</v>
      </c>
      <c r="E83" s="35">
        <v>3.3284321019279917E-2</v>
      </c>
      <c r="F83" s="35">
        <v>6.9200885288709379E-2</v>
      </c>
      <c r="G83" s="35">
        <v>0.10927579212119237</v>
      </c>
      <c r="H83" s="35">
        <v>0.15301821439090085</v>
      </c>
      <c r="I83" s="35">
        <v>0.25278360617472811</v>
      </c>
      <c r="J83" s="35">
        <v>0.36158248462886083</v>
      </c>
      <c r="K83" s="35">
        <v>0.9497052320883681</v>
      </c>
      <c r="L83" s="35">
        <v>1.5304412576848632</v>
      </c>
      <c r="M83" s="6"/>
      <c r="N83" s="84" t="s">
        <v>228</v>
      </c>
    </row>
    <row r="84" spans="1:14" x14ac:dyDescent="0.25">
      <c r="A84" t="str">
        <v>LA sea level</v>
      </c>
      <c r="C84" s="35">
        <v>0.10780034971320369</v>
      </c>
      <c r="D84" s="35">
        <v>6.8702270289442341E-2</v>
      </c>
      <c r="E84" s="35">
        <v>3.3284321019279917E-2</v>
      </c>
      <c r="F84" s="35">
        <v>6.9200885288709379E-2</v>
      </c>
      <c r="G84" s="35">
        <v>0.10927579212119237</v>
      </c>
      <c r="H84" s="35">
        <v>0.15301821439090085</v>
      </c>
      <c r="I84" s="35">
        <v>0.25278360617472811</v>
      </c>
      <c r="J84" s="35">
        <v>0.36158248462886083</v>
      </c>
      <c r="K84" s="35">
        <v>0.9497052320883681</v>
      </c>
      <c r="L84" s="35">
        <v>1.5304412576848632</v>
      </c>
      <c r="M84" s="6"/>
      <c r="N84" s="84" t="s">
        <v>228</v>
      </c>
    </row>
    <row r="85" spans="1:14" s="2" customFormat="1" ht="15" x14ac:dyDescent="0.4">
      <c r="A85" s="2" t="s">
        <v>108</v>
      </c>
      <c r="C85" s="2" t="s">
        <v>109</v>
      </c>
    </row>
    <row r="86" spans="1:14" x14ac:dyDescent="0.25">
      <c r="A86" t="str">
        <f t="array" ref="A86:A93">R_CODE&amp;" "&amp;I_1_NAME</f>
        <v>EU Economic</v>
      </c>
      <c r="C86" s="39">
        <f t="array" ref="C86:L93">IF((rtl_b-atl_1_b)&lt;0,0,rtl_b-atl_1_b)</f>
        <v>0.63189641646720318</v>
      </c>
      <c r="D86" s="39">
        <v>0.45329323250095022</v>
      </c>
      <c r="E86" s="39">
        <v>0.78943158947092695</v>
      </c>
      <c r="F86" s="39">
        <v>1.1402989836354176</v>
      </c>
      <c r="G86" s="39">
        <v>1.4177251430253901</v>
      </c>
      <c r="H86" s="39">
        <v>1.664697510364646</v>
      </c>
      <c r="I86" s="39">
        <v>2.052078613950767</v>
      </c>
      <c r="J86" s="39">
        <v>2.3282240292535135</v>
      </c>
      <c r="K86" s="39">
        <v>2.7491492951827556</v>
      </c>
      <c r="L86" s="39">
        <v>3.1110086759465281</v>
      </c>
      <c r="M86" s="6"/>
      <c r="N86" s="84" t="s">
        <v>49</v>
      </c>
    </row>
    <row r="87" spans="1:14" x14ac:dyDescent="0.25">
      <c r="A87" t="str">
        <v>US Economic</v>
      </c>
      <c r="C87" s="35">
        <v>0.75334019566829946</v>
      </c>
      <c r="D87" s="35">
        <v>0.63936926969406094</v>
      </c>
      <c r="E87" s="35">
        <v>1.0237125364113799</v>
      </c>
      <c r="F87" s="35">
        <v>1.4060226600740151</v>
      </c>
      <c r="G87" s="35">
        <v>1.7123166541815213</v>
      </c>
      <c r="H87" s="35">
        <v>1.9767699534818859</v>
      </c>
      <c r="I87" s="35">
        <v>2.3719813034996098</v>
      </c>
      <c r="J87" s="35">
        <v>2.6365842346335344</v>
      </c>
      <c r="K87" s="35">
        <v>3.0433947622192248</v>
      </c>
      <c r="L87" s="35">
        <v>3.40444349658965</v>
      </c>
      <c r="M87" s="6"/>
      <c r="N87" s="84" t="s">
        <v>49</v>
      </c>
    </row>
    <row r="88" spans="1:14" x14ac:dyDescent="0.25">
      <c r="A88" t="str">
        <v>OT Economic</v>
      </c>
      <c r="C88" s="35">
        <v>1.2205145375430788</v>
      </c>
      <c r="D88" s="35">
        <v>1.2532389687581755</v>
      </c>
      <c r="E88" s="35">
        <v>1.7470354150190563</v>
      </c>
      <c r="F88" s="35">
        <v>2.2011731866594642</v>
      </c>
      <c r="G88" s="35">
        <v>2.5728516687746361</v>
      </c>
      <c r="H88" s="35">
        <v>2.8772913921155894</v>
      </c>
      <c r="I88" s="35">
        <v>3.2910681998853963</v>
      </c>
      <c r="J88" s="35">
        <v>3.5285989745128177</v>
      </c>
      <c r="K88" s="35">
        <v>3.9023042883597636</v>
      </c>
      <c r="L88" s="35">
        <v>4.2614517035937602</v>
      </c>
      <c r="M88" s="6"/>
      <c r="N88" s="84" t="s">
        <v>49</v>
      </c>
    </row>
    <row r="89" spans="1:14" x14ac:dyDescent="0.25">
      <c r="A89" t="str">
        <v>EE Economic</v>
      </c>
      <c r="C89" s="35">
        <v>1.1070875142457062</v>
      </c>
      <c r="D89" s="35">
        <v>0.89689252354210036</v>
      </c>
      <c r="E89" s="35">
        <v>1.2891762897847747</v>
      </c>
      <c r="F89" s="35">
        <v>1.7830723468165841</v>
      </c>
      <c r="G89" s="35">
        <v>2.2274349948616514</v>
      </c>
      <c r="H89" s="35">
        <v>2.5971557803318204</v>
      </c>
      <c r="I89" s="35">
        <v>3.1392588861845496</v>
      </c>
      <c r="J89" s="35">
        <v>3.501220472014249</v>
      </c>
      <c r="K89" s="35">
        <v>4.0270861281504171</v>
      </c>
      <c r="L89" s="35">
        <v>4.3949725103907396</v>
      </c>
      <c r="M89" s="6"/>
      <c r="N89" s="84" t="s">
        <v>49</v>
      </c>
    </row>
    <row r="90" spans="1:14" x14ac:dyDescent="0.25">
      <c r="A90" t="str">
        <v>CA Economic</v>
      </c>
      <c r="C90" s="35">
        <v>0</v>
      </c>
      <c r="D90" s="35">
        <v>0</v>
      </c>
      <c r="E90" s="35">
        <v>0</v>
      </c>
      <c r="F90" s="35">
        <v>0</v>
      </c>
      <c r="G90" s="35">
        <v>0</v>
      </c>
      <c r="H90" s="35">
        <v>0</v>
      </c>
      <c r="I90" s="35">
        <v>0.61967027351229231</v>
      </c>
      <c r="J90" s="35">
        <v>1.3150348981965729</v>
      </c>
      <c r="K90" s="35">
        <v>2.2486027948164917</v>
      </c>
      <c r="L90" s="35">
        <v>2.6399045846090718</v>
      </c>
      <c r="M90" s="6"/>
      <c r="N90" s="84" t="s">
        <v>49</v>
      </c>
    </row>
    <row r="91" spans="1:14" x14ac:dyDescent="0.25">
      <c r="A91" t="str">
        <v>IA Economic</v>
      </c>
      <c r="C91" s="35">
        <v>0.84912054966594597</v>
      </c>
      <c r="D91" s="35">
        <v>0.54515188489653088</v>
      </c>
      <c r="E91" s="35">
        <v>0.46785328947929894</v>
      </c>
      <c r="F91" s="35">
        <v>0.6005484993397423</v>
      </c>
      <c r="G91" s="35">
        <v>1.0527374108315004</v>
      </c>
      <c r="H91" s="35">
        <v>1.4363761006524229</v>
      </c>
      <c r="I91" s="35">
        <v>2.0287380159504886</v>
      </c>
      <c r="J91" s="35">
        <v>2.4597940553525106</v>
      </c>
      <c r="K91" s="35">
        <v>3.0701519333448894</v>
      </c>
      <c r="L91" s="35">
        <v>3.4428909251941544</v>
      </c>
      <c r="M91" s="6"/>
      <c r="N91" s="84" t="s">
        <v>49</v>
      </c>
    </row>
    <row r="92" spans="1:14" x14ac:dyDescent="0.25">
      <c r="A92" t="str">
        <v>AF Economic</v>
      </c>
      <c r="C92" s="35">
        <v>1.0605331808856704</v>
      </c>
      <c r="D92" s="35">
        <v>1.0381135813568581</v>
      </c>
      <c r="E92" s="35">
        <v>0.9175664975894503</v>
      </c>
      <c r="F92" s="35">
        <v>0.83485464671516674</v>
      </c>
      <c r="G92" s="35">
        <v>1.0615063960584847</v>
      </c>
      <c r="H92" s="35">
        <v>1.2932964637147277</v>
      </c>
      <c r="I92" s="35">
        <v>1.7552495541206121</v>
      </c>
      <c r="J92" s="35">
        <v>2.2041186253792016</v>
      </c>
      <c r="K92" s="35">
        <v>2.8362591872447718</v>
      </c>
      <c r="L92" s="35">
        <v>3.2102492156835538</v>
      </c>
      <c r="M92" s="6"/>
      <c r="N92" s="84" t="s">
        <v>49</v>
      </c>
    </row>
    <row r="93" spans="1:14" x14ac:dyDescent="0.25">
      <c r="A93" t="str">
        <v>LA Economic</v>
      </c>
      <c r="C93" s="35">
        <v>1.2512075344068878</v>
      </c>
      <c r="D93" s="35">
        <v>1.2693849451185291</v>
      </c>
      <c r="E93" s="35">
        <v>1.2428604335296281</v>
      </c>
      <c r="F93" s="35">
        <v>1.1848505250168673</v>
      </c>
      <c r="G93" s="35">
        <v>1.4302490277998872</v>
      </c>
      <c r="H93" s="35">
        <v>1.6681828055025871</v>
      </c>
      <c r="I93" s="35">
        <v>2.1085372834027738</v>
      </c>
      <c r="J93" s="35">
        <v>2.5096457308938613</v>
      </c>
      <c r="K93" s="35">
        <v>3.0833821660789766</v>
      </c>
      <c r="L93" s="35">
        <v>3.4540178925464611</v>
      </c>
      <c r="M93" s="6"/>
      <c r="N93" s="84" t="s">
        <v>49</v>
      </c>
    </row>
    <row r="94" spans="1:14" s="2" customFormat="1" ht="15" x14ac:dyDescent="0.4">
      <c r="A94" s="2" t="s">
        <v>108</v>
      </c>
      <c r="C94" s="2" t="s">
        <v>111</v>
      </c>
      <c r="D94" s="18"/>
      <c r="E94" s="18"/>
      <c r="F94" s="18"/>
      <c r="G94" s="18"/>
      <c r="H94" s="18"/>
      <c r="I94" s="18"/>
      <c r="J94" s="18"/>
      <c r="K94" s="18"/>
      <c r="L94" s="18"/>
    </row>
    <row r="95" spans="1:14" x14ac:dyDescent="0.25">
      <c r="A95" t="str">
        <f t="array" ref="A95:A102">R_CODE&amp;" "&amp;I_2_NAME</f>
        <v>EU Non-econ</v>
      </c>
      <c r="C95" s="39">
        <f t="array" ref="C95:L102">IF((rtl_b-atl_2_b)&lt;0,0,rtl_b-atl_2_b)</f>
        <v>1.1318964164672032</v>
      </c>
      <c r="D95" s="39">
        <v>1.4532932325009502</v>
      </c>
      <c r="E95" s="39">
        <v>1.789431589470927</v>
      </c>
      <c r="F95" s="39">
        <v>2.1402989836354176</v>
      </c>
      <c r="G95" s="39">
        <v>2.4177251430253901</v>
      </c>
      <c r="H95" s="39">
        <v>2.664697510364646</v>
      </c>
      <c r="I95" s="39">
        <v>3.052078613950767</v>
      </c>
      <c r="J95" s="39">
        <v>3.3282240292535135</v>
      </c>
      <c r="K95" s="39">
        <v>3.7491492951827556</v>
      </c>
      <c r="L95" s="39">
        <v>4.1110086759465281</v>
      </c>
      <c r="M95" s="6"/>
      <c r="N95" s="84" t="s">
        <v>49</v>
      </c>
    </row>
    <row r="96" spans="1:14" x14ac:dyDescent="0.25">
      <c r="A96" t="str">
        <v>US Non-econ</v>
      </c>
      <c r="C96" s="35">
        <v>1.2533401956682995</v>
      </c>
      <c r="D96" s="35">
        <v>1.6393692696940609</v>
      </c>
      <c r="E96" s="35">
        <v>2.0237125364113799</v>
      </c>
      <c r="F96" s="35">
        <v>2.4060226600740151</v>
      </c>
      <c r="G96" s="35">
        <v>2.7123166541815213</v>
      </c>
      <c r="H96" s="35">
        <v>2.9767699534818859</v>
      </c>
      <c r="I96" s="35">
        <v>3.3719813034996098</v>
      </c>
      <c r="J96" s="35">
        <v>3.6365842346335344</v>
      </c>
      <c r="K96" s="35">
        <v>4.0433947622192248</v>
      </c>
      <c r="L96" s="35">
        <v>4.40444349658965</v>
      </c>
      <c r="M96" s="6"/>
      <c r="N96" s="84" t="s">
        <v>49</v>
      </c>
    </row>
    <row r="97" spans="1:16" x14ac:dyDescent="0.25">
      <c r="A97" t="str">
        <v>OT Non-econ</v>
      </c>
      <c r="C97" s="35">
        <v>1.7205145375430788</v>
      </c>
      <c r="D97" s="35">
        <v>2.2532389687581755</v>
      </c>
      <c r="E97" s="35">
        <v>2.7470354150190563</v>
      </c>
      <c r="F97" s="35">
        <v>3.2011731866594642</v>
      </c>
      <c r="G97" s="35">
        <v>3.5728516687746361</v>
      </c>
      <c r="H97" s="35">
        <v>3.8772913921155894</v>
      </c>
      <c r="I97" s="35">
        <v>4.2910681998853963</v>
      </c>
      <c r="J97" s="35">
        <v>4.5285989745128177</v>
      </c>
      <c r="K97" s="35">
        <v>4.9023042883597636</v>
      </c>
      <c r="L97" s="35">
        <v>5.2614517035937602</v>
      </c>
      <c r="M97" s="6"/>
      <c r="N97" s="84" t="s">
        <v>49</v>
      </c>
    </row>
    <row r="98" spans="1:16" x14ac:dyDescent="0.25">
      <c r="A98" t="str">
        <v>EE Non-econ</v>
      </c>
      <c r="C98" s="35">
        <v>1.6070875142457062</v>
      </c>
      <c r="D98" s="35">
        <v>1.8968925235421004</v>
      </c>
      <c r="E98" s="35">
        <v>2.2891762897847747</v>
      </c>
      <c r="F98" s="35">
        <v>2.7830723468165841</v>
      </c>
      <c r="G98" s="35">
        <v>3.2274349948616514</v>
      </c>
      <c r="H98" s="35">
        <v>3.5971557803318204</v>
      </c>
      <c r="I98" s="35">
        <v>4.1392588861845496</v>
      </c>
      <c r="J98" s="35">
        <v>4.501220472014249</v>
      </c>
      <c r="K98" s="35">
        <v>5.0270861281504171</v>
      </c>
      <c r="L98" s="35">
        <v>5.3949725103907396</v>
      </c>
      <c r="M98" s="6"/>
      <c r="N98" s="84" t="s">
        <v>49</v>
      </c>
    </row>
    <row r="99" spans="1:16" x14ac:dyDescent="0.25">
      <c r="A99" t="str">
        <v>CA Non-econ</v>
      </c>
      <c r="C99" s="35">
        <v>0</v>
      </c>
      <c r="D99" s="35">
        <v>0</v>
      </c>
      <c r="E99" s="35">
        <v>0</v>
      </c>
      <c r="F99" s="35">
        <v>0</v>
      </c>
      <c r="G99" s="35">
        <v>0.26672319025104485</v>
      </c>
      <c r="H99" s="35">
        <v>0.76740083861287434</v>
      </c>
      <c r="I99" s="35">
        <v>1.6196702735122923</v>
      </c>
      <c r="J99" s="35">
        <v>2.3150348981965729</v>
      </c>
      <c r="K99" s="35">
        <v>3.2486027948164917</v>
      </c>
      <c r="L99" s="35">
        <v>3.6399045846090718</v>
      </c>
      <c r="M99" s="6"/>
      <c r="N99" s="84" t="s">
        <v>49</v>
      </c>
    </row>
    <row r="100" spans="1:16" x14ac:dyDescent="0.25">
      <c r="A100" t="str">
        <v>IA Non-econ</v>
      </c>
      <c r="C100" s="35">
        <v>0.84912054966594597</v>
      </c>
      <c r="D100" s="35">
        <v>0.87848521822986414</v>
      </c>
      <c r="E100" s="35">
        <v>1.1345199561459656</v>
      </c>
      <c r="F100" s="35">
        <v>1.6005484993397423</v>
      </c>
      <c r="G100" s="35">
        <v>2.0527374108315004</v>
      </c>
      <c r="H100" s="35">
        <v>2.4363761006524229</v>
      </c>
      <c r="I100" s="35">
        <v>3.0287380159504886</v>
      </c>
      <c r="J100" s="35">
        <v>3.4597940553525106</v>
      </c>
      <c r="K100" s="35">
        <v>4.0701519333448894</v>
      </c>
      <c r="L100" s="35">
        <v>4.4428909251941544</v>
      </c>
      <c r="M100" s="6"/>
      <c r="N100" s="84" t="s">
        <v>49</v>
      </c>
    </row>
    <row r="101" spans="1:16" x14ac:dyDescent="0.25">
      <c r="A101" t="str">
        <v>AF Non-econ</v>
      </c>
      <c r="C101" s="35">
        <v>1.0605331808856704</v>
      </c>
      <c r="D101" s="35">
        <v>1.3714469146901913</v>
      </c>
      <c r="E101" s="35">
        <v>1.5842331642561169</v>
      </c>
      <c r="F101" s="35">
        <v>1.8348546467151667</v>
      </c>
      <c r="G101" s="35">
        <v>2.0615063960584847</v>
      </c>
      <c r="H101" s="35">
        <v>2.2932964637147277</v>
      </c>
      <c r="I101" s="35">
        <v>2.7552495541206121</v>
      </c>
      <c r="J101" s="35">
        <v>3.2041186253792016</v>
      </c>
      <c r="K101" s="35">
        <v>3.8362591872447718</v>
      </c>
      <c r="L101" s="35">
        <v>4.2102492156835538</v>
      </c>
      <c r="M101" s="6"/>
      <c r="N101" s="84" t="s">
        <v>49</v>
      </c>
    </row>
    <row r="102" spans="1:16" x14ac:dyDescent="0.25">
      <c r="A102" t="str">
        <v>LA Non-econ</v>
      </c>
      <c r="C102" s="35">
        <v>1.2512075344068878</v>
      </c>
      <c r="D102" s="35">
        <v>1.6027182784518623</v>
      </c>
      <c r="E102" s="35">
        <v>1.9095271001962946</v>
      </c>
      <c r="F102" s="35">
        <v>2.1848505250168673</v>
      </c>
      <c r="G102" s="35">
        <v>2.4302490277998872</v>
      </c>
      <c r="H102" s="35">
        <v>2.6681828055025871</v>
      </c>
      <c r="I102" s="35">
        <v>3.1085372834027738</v>
      </c>
      <c r="J102" s="35">
        <v>3.5096457308938613</v>
      </c>
      <c r="K102" s="35">
        <v>4.0833821660789766</v>
      </c>
      <c r="L102" s="35">
        <v>4.4540178925464611</v>
      </c>
      <c r="M102" s="6"/>
      <c r="N102" s="84" t="s">
        <v>49</v>
      </c>
    </row>
    <row r="103" spans="1:16" s="2" customFormat="1" ht="15" x14ac:dyDescent="0.4">
      <c r="A103" s="2" t="s">
        <v>108</v>
      </c>
      <c r="C103" s="2" t="s">
        <v>169</v>
      </c>
      <c r="D103" s="18"/>
      <c r="E103" s="18"/>
      <c r="F103" s="18"/>
      <c r="G103" s="18"/>
      <c r="H103" s="18"/>
      <c r="I103" s="18"/>
      <c r="J103" s="18"/>
      <c r="K103" s="18"/>
      <c r="L103" s="18"/>
    </row>
    <row r="104" spans="1:16" x14ac:dyDescent="0.25">
      <c r="A104" t="s">
        <v>170</v>
      </c>
      <c r="C104" s="35">
        <f t="array" ref="C104:L104">rt_g_b-TDIS</f>
        <v>-2.0717564217503455</v>
      </c>
      <c r="D104" s="35">
        <v>-1.8778078797401854</v>
      </c>
      <c r="E104" s="35">
        <v>-1.6485243790520827</v>
      </c>
      <c r="F104" s="35">
        <v>-1.3598486763092197</v>
      </c>
      <c r="G104" s="35">
        <v>-1.0980216817573292</v>
      </c>
      <c r="H104" s="35">
        <v>-0.86225441371309319</v>
      </c>
      <c r="I104" s="35">
        <v>-0.46653647604049997</v>
      </c>
      <c r="J104" s="35">
        <v>-0.14578367347208765</v>
      </c>
      <c r="K104" s="35">
        <v>0.31256050402537738</v>
      </c>
      <c r="L104" s="35">
        <v>0.60708009377773609</v>
      </c>
      <c r="M104" s="6"/>
      <c r="N104" s="1" t="s">
        <v>49</v>
      </c>
    </row>
    <row r="105" spans="1:16" x14ac:dyDescent="0.25">
      <c r="A105" t="s">
        <v>171</v>
      </c>
      <c r="C105" s="35">
        <f t="array" ref="C105:L105">i_dis_b*PDIS/100</f>
        <v>-0.41435128435006907</v>
      </c>
      <c r="D105" s="35">
        <v>-0.37556157594803707</v>
      </c>
      <c r="E105" s="35">
        <v>-0.32970487581041652</v>
      </c>
      <c r="F105" s="35">
        <v>-0.27196973526184393</v>
      </c>
      <c r="G105" s="35">
        <v>-0.21960433635146581</v>
      </c>
      <c r="H105" s="35">
        <v>-0.17245088274261863</v>
      </c>
      <c r="I105" s="35">
        <v>-9.3307295208099994E-2</v>
      </c>
      <c r="J105" s="35">
        <v>-2.9156734694417531E-2</v>
      </c>
      <c r="K105" s="35">
        <v>6.251210080507548E-2</v>
      </c>
      <c r="L105" s="35">
        <v>0.12141601875554722</v>
      </c>
      <c r="M105" s="6"/>
      <c r="N105" s="1"/>
      <c r="P105" s="12"/>
    </row>
    <row r="106" spans="1:16" x14ac:dyDescent="0.25">
      <c r="A106" s="3" t="s">
        <v>306</v>
      </c>
      <c r="C106" s="35">
        <f t="array" ref="C106:L106">EXP(-YP/DISTAU)</f>
        <v>0.89483931681436979</v>
      </c>
      <c r="D106" s="35">
        <v>0.89483931681436979</v>
      </c>
      <c r="E106" s="35">
        <v>0.89483931681436979</v>
      </c>
      <c r="F106" s="35">
        <v>0.89483931681436979</v>
      </c>
      <c r="G106" s="35">
        <v>0.89483931681436979</v>
      </c>
      <c r="H106" s="35">
        <v>0.89483931681436979</v>
      </c>
      <c r="I106" s="35">
        <v>0.80073740291680806</v>
      </c>
      <c r="J106" s="35">
        <v>0.80073740291680806</v>
      </c>
      <c r="K106" s="35">
        <v>0.32919298780790557</v>
      </c>
      <c r="L106" s="35">
        <v>0.32919298780790557</v>
      </c>
      <c r="M106" s="6"/>
      <c r="N106" s="1"/>
      <c r="P106" s="12"/>
    </row>
    <row r="107" spans="1:16" x14ac:dyDescent="0.25">
      <c r="A107" t="s">
        <v>255</v>
      </c>
      <c r="B107" s="35">
        <f>RAND_DIS</f>
        <v>0.5</v>
      </c>
      <c r="C107" s="44"/>
      <c r="D107" s="44"/>
      <c r="E107" s="44"/>
      <c r="F107" s="44"/>
      <c r="G107" s="44"/>
      <c r="H107" s="44"/>
      <c r="I107" s="44"/>
      <c r="J107" s="44"/>
      <c r="K107" s="44"/>
      <c r="L107" s="44"/>
      <c r="M107" s="6"/>
      <c r="N107" s="1"/>
      <c r="P107" s="12"/>
    </row>
    <row r="108" spans="1:16" x14ac:dyDescent="0.25">
      <c r="A108" t="s">
        <v>256</v>
      </c>
      <c r="B108" s="22">
        <v>0</v>
      </c>
      <c r="C108" s="22">
        <f t="shared" ref="C108:L108" si="0">IF(C105&lt;RAND_DIS,B108,1)</f>
        <v>0</v>
      </c>
      <c r="D108" s="22">
        <f t="shared" si="0"/>
        <v>0</v>
      </c>
      <c r="E108" s="22">
        <f t="shared" si="0"/>
        <v>0</v>
      </c>
      <c r="F108" s="22">
        <f t="shared" si="0"/>
        <v>0</v>
      </c>
      <c r="G108" s="22">
        <f t="shared" si="0"/>
        <v>0</v>
      </c>
      <c r="H108" s="22">
        <f t="shared" si="0"/>
        <v>0</v>
      </c>
      <c r="I108" s="22">
        <f t="shared" si="0"/>
        <v>0</v>
      </c>
      <c r="J108" s="22">
        <f t="shared" si="0"/>
        <v>0</v>
      </c>
      <c r="K108" s="22">
        <f t="shared" si="0"/>
        <v>0</v>
      </c>
      <c r="L108" s="22">
        <f t="shared" si="0"/>
        <v>0</v>
      </c>
      <c r="M108" s="6"/>
      <c r="N108" s="1"/>
    </row>
    <row r="109" spans="1:16" ht="13" x14ac:dyDescent="0.3">
      <c r="A109" s="2" t="s">
        <v>23</v>
      </c>
      <c r="B109" s="2"/>
    </row>
    <row r="110" spans="1:16" s="1" customFormat="1" x14ac:dyDescent="0.25">
      <c r="A110" s="1" t="str">
        <f t="array" ref="A110:A117">R_CODE</f>
        <v>EU</v>
      </c>
      <c r="B110" s="37">
        <f t="array" ref="B110:B117">GDP_0</f>
        <v>9951014.6951500475</v>
      </c>
      <c r="C110" s="37">
        <f t="array" ref="C110:C117">GDP_0*(1+(GRW_1/100))^YP_1</f>
        <v>11940750.985157488</v>
      </c>
      <c r="D110" s="37">
        <f t="array" ref="D110:L117">GDP*(1+(GRW_NOT_1/100))^YP_NOT_1</f>
        <v>14350558.5364135</v>
      </c>
      <c r="E110" s="37">
        <v>16790640.029469609</v>
      </c>
      <c r="F110" s="37">
        <v>18970679.403544687</v>
      </c>
      <c r="G110" s="37">
        <v>21021502.247921091</v>
      </c>
      <c r="H110" s="37">
        <v>23129305.898608789</v>
      </c>
      <c r="I110" s="37">
        <v>27910799.197168358</v>
      </c>
      <c r="J110" s="37">
        <v>34152084.471011065</v>
      </c>
      <c r="K110" s="37">
        <v>102015483.33227719</v>
      </c>
      <c r="L110" s="37">
        <v>144326831.51046821</v>
      </c>
      <c r="N110" s="1" t="str">
        <f t="shared" ref="N110:N118" si="1">CURRENCY_NAME</f>
        <v>$million</v>
      </c>
    </row>
    <row r="111" spans="1:16" s="1" customFormat="1" x14ac:dyDescent="0.25">
      <c r="A111" s="1" t="str">
        <v>US</v>
      </c>
      <c r="B111" s="38">
        <v>9691134.6837654058</v>
      </c>
      <c r="C111" s="38">
        <v>12314072.094679188</v>
      </c>
      <c r="D111" s="38">
        <v>15122206.932276687</v>
      </c>
      <c r="E111" s="38">
        <v>18009319.245494634</v>
      </c>
      <c r="F111" s="38">
        <v>21218122.098966263</v>
      </c>
      <c r="G111" s="38">
        <v>24570334.805505894</v>
      </c>
      <c r="H111" s="38">
        <v>28104990.811294805</v>
      </c>
      <c r="I111" s="38">
        <v>36527410.093476795</v>
      </c>
      <c r="J111" s="38">
        <v>46836004.715268441</v>
      </c>
      <c r="K111" s="38">
        <v>139903544.17273062</v>
      </c>
      <c r="L111" s="38">
        <v>197929123.97197303</v>
      </c>
      <c r="N111" s="1" t="str">
        <f t="shared" si="1"/>
        <v>$million</v>
      </c>
    </row>
    <row r="112" spans="1:16" s="1" customFormat="1" x14ac:dyDescent="0.25">
      <c r="A112" s="1" t="str">
        <v>OT</v>
      </c>
      <c r="B112" s="38">
        <v>3335815.1355378567</v>
      </c>
      <c r="C112" s="38">
        <v>4881482.0258092359</v>
      </c>
      <c r="D112" s="38">
        <v>7065175.1376859955</v>
      </c>
      <c r="E112" s="38">
        <v>10045716.636436341</v>
      </c>
      <c r="F112" s="38">
        <v>13916816.479900775</v>
      </c>
      <c r="G112" s="38">
        <v>18580016.344591543</v>
      </c>
      <c r="H112" s="38">
        <v>24169769.481986865</v>
      </c>
      <c r="I112" s="38">
        <v>37289654.034856603</v>
      </c>
      <c r="J112" s="38">
        <v>52885451.840071663</v>
      </c>
      <c r="K112" s="38">
        <v>157973810.80180544</v>
      </c>
      <c r="L112" s="38">
        <v>223494109.22650596</v>
      </c>
      <c r="N112" s="1" t="str">
        <f t="shared" si="1"/>
        <v>$million</v>
      </c>
    </row>
    <row r="113" spans="1:14" s="1" customFormat="1" x14ac:dyDescent="0.25">
      <c r="A113" s="1" t="str">
        <v>EE</v>
      </c>
      <c r="B113" s="38">
        <v>1334326.0542151425</v>
      </c>
      <c r="C113" s="38">
        <v>1952592.810323694</v>
      </c>
      <c r="D113" s="38">
        <v>2826070.0550743975</v>
      </c>
      <c r="E113" s="38">
        <v>4018286.6545745358</v>
      </c>
      <c r="F113" s="38">
        <v>5566726.5919603091</v>
      </c>
      <c r="G113" s="38">
        <v>7432006.5378366159</v>
      </c>
      <c r="H113" s="38">
        <v>9667907.7927947436</v>
      </c>
      <c r="I113" s="38">
        <v>14915861.613942636</v>
      </c>
      <c r="J113" s="38">
        <v>21154180.736028656</v>
      </c>
      <c r="K113" s="38">
        <v>63189524.320722148</v>
      </c>
      <c r="L113" s="38">
        <v>89397643.690602347</v>
      </c>
      <c r="N113" s="1" t="str">
        <f t="shared" si="1"/>
        <v>$million</v>
      </c>
    </row>
    <row r="114" spans="1:14" s="1" customFormat="1" x14ac:dyDescent="0.25">
      <c r="A114" s="1" t="str">
        <v>CA</v>
      </c>
      <c r="B114" s="38">
        <v>2668652.108430285</v>
      </c>
      <c r="C114" s="38">
        <v>3905185.620647388</v>
      </c>
      <c r="D114" s="38">
        <v>5652140.1101487949</v>
      </c>
      <c r="E114" s="38">
        <v>8036573.3091490716</v>
      </c>
      <c r="F114" s="38">
        <v>11133453.183920618</v>
      </c>
      <c r="G114" s="38">
        <v>14864013.075673232</v>
      </c>
      <c r="H114" s="38">
        <v>19335815.585589487</v>
      </c>
      <c r="I114" s="38">
        <v>29831723.227885272</v>
      </c>
      <c r="J114" s="38">
        <v>42308361.472057313</v>
      </c>
      <c r="K114" s="38">
        <v>126379048.6414443</v>
      </c>
      <c r="L114" s="38">
        <v>178795287.38120469</v>
      </c>
      <c r="N114" s="1" t="str">
        <f t="shared" si="1"/>
        <v>$million</v>
      </c>
    </row>
    <row r="115" spans="1:14" s="1" customFormat="1" x14ac:dyDescent="0.25">
      <c r="A115" s="1" t="str">
        <v>IA</v>
      </c>
      <c r="B115" s="38">
        <v>2223876.7570252372</v>
      </c>
      <c r="C115" s="38">
        <v>3254321.3505394896</v>
      </c>
      <c r="D115" s="38">
        <v>4710116.7584573291</v>
      </c>
      <c r="E115" s="38">
        <v>6697144.4242908927</v>
      </c>
      <c r="F115" s="38">
        <v>9277877.6532671805</v>
      </c>
      <c r="G115" s="38">
        <v>12386677.563061025</v>
      </c>
      <c r="H115" s="38">
        <v>16113179.654657906</v>
      </c>
      <c r="I115" s="38">
        <v>24859769.35657106</v>
      </c>
      <c r="J115" s="38">
        <v>35256967.893381096</v>
      </c>
      <c r="K115" s="38">
        <v>105315873.86787024</v>
      </c>
      <c r="L115" s="38">
        <v>148996072.81767055</v>
      </c>
      <c r="N115" s="1" t="str">
        <f t="shared" si="1"/>
        <v>$million</v>
      </c>
    </row>
    <row r="116" spans="1:14" s="1" customFormat="1" x14ac:dyDescent="0.25">
      <c r="A116" s="1" t="str">
        <v>AF</v>
      </c>
      <c r="B116" s="38">
        <v>1556713.7299176662</v>
      </c>
      <c r="C116" s="38">
        <v>2278024.9453776428</v>
      </c>
      <c r="D116" s="38">
        <v>3297081.7309201304</v>
      </c>
      <c r="E116" s="38">
        <v>4688001.0970036248</v>
      </c>
      <c r="F116" s="38">
        <v>6494514.3572870269</v>
      </c>
      <c r="G116" s="38">
        <v>8670674.2941427175</v>
      </c>
      <c r="H116" s="38">
        <v>11279225.758260533</v>
      </c>
      <c r="I116" s="38">
        <v>17401838.549599741</v>
      </c>
      <c r="J116" s="38">
        <v>24679877.525366765</v>
      </c>
      <c r="K116" s="38">
        <v>73721111.70750916</v>
      </c>
      <c r="L116" s="38">
        <v>104297250.97236939</v>
      </c>
      <c r="N116" s="1" t="str">
        <f t="shared" si="1"/>
        <v>$million</v>
      </c>
    </row>
    <row r="117" spans="1:14" s="1" customFormat="1" x14ac:dyDescent="0.25">
      <c r="A117" s="1" t="str">
        <v>LA</v>
      </c>
      <c r="B117" s="38">
        <v>1779101.4056201898</v>
      </c>
      <c r="C117" s="38">
        <v>2603457.0804315917</v>
      </c>
      <c r="D117" s="38">
        <v>3768093.4067658628</v>
      </c>
      <c r="E117" s="38">
        <v>5357715.5394327138</v>
      </c>
      <c r="F117" s="38">
        <v>7422302.1226137448</v>
      </c>
      <c r="G117" s="38">
        <v>9909342.05044882</v>
      </c>
      <c r="H117" s="38">
        <v>12890543.723726325</v>
      </c>
      <c r="I117" s="38">
        <v>19887815.485256847</v>
      </c>
      <c r="J117" s="38">
        <v>28205574.314704876</v>
      </c>
      <c r="K117" s="38">
        <v>84252699.094296202</v>
      </c>
      <c r="L117" s="38">
        <v>119196858.25413647</v>
      </c>
      <c r="N117" s="1" t="str">
        <f t="shared" si="1"/>
        <v>$million</v>
      </c>
    </row>
    <row r="118" spans="1:14" s="1" customFormat="1" ht="13.5" thickBot="1" x14ac:dyDescent="0.35">
      <c r="A118" s="61" t="s">
        <v>257</v>
      </c>
      <c r="B118" s="50">
        <f>SUM(B110:B117)</f>
        <v>32540634.56966183</v>
      </c>
      <c r="C118" s="50">
        <f>SUM(C110:C117)</f>
        <v>43129886.912965715</v>
      </c>
      <c r="D118" s="50">
        <f t="shared" ref="D118:L118" si="2">SUM(D110:D117)</f>
        <v>56791442.667742692</v>
      </c>
      <c r="E118" s="50">
        <f t="shared" si="2"/>
        <v>73643396.93585144</v>
      </c>
      <c r="F118" s="50">
        <f t="shared" si="2"/>
        <v>94000491.891460612</v>
      </c>
      <c r="G118" s="50">
        <f t="shared" si="2"/>
        <v>117434566.91918094</v>
      </c>
      <c r="H118" s="50">
        <f t="shared" si="2"/>
        <v>144690738.70691946</v>
      </c>
      <c r="I118" s="50">
        <f t="shared" si="2"/>
        <v>208624871.55875731</v>
      </c>
      <c r="J118" s="50">
        <f t="shared" si="2"/>
        <v>285478502.96788985</v>
      </c>
      <c r="K118" s="50">
        <f t="shared" si="2"/>
        <v>852751095.93865526</v>
      </c>
      <c r="L118" s="50">
        <f t="shared" si="2"/>
        <v>1206433177.8249307</v>
      </c>
      <c r="N118" s="1" t="str">
        <f t="shared" si="1"/>
        <v>$million</v>
      </c>
    </row>
    <row r="119" spans="1:14" s="1" customFormat="1" ht="14" thickTop="1" thickBot="1" x14ac:dyDescent="0.35">
      <c r="A119" s="61" t="s">
        <v>258</v>
      </c>
      <c r="B119" s="61"/>
      <c r="C119" s="49">
        <f>((GDP_G_1/GDP_G_0)^(1/YP_1)-1)*100</f>
        <v>2.8573261092961655</v>
      </c>
      <c r="D119" s="49">
        <f t="array" ref="D119:L119">((GDP_G_NOT_1/GDP_G)^(1/YP_NOT_1)-1)*100</f>
        <v>2.7899034606995166</v>
      </c>
      <c r="E119" s="49">
        <v>2.632543310019364</v>
      </c>
      <c r="F119" s="49">
        <v>2.4706830945357305</v>
      </c>
      <c r="G119" s="49">
        <v>2.2507688890923028</v>
      </c>
      <c r="H119" s="49">
        <v>2.1091070642184517</v>
      </c>
      <c r="I119" s="49">
        <v>1.846537181528296</v>
      </c>
      <c r="J119" s="49">
        <v>1.5805047327239086</v>
      </c>
      <c r="K119" s="49">
        <v>1.1003103496429301</v>
      </c>
      <c r="L119" s="49">
        <v>0.34755838021982566</v>
      </c>
      <c r="N119" s="1" t="s">
        <v>46</v>
      </c>
    </row>
    <row r="120" spans="1:14" s="1" customFormat="1" ht="13.5" thickTop="1" x14ac:dyDescent="0.3">
      <c r="A120" s="2" t="s">
        <v>173</v>
      </c>
      <c r="B120" s="2"/>
      <c r="C120"/>
      <c r="D120"/>
      <c r="E120"/>
      <c r="F120"/>
      <c r="G120"/>
      <c r="H120"/>
      <c r="I120"/>
      <c r="J120"/>
      <c r="K120"/>
      <c r="L120"/>
      <c r="M120"/>
      <c r="N120"/>
    </row>
    <row r="121" spans="1:14" s="1" customFormat="1" x14ac:dyDescent="0.25">
      <c r="A121" s="1" t="str">
        <f t="array" ref="A121:A128">R_CODE</f>
        <v>EU</v>
      </c>
      <c r="B121" s="37">
        <f t="array" ref="B121:B128">POP_0</f>
        <v>542.26326511697175</v>
      </c>
      <c r="C121" s="37">
        <f t="array" ref="C121:C128">POP_0*(1+(POP_GRW_1/100))^YP_1</f>
        <v>555.72276812244309</v>
      </c>
      <c r="D121" s="37">
        <f t="array" ref="D121:L128">POP*(1+(POP_GRW_NOT_1/100))^YP_NOT_1</f>
        <v>560.02590660778344</v>
      </c>
      <c r="E121" s="37">
        <v>557.93296448359752</v>
      </c>
      <c r="F121" s="37">
        <v>549.73543850903911</v>
      </c>
      <c r="G121" s="37">
        <v>536.80533662879986</v>
      </c>
      <c r="H121" s="37">
        <v>522.82678267752885</v>
      </c>
      <c r="I121" s="37">
        <v>499.10556962483452</v>
      </c>
      <c r="J121" s="37">
        <v>487.85303967322955</v>
      </c>
      <c r="K121" s="37">
        <v>466.19710198337117</v>
      </c>
      <c r="L121" s="37">
        <v>466.19710198337117</v>
      </c>
      <c r="N121" s="1" t="str">
        <f t="shared" ref="N121:N129" si="3">POP_UNIT_NAME</f>
        <v>million</v>
      </c>
    </row>
    <row r="122" spans="1:14" s="1" customFormat="1" x14ac:dyDescent="0.25">
      <c r="A122" s="1" t="str">
        <v>US</v>
      </c>
      <c r="B122" s="38">
        <v>288.93292437115696</v>
      </c>
      <c r="C122" s="38">
        <v>316.3013498989888</v>
      </c>
      <c r="D122" s="38">
        <v>343.28681563512714</v>
      </c>
      <c r="E122" s="38">
        <v>366.51562828872665</v>
      </c>
      <c r="F122" s="38">
        <v>384.9263513395901</v>
      </c>
      <c r="G122" s="38">
        <v>401.22108617964392</v>
      </c>
      <c r="H122" s="38">
        <v>413.31619317116895</v>
      </c>
      <c r="I122" s="38">
        <v>433.06348505714919</v>
      </c>
      <c r="J122" s="38">
        <v>446.60830024191569</v>
      </c>
      <c r="K122" s="38">
        <v>477.36724361626619</v>
      </c>
      <c r="L122" s="38">
        <v>477.36724361626619</v>
      </c>
      <c r="N122" s="1" t="str">
        <f t="shared" si="3"/>
        <v>million</v>
      </c>
    </row>
    <row r="123" spans="1:14" s="1" customFormat="1" x14ac:dyDescent="0.25">
      <c r="A123" s="1" t="str">
        <v>OT</v>
      </c>
      <c r="B123" s="38">
        <v>193.83313893635838</v>
      </c>
      <c r="C123" s="38">
        <v>221.06502392264255</v>
      </c>
      <c r="D123" s="38">
        <v>247.22164366329289</v>
      </c>
      <c r="E123" s="38">
        <v>269.17905858143462</v>
      </c>
      <c r="F123" s="38">
        <v>286.71342017520254</v>
      </c>
      <c r="G123" s="38">
        <v>299.80769471933223</v>
      </c>
      <c r="H123" s="38">
        <v>309.03326839254237</v>
      </c>
      <c r="I123" s="38">
        <v>317.68597690475093</v>
      </c>
      <c r="J123" s="38">
        <v>315.50197030503773</v>
      </c>
      <c r="K123" s="38">
        <v>308.36851343616826</v>
      </c>
      <c r="L123" s="38">
        <v>308.36851343616826</v>
      </c>
      <c r="N123" s="1" t="str">
        <f t="shared" si="3"/>
        <v>million</v>
      </c>
    </row>
    <row r="124" spans="1:14" s="1" customFormat="1" x14ac:dyDescent="0.25">
      <c r="A124" s="1" t="str">
        <v>EE</v>
      </c>
      <c r="B124" s="38">
        <v>581.49941680907511</v>
      </c>
      <c r="C124" s="38">
        <v>663.19507176792763</v>
      </c>
      <c r="D124" s="38">
        <v>741.6649309898786</v>
      </c>
      <c r="E124" s="38">
        <v>807.53717574430368</v>
      </c>
      <c r="F124" s="38">
        <v>860.14026052560746</v>
      </c>
      <c r="G124" s="38">
        <v>899.42308415799641</v>
      </c>
      <c r="H124" s="38">
        <v>927.09980517762676</v>
      </c>
      <c r="I124" s="38">
        <v>953.05793071425239</v>
      </c>
      <c r="J124" s="38">
        <v>946.50591091511285</v>
      </c>
      <c r="K124" s="38">
        <v>925.10554030850437</v>
      </c>
      <c r="L124" s="38">
        <v>925.10554030850437</v>
      </c>
      <c r="N124" s="1" t="str">
        <f t="shared" si="3"/>
        <v>million</v>
      </c>
    </row>
    <row r="125" spans="1:14" s="1" customFormat="1" x14ac:dyDescent="0.25">
      <c r="A125" s="1" t="str">
        <v>CA</v>
      </c>
      <c r="B125" s="38">
        <v>1259.9154030863294</v>
      </c>
      <c r="C125" s="38">
        <v>1436.9226554971765</v>
      </c>
      <c r="D125" s="38">
        <v>1606.9406838114037</v>
      </c>
      <c r="E125" s="38">
        <v>1749.6638807793247</v>
      </c>
      <c r="F125" s="38">
        <v>1863.6372311388161</v>
      </c>
      <c r="G125" s="38">
        <v>1948.7500156756589</v>
      </c>
      <c r="H125" s="38">
        <v>2008.7162445515246</v>
      </c>
      <c r="I125" s="38">
        <v>2064.9588498808803</v>
      </c>
      <c r="J125" s="38">
        <v>2050.7628069827447</v>
      </c>
      <c r="K125" s="38">
        <v>2004.395337335093</v>
      </c>
      <c r="L125" s="38">
        <v>2004.395337335093</v>
      </c>
      <c r="N125" s="1" t="str">
        <f t="shared" si="3"/>
        <v>million</v>
      </c>
    </row>
    <row r="126" spans="1:14" s="1" customFormat="1" x14ac:dyDescent="0.25">
      <c r="A126" s="1" t="str">
        <v>IA</v>
      </c>
      <c r="B126" s="38">
        <v>1938.3313893635836</v>
      </c>
      <c r="C126" s="38">
        <v>2210.6502392264256</v>
      </c>
      <c r="D126" s="38">
        <v>2472.2164366329289</v>
      </c>
      <c r="E126" s="38">
        <v>2691.7905858143458</v>
      </c>
      <c r="F126" s="38">
        <v>2867.1342017520251</v>
      </c>
      <c r="G126" s="38">
        <v>2998.0769471933218</v>
      </c>
      <c r="H126" s="38">
        <v>3090.3326839254228</v>
      </c>
      <c r="I126" s="38">
        <v>3176.8597690475081</v>
      </c>
      <c r="J126" s="38">
        <v>3155.0197030503764</v>
      </c>
      <c r="K126" s="38">
        <v>3083.6851343616818</v>
      </c>
      <c r="L126" s="38">
        <v>3083.6851343616818</v>
      </c>
      <c r="N126" s="1" t="str">
        <f t="shared" si="3"/>
        <v>million</v>
      </c>
    </row>
    <row r="127" spans="1:14" s="1" customFormat="1" x14ac:dyDescent="0.25">
      <c r="A127" s="1" t="str">
        <v>AF</v>
      </c>
      <c r="B127" s="38">
        <v>775.33255574543352</v>
      </c>
      <c r="C127" s="38">
        <v>884.26009569057021</v>
      </c>
      <c r="D127" s="38">
        <v>988.88657465317158</v>
      </c>
      <c r="E127" s="38">
        <v>1076.7162343257385</v>
      </c>
      <c r="F127" s="38">
        <v>1146.8536807008102</v>
      </c>
      <c r="G127" s="38">
        <v>1199.2307788773289</v>
      </c>
      <c r="H127" s="38">
        <v>1236.1330735701695</v>
      </c>
      <c r="I127" s="38">
        <v>1270.7439076190037</v>
      </c>
      <c r="J127" s="38">
        <v>1262.0078812201509</v>
      </c>
      <c r="K127" s="38">
        <v>1233.474053744673</v>
      </c>
      <c r="L127" s="38">
        <v>1233.474053744673</v>
      </c>
      <c r="N127" s="1" t="str">
        <f t="shared" si="3"/>
        <v>million</v>
      </c>
    </row>
    <row r="128" spans="1:14" s="1" customFormat="1" x14ac:dyDescent="0.25">
      <c r="A128" s="1" t="str">
        <v>LA</v>
      </c>
      <c r="B128" s="38">
        <v>484.58284734089591</v>
      </c>
      <c r="C128" s="38">
        <v>552.6625598066064</v>
      </c>
      <c r="D128" s="38">
        <v>618.05410915823222</v>
      </c>
      <c r="E128" s="38">
        <v>672.94764645358646</v>
      </c>
      <c r="F128" s="38">
        <v>716.78355043800627</v>
      </c>
      <c r="G128" s="38">
        <v>749.51923679833044</v>
      </c>
      <c r="H128" s="38">
        <v>772.58317098135569</v>
      </c>
      <c r="I128" s="38">
        <v>794.21494226187701</v>
      </c>
      <c r="J128" s="38">
        <v>788.7549257625941</v>
      </c>
      <c r="K128" s="38">
        <v>770.92128359042044</v>
      </c>
      <c r="L128" s="38">
        <v>770.92128359042044</v>
      </c>
      <c r="N128" s="1" t="str">
        <f t="shared" si="3"/>
        <v>million</v>
      </c>
    </row>
    <row r="129" spans="1:14" s="1" customFormat="1" ht="13.5" thickBot="1" x14ac:dyDescent="0.35">
      <c r="A129" s="61" t="s">
        <v>257</v>
      </c>
      <c r="B129" s="50">
        <f>SUM(B121:B128)</f>
        <v>6064.6909407698049</v>
      </c>
      <c r="C129" s="50">
        <f t="shared" ref="C129:L129" si="4">SUM(C121:C128)</f>
        <v>6840.779763932781</v>
      </c>
      <c r="D129" s="50">
        <f t="shared" si="4"/>
        <v>7578.2971011518184</v>
      </c>
      <c r="E129" s="50">
        <f t="shared" si="4"/>
        <v>8192.2831744710584</v>
      </c>
      <c r="F129" s="50">
        <f t="shared" si="4"/>
        <v>8675.9241345790979</v>
      </c>
      <c r="G129" s="50">
        <f t="shared" si="4"/>
        <v>9032.834180230413</v>
      </c>
      <c r="H129" s="50">
        <f t="shared" si="4"/>
        <v>9280.0412224473384</v>
      </c>
      <c r="I129" s="50">
        <f t="shared" si="4"/>
        <v>9509.6904311102553</v>
      </c>
      <c r="J129" s="50">
        <f t="shared" si="4"/>
        <v>9453.0145381511611</v>
      </c>
      <c r="K129" s="50">
        <f t="shared" si="4"/>
        <v>9269.5142083761784</v>
      </c>
      <c r="L129" s="50">
        <f t="shared" si="4"/>
        <v>9269.5142083761784</v>
      </c>
      <c r="N129" s="1" t="str">
        <f t="shared" si="3"/>
        <v>million</v>
      </c>
    </row>
    <row r="130" spans="1:14" s="1" customFormat="1" ht="14" thickTop="1" thickBot="1" x14ac:dyDescent="0.35">
      <c r="A130" s="61" t="s">
        <v>258</v>
      </c>
      <c r="B130" s="61"/>
      <c r="C130" s="49">
        <f>((POP_G_1/POP_G_0)^(1/YP_1)-1)*100</f>
        <v>1.2114608788774239</v>
      </c>
      <c r="D130" s="49">
        <f t="array" ref="D130:L130">((POP_G_NOT_1/POP_G)^(1/YP_NOT_1)-1)*100</f>
        <v>1.0291273808620494</v>
      </c>
      <c r="E130" s="49">
        <v>0.78208359439599917</v>
      </c>
      <c r="F130" s="49">
        <v>0.5752403269390971</v>
      </c>
      <c r="G130" s="49">
        <v>0.403957038293834</v>
      </c>
      <c r="H130" s="49">
        <v>0.27036290280522124</v>
      </c>
      <c r="I130" s="49">
        <v>0.12230140340143691</v>
      </c>
      <c r="J130" s="49">
        <v>-2.9883707486466626E-2</v>
      </c>
      <c r="K130" s="49">
        <v>-1.9600794677032685E-2</v>
      </c>
      <c r="L130" s="49">
        <v>0</v>
      </c>
      <c r="N130" s="1" t="s">
        <v>46</v>
      </c>
    </row>
    <row r="131" spans="1:14" s="1" customFormat="1" ht="13.5" thickTop="1" x14ac:dyDescent="0.3">
      <c r="A131" s="2" t="s">
        <v>176</v>
      </c>
      <c r="B131" s="2"/>
      <c r="C131"/>
      <c r="D131"/>
      <c r="E131"/>
      <c r="F131"/>
      <c r="G131"/>
      <c r="H131"/>
      <c r="I131"/>
      <c r="J131"/>
      <c r="K131"/>
      <c r="L131"/>
      <c r="M131"/>
      <c r="N131"/>
    </row>
    <row r="132" spans="1:14" s="1" customFormat="1" x14ac:dyDescent="0.25">
      <c r="A132" s="1" t="str">
        <f t="array" ref="A132:A139">R_CODE</f>
        <v>EU</v>
      </c>
      <c r="B132" s="37">
        <f t="array" ref="B132:B139">GDP_0/POP_0</f>
        <v>18350.892150150557</v>
      </c>
      <c r="C132" s="37">
        <f t="array" ref="C132:L139">GDP/POP</f>
        <v>21486.884594454059</v>
      </c>
      <c r="D132" s="37">
        <v>25624.811936537742</v>
      </c>
      <c r="E132" s="37">
        <v>30094.368137954378</v>
      </c>
      <c r="F132" s="37">
        <v>34508.743796826842</v>
      </c>
      <c r="G132" s="37">
        <v>39160.382383563054</v>
      </c>
      <c r="H132" s="37">
        <v>44238.946176700694</v>
      </c>
      <c r="I132" s="37">
        <v>55921.634411229323</v>
      </c>
      <c r="J132" s="37">
        <v>70004.861492482625</v>
      </c>
      <c r="K132" s="37">
        <v>218824.79084118371</v>
      </c>
      <c r="L132" s="37">
        <v>309583.28761901276</v>
      </c>
      <c r="N132" s="1" t="str">
        <f t="shared" ref="N132:N140" si="5">CURRENCY_NAME&amp;"/"&amp;POP_UNIT_NAME</f>
        <v>$million/million</v>
      </c>
    </row>
    <row r="133" spans="1:14" s="1" customFormat="1" x14ac:dyDescent="0.25">
      <c r="A133" s="1" t="str">
        <v>US</v>
      </c>
      <c r="B133" s="38">
        <v>33541.122753170159</v>
      </c>
      <c r="C133" s="38">
        <v>38931.45602638655</v>
      </c>
      <c r="D133" s="38">
        <v>44051.231342219056</v>
      </c>
      <c r="E133" s="38">
        <v>49136.565689110532</v>
      </c>
      <c r="F133" s="38">
        <v>55122.550132316588</v>
      </c>
      <c r="G133" s="38">
        <v>61238.892101759324</v>
      </c>
      <c r="H133" s="38">
        <v>67998.765293126387</v>
      </c>
      <c r="I133" s="38">
        <v>84346.548147915208</v>
      </c>
      <c r="J133" s="38">
        <v>104870.43050901346</v>
      </c>
      <c r="K133" s="38">
        <v>293073.19688066555</v>
      </c>
      <c r="L133" s="38">
        <v>414626.53045184485</v>
      </c>
      <c r="N133" s="1" t="str">
        <f t="shared" si="5"/>
        <v>$million/million</v>
      </c>
    </row>
    <row r="134" spans="1:14" s="1" customFormat="1" x14ac:dyDescent="0.25">
      <c r="A134" s="1" t="str">
        <v>OT</v>
      </c>
      <c r="B134" s="38">
        <v>17209.725611641214</v>
      </c>
      <c r="C134" s="38">
        <v>22081.656967668554</v>
      </c>
      <c r="D134" s="38">
        <v>28578.303392030324</v>
      </c>
      <c r="E134" s="38">
        <v>37319.8297422428</v>
      </c>
      <c r="F134" s="38">
        <v>48539.117811076292</v>
      </c>
      <c r="G134" s="38">
        <v>61973.113672033665</v>
      </c>
      <c r="H134" s="38">
        <v>78210.89815898324</v>
      </c>
      <c r="I134" s="38">
        <v>117378.97403648018</v>
      </c>
      <c r="J134" s="38">
        <v>167623.20624793647</v>
      </c>
      <c r="K134" s="38">
        <v>512289.04352618265</v>
      </c>
      <c r="L134" s="38">
        <v>724763.06590481021</v>
      </c>
      <c r="N134" s="1" t="str">
        <f t="shared" si="5"/>
        <v>$million/million</v>
      </c>
    </row>
    <row r="135" spans="1:14" s="1" customFormat="1" x14ac:dyDescent="0.25">
      <c r="A135" s="1" t="str">
        <v>EE</v>
      </c>
      <c r="B135" s="38">
        <v>2294.6300815521618</v>
      </c>
      <c r="C135" s="38">
        <v>2944.2209290224737</v>
      </c>
      <c r="D135" s="38">
        <v>3810.4404522707096</v>
      </c>
      <c r="E135" s="38">
        <v>4975.9772989657067</v>
      </c>
      <c r="F135" s="38">
        <v>6471.8823748101731</v>
      </c>
      <c r="G135" s="38">
        <v>8263.0818229378237</v>
      </c>
      <c r="H135" s="38">
        <v>10428.119754531099</v>
      </c>
      <c r="I135" s="38">
        <v>15650.529871530693</v>
      </c>
      <c r="J135" s="38">
        <v>22349.760833058193</v>
      </c>
      <c r="K135" s="38">
        <v>68305.205803491015</v>
      </c>
      <c r="L135" s="38">
        <v>96635.075453974699</v>
      </c>
      <c r="N135" s="1" t="str">
        <f t="shared" si="5"/>
        <v>$million/million</v>
      </c>
    </row>
    <row r="136" spans="1:14" s="1" customFormat="1" x14ac:dyDescent="0.25">
      <c r="A136" s="1" t="str">
        <v>CA</v>
      </c>
      <c r="B136" s="38">
        <v>2118.1200752789186</v>
      </c>
      <c r="C136" s="38">
        <v>2717.7423960207452</v>
      </c>
      <c r="D136" s="38">
        <v>3517.3296482498854</v>
      </c>
      <c r="E136" s="38">
        <v>4593.2098144298834</v>
      </c>
      <c r="F136" s="38">
        <v>5974.0452690555439</v>
      </c>
      <c r="G136" s="38">
        <v>7627.4601442502981</v>
      </c>
      <c r="H136" s="38">
        <v>9625.956696490246</v>
      </c>
      <c r="I136" s="38">
        <v>14446.642958336024</v>
      </c>
      <c r="J136" s="38">
        <v>20630.548461284485</v>
      </c>
      <c r="K136" s="38">
        <v>63050.959203222475</v>
      </c>
      <c r="L136" s="38">
        <v>89201.608111361245</v>
      </c>
      <c r="N136" s="1" t="str">
        <f t="shared" si="5"/>
        <v>$million/million</v>
      </c>
    </row>
    <row r="137" spans="1:14" s="1" customFormat="1" x14ac:dyDescent="0.25">
      <c r="A137" s="1" t="str">
        <v>IA</v>
      </c>
      <c r="B137" s="38">
        <v>1147.3150407760807</v>
      </c>
      <c r="C137" s="38">
        <v>1472.1104645112366</v>
      </c>
      <c r="D137" s="38">
        <v>1905.2202261353546</v>
      </c>
      <c r="E137" s="38">
        <v>2487.9886494828534</v>
      </c>
      <c r="F137" s="38">
        <v>3235.9411874050857</v>
      </c>
      <c r="G137" s="38">
        <v>4131.5409114689101</v>
      </c>
      <c r="H137" s="38">
        <v>5214.0598772655494</v>
      </c>
      <c r="I137" s="38">
        <v>7825.2649357653463</v>
      </c>
      <c r="J137" s="38">
        <v>11174.880416529097</v>
      </c>
      <c r="K137" s="38">
        <v>34152.6029017455</v>
      </c>
      <c r="L137" s="38">
        <v>48317.537726987328</v>
      </c>
      <c r="N137" s="1" t="str">
        <f t="shared" si="5"/>
        <v>$million/million</v>
      </c>
    </row>
    <row r="138" spans="1:14" s="1" customFormat="1" x14ac:dyDescent="0.25">
      <c r="A138" s="1" t="str">
        <v>AF</v>
      </c>
      <c r="B138" s="38">
        <v>2007.8013213581412</v>
      </c>
      <c r="C138" s="38">
        <v>2576.1933128946639</v>
      </c>
      <c r="D138" s="38">
        <v>3334.1353957368701</v>
      </c>
      <c r="E138" s="38">
        <v>4353.9801365949925</v>
      </c>
      <c r="F138" s="38">
        <v>5662.8970779588999</v>
      </c>
      <c r="G138" s="38">
        <v>7230.1965950705917</v>
      </c>
      <c r="H138" s="38">
        <v>9124.6047852147076</v>
      </c>
      <c r="I138" s="38">
        <v>13694.21363758935</v>
      </c>
      <c r="J138" s="38">
        <v>19556.040728925909</v>
      </c>
      <c r="K138" s="38">
        <v>59767.055078054604</v>
      </c>
      <c r="L138" s="38">
        <v>84555.691022227809</v>
      </c>
      <c r="N138" s="1" t="str">
        <f t="shared" si="5"/>
        <v>$million/million</v>
      </c>
    </row>
    <row r="139" spans="1:14" s="1" customFormat="1" x14ac:dyDescent="0.25">
      <c r="A139" s="1" t="str">
        <v>LA</v>
      </c>
      <c r="B139" s="38">
        <v>3671.4081304834585</v>
      </c>
      <c r="C139" s="38">
        <v>4710.7534864359568</v>
      </c>
      <c r="D139" s="38">
        <v>6096.7047236331337</v>
      </c>
      <c r="E139" s="38">
        <v>7961.56367834513</v>
      </c>
      <c r="F139" s="38">
        <v>10355.011799696274</v>
      </c>
      <c r="G139" s="38">
        <v>13220.930916700514</v>
      </c>
      <c r="H139" s="38">
        <v>16684.991607249758</v>
      </c>
      <c r="I139" s="38">
        <v>25040.847794449106</v>
      </c>
      <c r="J139" s="38">
        <v>35759.617332893111</v>
      </c>
      <c r="K139" s="38">
        <v>109288.32928558561</v>
      </c>
      <c r="L139" s="38">
        <v>154616.12072635948</v>
      </c>
      <c r="N139" s="1" t="str">
        <f t="shared" si="5"/>
        <v>$million/million</v>
      </c>
    </row>
    <row r="140" spans="1:14" s="1" customFormat="1" ht="13.5" thickBot="1" x14ac:dyDescent="0.35">
      <c r="A140" s="61" t="s">
        <v>177</v>
      </c>
      <c r="B140" s="50">
        <f>GDP_G_0/POP_G_0</f>
        <v>5365.5882694545644</v>
      </c>
      <c r="C140" s="50">
        <f t="array" ref="C140:L140">GDP_G/POP_G</f>
        <v>6304.8202692276473</v>
      </c>
      <c r="D140" s="50">
        <v>7493.9583272752679</v>
      </c>
      <c r="E140" s="50">
        <v>8989.3617404901634</v>
      </c>
      <c r="F140" s="50">
        <v>10834.637375032895</v>
      </c>
      <c r="G140" s="50">
        <v>13000.854944974244</v>
      </c>
      <c r="H140" s="50">
        <v>15591.605170559957</v>
      </c>
      <c r="I140" s="50">
        <v>21938.134902504957</v>
      </c>
      <c r="J140" s="50">
        <v>30199.731716875609</v>
      </c>
      <c r="K140" s="50">
        <v>91995.230469368806</v>
      </c>
      <c r="L140" s="50">
        <v>130150.63688394433</v>
      </c>
      <c r="N140" s="1" t="str">
        <f t="shared" si="5"/>
        <v>$million/million</v>
      </c>
    </row>
    <row r="141" spans="1:14" s="1" customFormat="1" ht="14" thickTop="1" thickBot="1" x14ac:dyDescent="0.35">
      <c r="A141" s="61" t="s">
        <v>178</v>
      </c>
      <c r="B141" s="61"/>
      <c r="C141" s="49">
        <f t="array" ref="C141:L141">GRW_G-POP_GRW_G</f>
        <v>1.6458652304187416</v>
      </c>
      <c r="D141" s="49">
        <v>1.7607760798374672</v>
      </c>
      <c r="E141" s="49">
        <v>1.8504597156233649</v>
      </c>
      <c r="F141" s="49">
        <v>1.8954427675966334</v>
      </c>
      <c r="G141" s="49">
        <v>1.8468118507984688</v>
      </c>
      <c r="H141" s="49">
        <v>1.8387441614132305</v>
      </c>
      <c r="I141" s="49">
        <v>1.7242357781268591</v>
      </c>
      <c r="J141" s="49">
        <v>1.6103884402103752</v>
      </c>
      <c r="K141" s="49">
        <v>1.1199111443199627</v>
      </c>
      <c r="L141" s="49">
        <v>0.34755838021982566</v>
      </c>
      <c r="N141" s="1" t="s">
        <v>46</v>
      </c>
    </row>
    <row r="142" spans="1:14" s="1" customFormat="1" ht="13.5" thickTop="1" x14ac:dyDescent="0.3">
      <c r="A142" s="2" t="s">
        <v>271</v>
      </c>
      <c r="B142" s="2"/>
      <c r="C142"/>
      <c r="D142"/>
      <c r="E142"/>
      <c r="F142"/>
      <c r="G142"/>
      <c r="H142"/>
      <c r="I142"/>
      <c r="J142"/>
      <c r="K142"/>
      <c r="L142"/>
      <c r="M142"/>
      <c r="N142"/>
    </row>
    <row r="143" spans="1:14" s="1" customFormat="1" x14ac:dyDescent="0.25">
      <c r="A143" s="1" t="str">
        <f t="array" ref="A143:A150">R_CODE</f>
        <v>EU</v>
      </c>
      <c r="B143" s="37">
        <f t="array" ref="B143:B150">GDP_PER_CAP_0*(1-SAVE/100)</f>
        <v>15598.258327627973</v>
      </c>
      <c r="C143" s="37">
        <f t="array" ref="C143:L150">GDP_PER_CAP*(1-SAVE/100)</f>
        <v>18263.851905285948</v>
      </c>
      <c r="D143" s="37">
        <v>21781.090146057082</v>
      </c>
      <c r="E143" s="37">
        <v>25580.212917261222</v>
      </c>
      <c r="F143" s="37">
        <v>29332.432227302816</v>
      </c>
      <c r="G143" s="37">
        <v>33286.325026028593</v>
      </c>
      <c r="H143" s="37">
        <v>37603.104250195589</v>
      </c>
      <c r="I143" s="37">
        <v>47533.389249544925</v>
      </c>
      <c r="J143" s="37">
        <v>59504.132268610228</v>
      </c>
      <c r="K143" s="37">
        <v>186001.07221500616</v>
      </c>
      <c r="L143" s="37">
        <v>263145.79447616084</v>
      </c>
      <c r="N143" s="1" t="str">
        <f t="shared" ref="N143:N151" si="6">CURRENCY_NAME&amp;"/"&amp;POP_UNIT_NAME</f>
        <v>$million/million</v>
      </c>
    </row>
    <row r="144" spans="1:14" s="1" customFormat="1" x14ac:dyDescent="0.25">
      <c r="A144" s="1" t="str">
        <v>US</v>
      </c>
      <c r="B144" s="38">
        <v>28509.954340194636</v>
      </c>
      <c r="C144" s="38">
        <v>33091.737622428569</v>
      </c>
      <c r="D144" s="38">
        <v>37443.546640886198</v>
      </c>
      <c r="E144" s="38">
        <v>41766.080835743953</v>
      </c>
      <c r="F144" s="38">
        <v>46854.1676124691</v>
      </c>
      <c r="G144" s="38">
        <v>52053.058286495427</v>
      </c>
      <c r="H144" s="38">
        <v>57798.950499157429</v>
      </c>
      <c r="I144" s="38">
        <v>71694.565925727919</v>
      </c>
      <c r="J144" s="38">
        <v>89139.865932661443</v>
      </c>
      <c r="K144" s="38">
        <v>249112.2173485657</v>
      </c>
      <c r="L144" s="38">
        <v>352432.55088406813</v>
      </c>
      <c r="N144" s="1" t="str">
        <f t="shared" si="6"/>
        <v>$million/million</v>
      </c>
    </row>
    <row r="145" spans="1:14" s="1" customFormat="1" x14ac:dyDescent="0.25">
      <c r="A145" s="1" t="str">
        <v>OT</v>
      </c>
      <c r="B145" s="38">
        <v>14628.266769895032</v>
      </c>
      <c r="C145" s="38">
        <v>18769.408422518271</v>
      </c>
      <c r="D145" s="38">
        <v>24291.557883225774</v>
      </c>
      <c r="E145" s="38">
        <v>31721.85528090638</v>
      </c>
      <c r="F145" s="38">
        <v>41258.250139414849</v>
      </c>
      <c r="G145" s="38">
        <v>52677.146621228618</v>
      </c>
      <c r="H145" s="38">
        <v>66479.263435135756</v>
      </c>
      <c r="I145" s="38">
        <v>99772.127931008159</v>
      </c>
      <c r="J145" s="38">
        <v>142479.725310746</v>
      </c>
      <c r="K145" s="38">
        <v>435445.68699725525</v>
      </c>
      <c r="L145" s="38">
        <v>616048.60601908865</v>
      </c>
      <c r="N145" s="1" t="str">
        <f t="shared" si="6"/>
        <v>$million/million</v>
      </c>
    </row>
    <row r="146" spans="1:14" s="1" customFormat="1" x14ac:dyDescent="0.25">
      <c r="A146" s="1" t="str">
        <v>EE</v>
      </c>
      <c r="B146" s="38">
        <v>1950.4355693193374</v>
      </c>
      <c r="C146" s="38">
        <v>2502.5877896691027</v>
      </c>
      <c r="D146" s="38">
        <v>3238.874384430103</v>
      </c>
      <c r="E146" s="38">
        <v>4229.5807041208509</v>
      </c>
      <c r="F146" s="38">
        <v>5501.1000185886469</v>
      </c>
      <c r="G146" s="38">
        <v>7023.6195494971498</v>
      </c>
      <c r="H146" s="38">
        <v>8863.9017913514344</v>
      </c>
      <c r="I146" s="38">
        <v>13302.950390801088</v>
      </c>
      <c r="J146" s="38">
        <v>18997.296708099464</v>
      </c>
      <c r="K146" s="38">
        <v>58059.424932967362</v>
      </c>
      <c r="L146" s="38">
        <v>82139.814135878492</v>
      </c>
      <c r="N146" s="1" t="str">
        <f t="shared" si="6"/>
        <v>$million/million</v>
      </c>
    </row>
    <row r="147" spans="1:14" s="1" customFormat="1" x14ac:dyDescent="0.25">
      <c r="A147" s="1" t="str">
        <v>CA</v>
      </c>
      <c r="B147" s="38">
        <v>1800.4020639870807</v>
      </c>
      <c r="C147" s="38">
        <v>2310.0810366176333</v>
      </c>
      <c r="D147" s="38">
        <v>2989.7302010124026</v>
      </c>
      <c r="E147" s="38">
        <v>3904.2283422654009</v>
      </c>
      <c r="F147" s="38">
        <v>5077.9384786972123</v>
      </c>
      <c r="G147" s="38">
        <v>6483.3411226127528</v>
      </c>
      <c r="H147" s="38">
        <v>8182.0631920167089</v>
      </c>
      <c r="I147" s="38">
        <v>12279.64651458562</v>
      </c>
      <c r="J147" s="38">
        <v>17535.966192091812</v>
      </c>
      <c r="K147" s="38">
        <v>53593.315322739101</v>
      </c>
      <c r="L147" s="38">
        <v>75821.366894657054</v>
      </c>
      <c r="N147" s="1" t="str">
        <f t="shared" si="6"/>
        <v>$million/million</v>
      </c>
    </row>
    <row r="148" spans="1:14" s="1" customFormat="1" x14ac:dyDescent="0.25">
      <c r="A148" s="1" t="str">
        <v>IA</v>
      </c>
      <c r="B148" s="38">
        <v>975.2177846596685</v>
      </c>
      <c r="C148" s="38">
        <v>1251.2938948345511</v>
      </c>
      <c r="D148" s="38">
        <v>1619.4371922150513</v>
      </c>
      <c r="E148" s="38">
        <v>2114.7903520604254</v>
      </c>
      <c r="F148" s="38">
        <v>2750.5500092943225</v>
      </c>
      <c r="G148" s="38">
        <v>3511.8097747485735</v>
      </c>
      <c r="H148" s="38">
        <v>4431.9508956757172</v>
      </c>
      <c r="I148" s="38">
        <v>6651.4751954005442</v>
      </c>
      <c r="J148" s="38">
        <v>9498.648354049732</v>
      </c>
      <c r="K148" s="38">
        <v>29029.712466483674</v>
      </c>
      <c r="L148" s="38">
        <v>41069.907067939224</v>
      </c>
      <c r="N148" s="1" t="str">
        <f t="shared" si="6"/>
        <v>$million/million</v>
      </c>
    </row>
    <row r="149" spans="1:14" s="1" customFormat="1" x14ac:dyDescent="0.25">
      <c r="A149" s="1" t="str">
        <v>AF</v>
      </c>
      <c r="B149" s="38">
        <v>1706.63112315442</v>
      </c>
      <c r="C149" s="38">
        <v>2189.764315960464</v>
      </c>
      <c r="D149" s="38">
        <v>2834.0150863763397</v>
      </c>
      <c r="E149" s="38">
        <v>3700.8831161057433</v>
      </c>
      <c r="F149" s="38">
        <v>4813.4625162650646</v>
      </c>
      <c r="G149" s="38">
        <v>6145.6671058100028</v>
      </c>
      <c r="H149" s="38">
        <v>7755.9140674325008</v>
      </c>
      <c r="I149" s="38">
        <v>11640.081591950948</v>
      </c>
      <c r="J149" s="38">
        <v>16622.634619587021</v>
      </c>
      <c r="K149" s="38">
        <v>50801.996816346415</v>
      </c>
      <c r="L149" s="38">
        <v>71872.337368893641</v>
      </c>
      <c r="N149" s="1" t="str">
        <f t="shared" si="6"/>
        <v>$million/million</v>
      </c>
    </row>
    <row r="150" spans="1:14" s="1" customFormat="1" x14ac:dyDescent="0.25">
      <c r="A150" s="1" t="str">
        <v>LA</v>
      </c>
      <c r="B150" s="38">
        <v>3120.6969109109396</v>
      </c>
      <c r="C150" s="38">
        <v>4004.1404634705632</v>
      </c>
      <c r="D150" s="38">
        <v>5182.1990150881638</v>
      </c>
      <c r="E150" s="38">
        <v>6767.3291265933603</v>
      </c>
      <c r="F150" s="38">
        <v>8801.7600297418339</v>
      </c>
      <c r="G150" s="38">
        <v>11237.791279195437</v>
      </c>
      <c r="H150" s="38">
        <v>14182.242866162294</v>
      </c>
      <c r="I150" s="38">
        <v>21284.720625281738</v>
      </c>
      <c r="J150" s="38">
        <v>30395.674732959142</v>
      </c>
      <c r="K150" s="38">
        <v>92895.079892747774</v>
      </c>
      <c r="L150" s="38">
        <v>131423.70261740556</v>
      </c>
      <c r="N150" s="1" t="str">
        <f t="shared" si="6"/>
        <v>$million/million</v>
      </c>
    </row>
    <row r="151" spans="1:14" s="1" customFormat="1" ht="13.5" thickBot="1" x14ac:dyDescent="0.35">
      <c r="A151" s="61" t="s">
        <v>177</v>
      </c>
      <c r="B151" s="50">
        <f>GDP_PER_CAP_G_0*(1-SAVE/100)</f>
        <v>4560.7500290363796</v>
      </c>
      <c r="C151" s="50">
        <f t="array" ref="C151:L151">GDP_PER_CAP_G*(1-SAVE/100)</f>
        <v>5359.0972288434996</v>
      </c>
      <c r="D151" s="50">
        <v>6369.8645781839778</v>
      </c>
      <c r="E151" s="50">
        <v>7640.9574794166383</v>
      </c>
      <c r="F151" s="50">
        <v>9209.4417687779605</v>
      </c>
      <c r="G151" s="50">
        <v>11050.726703228107</v>
      </c>
      <c r="H151" s="50">
        <v>13252.864394975963</v>
      </c>
      <c r="I151" s="50">
        <v>18647.414667129211</v>
      </c>
      <c r="J151" s="50">
        <v>25669.771959344267</v>
      </c>
      <c r="K151" s="50">
        <v>78195.945898963488</v>
      </c>
      <c r="L151" s="50">
        <v>110628.04135135267</v>
      </c>
      <c r="N151" s="1" t="str">
        <f t="shared" si="6"/>
        <v>$million/million</v>
      </c>
    </row>
    <row r="152" spans="1:14" s="1" customFormat="1" ht="14" thickTop="1" thickBot="1" x14ac:dyDescent="0.35">
      <c r="A152" s="61" t="s">
        <v>178</v>
      </c>
      <c r="B152" s="61"/>
      <c r="C152" s="49">
        <f>((CONS_PER_CAP_G_1/CONS_PER_CAP_G_0)^(1/YP_1)-1)*100</f>
        <v>1.6261648790826033</v>
      </c>
      <c r="D152" s="49">
        <f t="array" ref="D152:L152">((CONS_PER_CAP_G_NOT_1/CONS_PER_CAP_G)^(1/YP_NOT_1)-1)*100</f>
        <v>1.7428400358241669</v>
      </c>
      <c r="E152" s="49">
        <v>1.8360998796875805</v>
      </c>
      <c r="F152" s="49">
        <v>1.8846017781664282</v>
      </c>
      <c r="G152" s="49">
        <v>1.8393815396081648</v>
      </c>
      <c r="H152" s="49">
        <v>1.8337862835856811</v>
      </c>
      <c r="I152" s="49">
        <v>1.7221295894705335</v>
      </c>
      <c r="J152" s="49">
        <v>1.6108698278377354</v>
      </c>
      <c r="K152" s="49">
        <v>1.1201306988383619</v>
      </c>
      <c r="L152" s="49">
        <v>0.34755838021982566</v>
      </c>
      <c r="N152" s="1" t="s">
        <v>46</v>
      </c>
    </row>
    <row r="153" spans="1:14" ht="13.5" thickTop="1" x14ac:dyDescent="0.3">
      <c r="A153" s="2" t="s">
        <v>116</v>
      </c>
      <c r="B153" s="2"/>
    </row>
    <row r="154" spans="1:14" s="7" customFormat="1" x14ac:dyDescent="0.25">
      <c r="A154" s="1" t="str">
        <f t="array" ref="A154:A161">R_CODE</f>
        <v>EU</v>
      </c>
      <c r="C154" s="51">
        <f t="array" ref="C154:L161">(1+PTP/100)^(-(Y-Y_0))</f>
        <v>0.74409391489672516</v>
      </c>
      <c r="D154" s="51">
        <v>0.55367575418633497</v>
      </c>
      <c r="E154" s="51">
        <v>0.41198675951590691</v>
      </c>
      <c r="F154" s="51">
        <v>0.30655684077380685</v>
      </c>
      <c r="G154" s="51">
        <v>0.22810707978975397</v>
      </c>
      <c r="H154" s="51">
        <v>0.1697330900164177</v>
      </c>
      <c r="I154" s="51">
        <v>9.3977096625217166E-2</v>
      </c>
      <c r="J154" s="51">
        <v>5.2032839850209185E-2</v>
      </c>
      <c r="K154" s="51">
        <v>2.707416422877518E-3</v>
      </c>
      <c r="L154" s="51">
        <v>1.4087456513941214E-4</v>
      </c>
    </row>
    <row r="155" spans="1:14" s="7" customFormat="1" x14ac:dyDescent="0.25">
      <c r="A155" s="1" t="str">
        <v>US</v>
      </c>
      <c r="C155" s="52">
        <v>0.74409391489672516</v>
      </c>
      <c r="D155" s="52">
        <v>0.55367575418633497</v>
      </c>
      <c r="E155" s="52">
        <v>0.41198675951590691</v>
      </c>
      <c r="F155" s="52">
        <v>0.30655684077380685</v>
      </c>
      <c r="G155" s="52">
        <v>0.22810707978975397</v>
      </c>
      <c r="H155" s="52">
        <v>0.1697330900164177</v>
      </c>
      <c r="I155" s="52">
        <v>9.3977096625217166E-2</v>
      </c>
      <c r="J155" s="52">
        <v>5.2032839850209185E-2</v>
      </c>
      <c r="K155" s="52">
        <v>2.707416422877518E-3</v>
      </c>
      <c r="L155" s="52">
        <v>1.4087456513941214E-4</v>
      </c>
    </row>
    <row r="156" spans="1:14" s="7" customFormat="1" x14ac:dyDescent="0.25">
      <c r="A156" s="1" t="str">
        <v>OT</v>
      </c>
      <c r="C156" s="52">
        <v>0.74409391489672516</v>
      </c>
      <c r="D156" s="52">
        <v>0.55367575418633497</v>
      </c>
      <c r="E156" s="52">
        <v>0.41198675951590691</v>
      </c>
      <c r="F156" s="52">
        <v>0.30655684077380685</v>
      </c>
      <c r="G156" s="52">
        <v>0.22810707978975397</v>
      </c>
      <c r="H156" s="52">
        <v>0.1697330900164177</v>
      </c>
      <c r="I156" s="52">
        <v>9.3977096625217166E-2</v>
      </c>
      <c r="J156" s="52">
        <v>5.2032839850209185E-2</v>
      </c>
      <c r="K156" s="52">
        <v>2.707416422877518E-3</v>
      </c>
      <c r="L156" s="52">
        <v>1.4087456513941214E-4</v>
      </c>
    </row>
    <row r="157" spans="1:14" s="7" customFormat="1" x14ac:dyDescent="0.25">
      <c r="A157" s="1" t="str">
        <v>EE</v>
      </c>
      <c r="C157" s="52">
        <v>0.74409391489672516</v>
      </c>
      <c r="D157" s="52">
        <v>0.55367575418633497</v>
      </c>
      <c r="E157" s="52">
        <v>0.41198675951590691</v>
      </c>
      <c r="F157" s="52">
        <v>0.30655684077380685</v>
      </c>
      <c r="G157" s="52">
        <v>0.22810707978975397</v>
      </c>
      <c r="H157" s="52">
        <v>0.1697330900164177</v>
      </c>
      <c r="I157" s="52">
        <v>9.3977096625217166E-2</v>
      </c>
      <c r="J157" s="52">
        <v>5.2032839850209185E-2</v>
      </c>
      <c r="K157" s="52">
        <v>2.707416422877518E-3</v>
      </c>
      <c r="L157" s="52">
        <v>1.4087456513941214E-4</v>
      </c>
    </row>
    <row r="158" spans="1:14" s="7" customFormat="1" x14ac:dyDescent="0.25">
      <c r="A158" s="1" t="str">
        <v>CA</v>
      </c>
      <c r="C158" s="52">
        <v>0.74409391489672516</v>
      </c>
      <c r="D158" s="52">
        <v>0.55367575418633497</v>
      </c>
      <c r="E158" s="52">
        <v>0.41198675951590691</v>
      </c>
      <c r="F158" s="52">
        <v>0.30655684077380685</v>
      </c>
      <c r="G158" s="52">
        <v>0.22810707978975397</v>
      </c>
      <c r="H158" s="52">
        <v>0.1697330900164177</v>
      </c>
      <c r="I158" s="52">
        <v>9.3977096625217166E-2</v>
      </c>
      <c r="J158" s="52">
        <v>5.2032839850209185E-2</v>
      </c>
      <c r="K158" s="52">
        <v>2.707416422877518E-3</v>
      </c>
      <c r="L158" s="52">
        <v>1.4087456513941214E-4</v>
      </c>
    </row>
    <row r="159" spans="1:14" s="7" customFormat="1" x14ac:dyDescent="0.25">
      <c r="A159" s="1" t="str">
        <v>IA</v>
      </c>
      <c r="C159" s="52">
        <v>0.74409391489672516</v>
      </c>
      <c r="D159" s="52">
        <v>0.55367575418633497</v>
      </c>
      <c r="E159" s="52">
        <v>0.41198675951590691</v>
      </c>
      <c r="F159" s="52">
        <v>0.30655684077380685</v>
      </c>
      <c r="G159" s="52">
        <v>0.22810707978975397</v>
      </c>
      <c r="H159" s="52">
        <v>0.1697330900164177</v>
      </c>
      <c r="I159" s="52">
        <v>9.3977096625217166E-2</v>
      </c>
      <c r="J159" s="52">
        <v>5.2032839850209185E-2</v>
      </c>
      <c r="K159" s="52">
        <v>2.707416422877518E-3</v>
      </c>
      <c r="L159" s="52">
        <v>1.4087456513941214E-4</v>
      </c>
    </row>
    <row r="160" spans="1:14" s="7" customFormat="1" x14ac:dyDescent="0.25">
      <c r="A160" s="1" t="str">
        <v>AF</v>
      </c>
      <c r="C160" s="52">
        <v>0.74409391489672516</v>
      </c>
      <c r="D160" s="52">
        <v>0.55367575418633497</v>
      </c>
      <c r="E160" s="52">
        <v>0.41198675951590691</v>
      </c>
      <c r="F160" s="52">
        <v>0.30655684077380685</v>
      </c>
      <c r="G160" s="52">
        <v>0.22810707978975397</v>
      </c>
      <c r="H160" s="52">
        <v>0.1697330900164177</v>
      </c>
      <c r="I160" s="52">
        <v>9.3977096625217166E-2</v>
      </c>
      <c r="J160" s="52">
        <v>5.2032839850209185E-2</v>
      </c>
      <c r="K160" s="52">
        <v>2.707416422877518E-3</v>
      </c>
      <c r="L160" s="52">
        <v>1.4087456513941214E-4</v>
      </c>
    </row>
    <row r="161" spans="1:14" s="7" customFormat="1" ht="13" thickBot="1" x14ac:dyDescent="0.3">
      <c r="A161" s="1" t="str">
        <v>LA</v>
      </c>
      <c r="C161" s="53">
        <v>0.74409391489672516</v>
      </c>
      <c r="D161" s="53">
        <v>0.55367575418633497</v>
      </c>
      <c r="E161" s="53">
        <v>0.41198675951590691</v>
      </c>
      <c r="F161" s="53">
        <v>0.30655684077380685</v>
      </c>
      <c r="G161" s="53">
        <v>0.22810707978975397</v>
      </c>
      <c r="H161" s="53">
        <v>0.1697330900164177</v>
      </c>
      <c r="I161" s="53">
        <v>9.3977096625217166E-2</v>
      </c>
      <c r="J161" s="53">
        <v>5.2032839850209185E-2</v>
      </c>
      <c r="K161" s="53">
        <v>2.707416422877518E-3</v>
      </c>
      <c r="L161" s="53">
        <v>1.4087456513941214E-4</v>
      </c>
    </row>
    <row r="162" spans="1:14" s="1" customFormat="1" ht="13.5" thickTop="1" x14ac:dyDescent="0.3">
      <c r="A162" s="61" t="s">
        <v>179</v>
      </c>
      <c r="B162" s="61"/>
      <c r="C162"/>
      <c r="D162"/>
      <c r="E162"/>
      <c r="F162"/>
      <c r="G162"/>
      <c r="H162"/>
      <c r="I162"/>
      <c r="J162"/>
      <c r="K162"/>
      <c r="L162"/>
    </row>
    <row r="163" spans="1:14" s="1" customFormat="1" x14ac:dyDescent="0.25">
      <c r="A163" s="1" t="str">
        <f t="array" ref="A163:A170">R_CODE</f>
        <v>EU</v>
      </c>
      <c r="B163" s="39">
        <f t="array" ref="B163:B170">(CONS_PER_CAP_FOCUS_0/CONS_PER_CAP_0)^EMUC</f>
        <v>1</v>
      </c>
      <c r="C163" s="39">
        <f t="array" ref="C163:L170">(CONS_PER_CAP_FOCUS_0/CONS_PER_CAP)^EMUC</f>
        <v>1</v>
      </c>
      <c r="D163" s="39">
        <v>1</v>
      </c>
      <c r="E163" s="39">
        <v>1</v>
      </c>
      <c r="F163" s="39">
        <v>1</v>
      </c>
      <c r="G163" s="39">
        <v>1</v>
      </c>
      <c r="H163" s="39">
        <v>1</v>
      </c>
      <c r="I163" s="39">
        <v>1</v>
      </c>
      <c r="J163" s="39">
        <v>1</v>
      </c>
      <c r="K163" s="39">
        <v>1</v>
      </c>
      <c r="L163" s="39">
        <v>1</v>
      </c>
    </row>
    <row r="164" spans="1:14" s="1" customFormat="1" x14ac:dyDescent="0.25">
      <c r="A164" s="1" t="str">
        <v>US</v>
      </c>
      <c r="B164" s="35">
        <v>1</v>
      </c>
      <c r="C164" s="35">
        <v>1</v>
      </c>
      <c r="D164" s="35">
        <v>1</v>
      </c>
      <c r="E164" s="35">
        <v>1</v>
      </c>
      <c r="F164" s="35">
        <v>1</v>
      </c>
      <c r="G164" s="35">
        <v>1</v>
      </c>
      <c r="H164" s="35">
        <v>1</v>
      </c>
      <c r="I164" s="35">
        <v>1</v>
      </c>
      <c r="J164" s="35">
        <v>1</v>
      </c>
      <c r="K164" s="35">
        <v>1</v>
      </c>
      <c r="L164" s="35">
        <v>1</v>
      </c>
    </row>
    <row r="165" spans="1:14" s="1" customFormat="1" x14ac:dyDescent="0.25">
      <c r="A165" s="1" t="str">
        <v>OT</v>
      </c>
      <c r="B165" s="35">
        <v>1</v>
      </c>
      <c r="C165" s="35">
        <v>1</v>
      </c>
      <c r="D165" s="35">
        <v>1</v>
      </c>
      <c r="E165" s="35">
        <v>1</v>
      </c>
      <c r="F165" s="35">
        <v>1</v>
      </c>
      <c r="G165" s="35">
        <v>1</v>
      </c>
      <c r="H165" s="35">
        <v>1</v>
      </c>
      <c r="I165" s="35">
        <v>1</v>
      </c>
      <c r="J165" s="35">
        <v>1</v>
      </c>
      <c r="K165" s="35">
        <v>1</v>
      </c>
      <c r="L165" s="35">
        <v>1</v>
      </c>
    </row>
    <row r="166" spans="1:14" s="1" customFormat="1" x14ac:dyDescent="0.25">
      <c r="A166" s="1" t="str">
        <v>EE</v>
      </c>
      <c r="B166" s="35">
        <v>1</v>
      </c>
      <c r="C166" s="35">
        <v>1</v>
      </c>
      <c r="D166" s="35">
        <v>1</v>
      </c>
      <c r="E166" s="35">
        <v>1</v>
      </c>
      <c r="F166" s="35">
        <v>1</v>
      </c>
      <c r="G166" s="35">
        <v>1</v>
      </c>
      <c r="H166" s="35">
        <v>1</v>
      </c>
      <c r="I166" s="35">
        <v>1</v>
      </c>
      <c r="J166" s="35">
        <v>1</v>
      </c>
      <c r="K166" s="35">
        <v>1</v>
      </c>
      <c r="L166" s="35">
        <v>1</v>
      </c>
    </row>
    <row r="167" spans="1:14" s="1" customFormat="1" x14ac:dyDescent="0.25">
      <c r="A167" s="1" t="str">
        <v>CA</v>
      </c>
      <c r="B167" s="35">
        <v>1</v>
      </c>
      <c r="C167" s="35">
        <v>1</v>
      </c>
      <c r="D167" s="35">
        <v>1</v>
      </c>
      <c r="E167" s="35">
        <v>1</v>
      </c>
      <c r="F167" s="35">
        <v>1</v>
      </c>
      <c r="G167" s="35">
        <v>1</v>
      </c>
      <c r="H167" s="35">
        <v>1</v>
      </c>
      <c r="I167" s="35">
        <v>1</v>
      </c>
      <c r="J167" s="35">
        <v>1</v>
      </c>
      <c r="K167" s="35">
        <v>1</v>
      </c>
      <c r="L167" s="35">
        <v>1</v>
      </c>
    </row>
    <row r="168" spans="1:14" s="1" customFormat="1" x14ac:dyDescent="0.25">
      <c r="A168" s="1" t="str">
        <v>IA</v>
      </c>
      <c r="B168" s="35">
        <v>1</v>
      </c>
      <c r="C168" s="35">
        <v>1</v>
      </c>
      <c r="D168" s="35">
        <v>1</v>
      </c>
      <c r="E168" s="35">
        <v>1</v>
      </c>
      <c r="F168" s="35">
        <v>1</v>
      </c>
      <c r="G168" s="35">
        <v>1</v>
      </c>
      <c r="H168" s="35">
        <v>1</v>
      </c>
      <c r="I168" s="35">
        <v>1</v>
      </c>
      <c r="J168" s="35">
        <v>1</v>
      </c>
      <c r="K168" s="35">
        <v>1</v>
      </c>
      <c r="L168" s="35">
        <v>1</v>
      </c>
    </row>
    <row r="169" spans="1:14" s="1" customFormat="1" x14ac:dyDescent="0.25">
      <c r="A169" s="1" t="str">
        <v>AF</v>
      </c>
      <c r="B169" s="35">
        <v>1</v>
      </c>
      <c r="C169" s="35">
        <v>1</v>
      </c>
      <c r="D169" s="35">
        <v>1</v>
      </c>
      <c r="E169" s="35">
        <v>1</v>
      </c>
      <c r="F169" s="35">
        <v>1</v>
      </c>
      <c r="G169" s="35">
        <v>1</v>
      </c>
      <c r="H169" s="35">
        <v>1</v>
      </c>
      <c r="I169" s="35">
        <v>1</v>
      </c>
      <c r="J169" s="35">
        <v>1</v>
      </c>
      <c r="K169" s="35">
        <v>1</v>
      </c>
      <c r="L169" s="35">
        <v>1</v>
      </c>
    </row>
    <row r="170" spans="1:14" s="1" customFormat="1" ht="13" thickBot="1" x14ac:dyDescent="0.3">
      <c r="A170" s="1" t="str">
        <v>LA</v>
      </c>
      <c r="B170" s="49">
        <v>1</v>
      </c>
      <c r="C170" s="49">
        <v>1</v>
      </c>
      <c r="D170" s="49">
        <v>1</v>
      </c>
      <c r="E170" s="49">
        <v>1</v>
      </c>
      <c r="F170" s="49">
        <v>1</v>
      </c>
      <c r="G170" s="49">
        <v>1</v>
      </c>
      <c r="H170" s="49">
        <v>1</v>
      </c>
      <c r="I170" s="49">
        <v>1</v>
      </c>
      <c r="J170" s="49">
        <v>1</v>
      </c>
      <c r="K170" s="49">
        <v>1</v>
      </c>
      <c r="L170" s="49">
        <v>1</v>
      </c>
    </row>
    <row r="171" spans="1:14" s="1" customFormat="1" ht="14" thickTop="1" thickBot="1" x14ac:dyDescent="0.35">
      <c r="A171" s="61" t="s">
        <v>177</v>
      </c>
      <c r="B171" s="49">
        <f>(CONS_PER_CAP_FOCUS_0/CONS_PER_CAP_G_0)^EMUC</f>
        <v>1</v>
      </c>
      <c r="C171" s="49">
        <f t="array" ref="C171:L171">(CONS_PER_CAP_FOCUS_0/CONS_PER_CAP_G)^EMUC</f>
        <v>1</v>
      </c>
      <c r="D171" s="49">
        <v>1</v>
      </c>
      <c r="E171" s="49">
        <v>1</v>
      </c>
      <c r="F171" s="49">
        <v>1</v>
      </c>
      <c r="G171" s="49">
        <v>1</v>
      </c>
      <c r="H171" s="49">
        <v>1</v>
      </c>
      <c r="I171" s="49">
        <v>1</v>
      </c>
      <c r="J171" s="49">
        <v>1</v>
      </c>
      <c r="K171" s="49">
        <v>1</v>
      </c>
      <c r="L171" s="49">
        <v>1</v>
      </c>
    </row>
    <row r="172" spans="1:14" s="13" customFormat="1" ht="13.5" thickTop="1" x14ac:dyDescent="0.3">
      <c r="A172" s="63" t="s">
        <v>472</v>
      </c>
      <c r="B172" s="44"/>
      <c r="C172" s="44"/>
      <c r="D172" s="44"/>
      <c r="E172" s="44"/>
      <c r="F172" s="44"/>
      <c r="G172" s="44"/>
      <c r="H172" s="44"/>
      <c r="I172" s="44"/>
      <c r="J172" s="44"/>
      <c r="K172" s="44"/>
      <c r="L172" s="44"/>
    </row>
    <row r="173" spans="1:14" s="1" customFormat="1" x14ac:dyDescent="0.25">
      <c r="A173" s="1" t="str">
        <f t="array" ref="A173:A180">R_CODE</f>
        <v>EU</v>
      </c>
      <c r="B173" s="44"/>
      <c r="C173" s="35">
        <f t="array" ref="C173:L180">CONS_PER_CAP-(tct_per_cap_b+act_per_cap_b)</f>
        <v>18261.937760227775</v>
      </c>
      <c r="D173" s="35">
        <v>21821.981621930358</v>
      </c>
      <c r="E173" s="35">
        <v>25599.523380493389</v>
      </c>
      <c r="F173" s="35">
        <v>29263.676146847294</v>
      </c>
      <c r="G173" s="35">
        <v>33022.178824603157</v>
      </c>
      <c r="H173" s="35">
        <v>37244.25124789332</v>
      </c>
      <c r="I173" s="35">
        <v>47063.737704782536</v>
      </c>
      <c r="J173" s="35">
        <v>59075.221460458277</v>
      </c>
      <c r="K173" s="35">
        <v>185128.78497796541</v>
      </c>
      <c r="L173" s="35">
        <v>262064.57923426077</v>
      </c>
      <c r="N173" s="1" t="str">
        <f t="shared" ref="N173:N180" si="7">CURRENCY_NAME&amp;"/"&amp;POP_UNIT_NAME</f>
        <v>$million/million</v>
      </c>
    </row>
    <row r="174" spans="1:14" s="1" customFormat="1" x14ac:dyDescent="0.25">
      <c r="A174" s="1" t="str">
        <v>US</v>
      </c>
      <c r="B174" s="44"/>
      <c r="C174" s="35">
        <v>33456.083880167454</v>
      </c>
      <c r="D174" s="35">
        <v>37842.783574206485</v>
      </c>
      <c r="E174" s="35">
        <v>41967.045402325952</v>
      </c>
      <c r="F174" s="35">
        <v>46750.974941625631</v>
      </c>
      <c r="G174" s="35">
        <v>51502.419310044308</v>
      </c>
      <c r="H174" s="35">
        <v>57130.103527742052</v>
      </c>
      <c r="I174" s="35">
        <v>70903.45716097868</v>
      </c>
      <c r="J174" s="35">
        <v>88670.733045607005</v>
      </c>
      <c r="K174" s="35">
        <v>248112.13302416986</v>
      </c>
      <c r="L174" s="35">
        <v>351205.24203321943</v>
      </c>
      <c r="N174" s="1" t="str">
        <f t="shared" si="7"/>
        <v>$million/million</v>
      </c>
    </row>
    <row r="175" spans="1:14" s="1" customFormat="1" x14ac:dyDescent="0.25">
      <c r="A175" s="1" t="str">
        <v>OT</v>
      </c>
      <c r="B175" s="44"/>
      <c r="C175" s="35">
        <v>18767.695684784645</v>
      </c>
      <c r="D175" s="35">
        <v>24251.406231765213</v>
      </c>
      <c r="E175" s="35">
        <v>31619.591008059204</v>
      </c>
      <c r="F175" s="35">
        <v>41106.269236487002</v>
      </c>
      <c r="G175" s="35">
        <v>52459.575874578433</v>
      </c>
      <c r="H175" s="35">
        <v>66262.796020235779</v>
      </c>
      <c r="I175" s="35">
        <v>99419.858979496479</v>
      </c>
      <c r="J175" s="35">
        <v>141963.39044627544</v>
      </c>
      <c r="K175" s="35">
        <v>433951.56371457409</v>
      </c>
      <c r="L175" s="35">
        <v>614242.1646894142</v>
      </c>
      <c r="N175" s="1" t="str">
        <f t="shared" si="7"/>
        <v>$million/million</v>
      </c>
    </row>
    <row r="176" spans="1:14" s="1" customFormat="1" x14ac:dyDescent="0.25">
      <c r="A176" s="1" t="str">
        <v>EE</v>
      </c>
      <c r="B176" s="44"/>
      <c r="C176" s="35">
        <v>2502.4457212926091</v>
      </c>
      <c r="D176" s="35">
        <v>3236.1731337434667</v>
      </c>
      <c r="E176" s="35">
        <v>4222.7403464571198</v>
      </c>
      <c r="F176" s="35">
        <v>5490.9474574304213</v>
      </c>
      <c r="G176" s="35">
        <v>7009.0960104221158</v>
      </c>
      <c r="H176" s="35">
        <v>8853.7001892631397</v>
      </c>
      <c r="I176" s="35">
        <v>13291.66825659073</v>
      </c>
      <c r="J176" s="35">
        <v>18973.531165029464</v>
      </c>
      <c r="K176" s="35">
        <v>57959.807079812657</v>
      </c>
      <c r="L176" s="35">
        <v>82025.473986549579</v>
      </c>
      <c r="N176" s="1" t="str">
        <f t="shared" si="7"/>
        <v>$million/million</v>
      </c>
    </row>
    <row r="177" spans="1:14" s="1" customFormat="1" x14ac:dyDescent="0.25">
      <c r="A177" s="1" t="str">
        <v>CA</v>
      </c>
      <c r="B177" s="44"/>
      <c r="C177" s="35">
        <v>2310.0210016365759</v>
      </c>
      <c r="D177" s="35">
        <v>2987.2598176101837</v>
      </c>
      <c r="E177" s="35">
        <v>3897.7045630786874</v>
      </c>
      <c r="F177" s="35">
        <v>5087.4029078328249</v>
      </c>
      <c r="G177" s="35">
        <v>6463.0159807554701</v>
      </c>
      <c r="H177" s="35">
        <v>8131.2194754165694</v>
      </c>
      <c r="I177" s="35">
        <v>12174.270446923754</v>
      </c>
      <c r="J177" s="35">
        <v>17436.891186336539</v>
      </c>
      <c r="K177" s="35">
        <v>53457.38409859586</v>
      </c>
      <c r="L177" s="35">
        <v>75633.686009004174</v>
      </c>
      <c r="N177" s="1" t="str">
        <f t="shared" si="7"/>
        <v>$million/million</v>
      </c>
    </row>
    <row r="178" spans="1:14" s="1" customFormat="1" x14ac:dyDescent="0.25">
      <c r="A178" s="1" t="str">
        <v>IA</v>
      </c>
      <c r="B178" s="44"/>
      <c r="C178" s="35">
        <v>1251.2544059622223</v>
      </c>
      <c r="D178" s="35">
        <v>1618.0929913468108</v>
      </c>
      <c r="E178" s="35">
        <v>2111.2509597240287</v>
      </c>
      <c r="F178" s="35">
        <v>2767.2906563593215</v>
      </c>
      <c r="G178" s="35">
        <v>3493.635019454684</v>
      </c>
      <c r="H178" s="35">
        <v>4378.5115466166926</v>
      </c>
      <c r="I178" s="35">
        <v>6537.3146168585154</v>
      </c>
      <c r="J178" s="35">
        <v>9404.0243488672968</v>
      </c>
      <c r="K178" s="35">
        <v>28946.448673041046</v>
      </c>
      <c r="L178" s="35">
        <v>40942.984236776596</v>
      </c>
      <c r="N178" s="1" t="str">
        <f t="shared" si="7"/>
        <v>$million/million</v>
      </c>
    </row>
    <row r="179" spans="1:14" s="1" customFormat="1" x14ac:dyDescent="0.25">
      <c r="A179" s="1" t="str">
        <v>AF</v>
      </c>
      <c r="B179" s="44"/>
      <c r="C179" s="35">
        <v>2189.6872085595983</v>
      </c>
      <c r="D179" s="35">
        <v>2832.2289322706629</v>
      </c>
      <c r="E179" s="35">
        <v>3696.217072818109</v>
      </c>
      <c r="F179" s="35">
        <v>4838.3637288468663</v>
      </c>
      <c r="G179" s="35">
        <v>6115.8171014883328</v>
      </c>
      <c r="H179" s="35">
        <v>7662.177845614684</v>
      </c>
      <c r="I179" s="35">
        <v>11453.556865760962</v>
      </c>
      <c r="J179" s="35">
        <v>16484.280533791767</v>
      </c>
      <c r="K179" s="35">
        <v>50687.242638191346</v>
      </c>
      <c r="L179" s="35">
        <v>71695.085866489986</v>
      </c>
      <c r="N179" s="1" t="str">
        <f t="shared" si="7"/>
        <v>$million/million</v>
      </c>
    </row>
    <row r="180" spans="1:14" s="1" customFormat="1" x14ac:dyDescent="0.25">
      <c r="A180" s="1" t="str">
        <v>LA</v>
      </c>
      <c r="B180" s="44"/>
      <c r="C180" s="35">
        <v>4004.0488386731909</v>
      </c>
      <c r="D180" s="35">
        <v>5178.9758141026632</v>
      </c>
      <c r="E180" s="35">
        <v>6758.8371648442235</v>
      </c>
      <c r="F180" s="35">
        <v>8831.6212772275976</v>
      </c>
      <c r="G180" s="35">
        <v>11222.447211857625</v>
      </c>
      <c r="H180" s="35">
        <v>14113.876216522318</v>
      </c>
      <c r="I180" s="35">
        <v>21135.029246883558</v>
      </c>
      <c r="J180" s="35">
        <v>30269.945458860228</v>
      </c>
      <c r="K180" s="35">
        <v>92726.970737411393</v>
      </c>
      <c r="L180" s="35">
        <v>131183.11201608391</v>
      </c>
      <c r="N180" s="1" t="str">
        <f t="shared" si="7"/>
        <v>$million/million</v>
      </c>
    </row>
    <row r="181" spans="1:14" s="13" customFormat="1" ht="13" x14ac:dyDescent="0.3">
      <c r="A181" s="63" t="s">
        <v>473</v>
      </c>
      <c r="B181" s="44"/>
      <c r="C181" s="44"/>
      <c r="D181" s="44"/>
      <c r="E181" s="44"/>
      <c r="F181" s="44"/>
      <c r="G181" s="44"/>
      <c r="H181" s="44"/>
      <c r="I181" s="44"/>
      <c r="J181" s="44"/>
      <c r="K181" s="44"/>
      <c r="L181" s="44"/>
    </row>
    <row r="182" spans="1:14" s="1" customFormat="1" x14ac:dyDescent="0.25">
      <c r="A182" s="1" t="str">
        <f t="array" ref="A182:A189">R_CODE</f>
        <v>EU</v>
      </c>
      <c r="B182" s="44"/>
      <c r="C182" s="35">
        <f t="array" ref="C182:L189">cons_per_cap_after_costs_b/(1-SAVE/100)</f>
        <v>21484.632659091501</v>
      </c>
      <c r="D182" s="35">
        <v>25672.919555212186</v>
      </c>
      <c r="E182" s="35">
        <v>30117.086329992224</v>
      </c>
      <c r="F182" s="35">
        <v>34427.854290408584</v>
      </c>
      <c r="G182" s="35">
        <v>38849.622146591952</v>
      </c>
      <c r="H182" s="35">
        <v>43816.766173992146</v>
      </c>
      <c r="I182" s="35">
        <v>55369.103182097104</v>
      </c>
      <c r="J182" s="35">
        <v>69500.260541715616</v>
      </c>
      <c r="K182" s="35">
        <v>217798.57056231223</v>
      </c>
      <c r="L182" s="35">
        <v>308311.26968736562</v>
      </c>
      <c r="N182" s="1" t="str">
        <f t="shared" ref="N182:N189" si="8">CURRENCY_NAME&amp;"/"&amp;POP_UNIT_NAME</f>
        <v>$million/million</v>
      </c>
    </row>
    <row r="183" spans="1:14" s="1" customFormat="1" x14ac:dyDescent="0.25">
      <c r="A183" s="1" t="str">
        <v>US</v>
      </c>
      <c r="B183" s="44"/>
      <c r="C183" s="35">
        <v>39360.098682549949</v>
      </c>
      <c r="D183" s="35">
        <v>44520.921852007632</v>
      </c>
      <c r="E183" s="35">
        <v>49372.994590971706</v>
      </c>
      <c r="F183" s="35">
        <v>55001.146990147805</v>
      </c>
      <c r="G183" s="35">
        <v>60591.081541228603</v>
      </c>
      <c r="H183" s="35">
        <v>67211.886503225949</v>
      </c>
      <c r="I183" s="35">
        <v>83415.831954092573</v>
      </c>
      <c r="J183" s="35">
        <v>104318.50946542001</v>
      </c>
      <c r="K183" s="35">
        <v>291896.62708725868</v>
      </c>
      <c r="L183" s="35">
        <v>413182.63768614054</v>
      </c>
      <c r="N183" s="1" t="str">
        <f t="shared" si="8"/>
        <v>$million/million</v>
      </c>
    </row>
    <row r="184" spans="1:14" s="1" customFormat="1" x14ac:dyDescent="0.25">
      <c r="A184" s="1" t="str">
        <v>OT</v>
      </c>
      <c r="B184" s="44"/>
      <c r="C184" s="35">
        <v>22079.641982099583</v>
      </c>
      <c r="D184" s="35">
        <v>28531.066155017899</v>
      </c>
      <c r="E184" s="35">
        <v>37199.518833010829</v>
      </c>
      <c r="F184" s="35">
        <v>48360.31674880824</v>
      </c>
      <c r="G184" s="35">
        <v>61717.148087739333</v>
      </c>
      <c r="H184" s="35">
        <v>77956.230612042098</v>
      </c>
      <c r="I184" s="35">
        <v>116964.53997587822</v>
      </c>
      <c r="J184" s="35">
        <v>167015.7534662064</v>
      </c>
      <c r="K184" s="35">
        <v>510531.25142891071</v>
      </c>
      <c r="L184" s="35">
        <v>722637.84081107553</v>
      </c>
      <c r="N184" s="1" t="str">
        <f t="shared" si="8"/>
        <v>$million/million</v>
      </c>
    </row>
    <row r="185" spans="1:14" s="1" customFormat="1" x14ac:dyDescent="0.25">
      <c r="A185" s="1" t="str">
        <v>EE</v>
      </c>
      <c r="B185" s="44"/>
      <c r="C185" s="35">
        <v>2944.0537897560107</v>
      </c>
      <c r="D185" s="35">
        <v>3807.2625102864313</v>
      </c>
      <c r="E185" s="35">
        <v>4967.9298193613176</v>
      </c>
      <c r="F185" s="35">
        <v>6459.9381852122606</v>
      </c>
      <c r="G185" s="35">
        <v>8245.9953063789599</v>
      </c>
      <c r="H185" s="35">
        <v>10416.117869721342</v>
      </c>
      <c r="I185" s="35">
        <v>15637.256772459683</v>
      </c>
      <c r="J185" s="35">
        <v>22321.801370622899</v>
      </c>
      <c r="K185" s="35">
        <v>68188.008329191362</v>
      </c>
      <c r="L185" s="35">
        <v>96500.557631234798</v>
      </c>
      <c r="N185" s="1" t="str">
        <f t="shared" si="8"/>
        <v>$million/million</v>
      </c>
    </row>
    <row r="186" spans="1:14" s="1" customFormat="1" x14ac:dyDescent="0.25">
      <c r="A186" s="1" t="str">
        <v>CA</v>
      </c>
      <c r="B186" s="44"/>
      <c r="C186" s="35">
        <v>2717.6717666312657</v>
      </c>
      <c r="D186" s="35">
        <v>3514.4233148355102</v>
      </c>
      <c r="E186" s="35">
        <v>4585.5347800925738</v>
      </c>
      <c r="F186" s="35">
        <v>5985.1798915680292</v>
      </c>
      <c r="G186" s="35">
        <v>7603.5482126534944</v>
      </c>
      <c r="H186" s="35">
        <v>9566.1405593136114</v>
      </c>
      <c r="I186" s="35">
        <v>14322.671114027946</v>
      </c>
      <c r="J186" s="35">
        <v>20513.989630984164</v>
      </c>
      <c r="K186" s="35">
        <v>62891.040115995129</v>
      </c>
      <c r="L186" s="35">
        <v>88980.807069416682</v>
      </c>
      <c r="N186" s="1" t="str">
        <f t="shared" si="8"/>
        <v>$million/million</v>
      </c>
    </row>
    <row r="187" spans="1:14" s="1" customFormat="1" x14ac:dyDescent="0.25">
      <c r="A187" s="1" t="str">
        <v>IA</v>
      </c>
      <c r="B187" s="44"/>
      <c r="C187" s="35">
        <v>1472.0640070143793</v>
      </c>
      <c r="D187" s="35">
        <v>1903.6388133491891</v>
      </c>
      <c r="E187" s="35">
        <v>2483.8246584988574</v>
      </c>
      <c r="F187" s="35">
        <v>3255.6360663050841</v>
      </c>
      <c r="G187" s="35">
        <v>4110.1588464172755</v>
      </c>
      <c r="H187" s="35">
        <v>5151.1900548431677</v>
      </c>
      <c r="I187" s="35">
        <v>7690.958372774724</v>
      </c>
      <c r="J187" s="35">
        <v>11063.558057490938</v>
      </c>
      <c r="K187" s="35">
        <v>34054.645497695346</v>
      </c>
      <c r="L187" s="35">
        <v>48168.216749148938</v>
      </c>
      <c r="N187" s="1" t="str">
        <f t="shared" si="8"/>
        <v>$million/million</v>
      </c>
    </row>
    <row r="188" spans="1:14" s="1" customFormat="1" x14ac:dyDescent="0.25">
      <c r="A188" s="1" t="str">
        <v>AF</v>
      </c>
      <c r="B188" s="44"/>
      <c r="C188" s="35">
        <v>2576.1025983054096</v>
      </c>
      <c r="D188" s="35">
        <v>3332.0340379654858</v>
      </c>
      <c r="E188" s="35">
        <v>4348.4906739036578</v>
      </c>
      <c r="F188" s="35">
        <v>5692.1926221727836</v>
      </c>
      <c r="G188" s="35">
        <v>7195.078942927451</v>
      </c>
      <c r="H188" s="35">
        <v>9014.3268771937455</v>
      </c>
      <c r="I188" s="35">
        <v>13474.772783248191</v>
      </c>
      <c r="J188" s="35">
        <v>19393.27121622561</v>
      </c>
      <c r="K188" s="35">
        <v>59632.05016257806</v>
      </c>
      <c r="L188" s="35">
        <v>84347.159842929395</v>
      </c>
      <c r="N188" s="1" t="str">
        <f t="shared" si="8"/>
        <v>$million/million</v>
      </c>
    </row>
    <row r="189" spans="1:14" s="1" customFormat="1" x14ac:dyDescent="0.25">
      <c r="A189" s="1" t="str">
        <v>LA</v>
      </c>
      <c r="B189" s="44"/>
      <c r="C189" s="35">
        <v>4710.6456925566954</v>
      </c>
      <c r="D189" s="35">
        <v>6092.9127224737213</v>
      </c>
      <c r="E189" s="35">
        <v>7951.5731351108516</v>
      </c>
      <c r="F189" s="35">
        <v>10390.142679091292</v>
      </c>
      <c r="G189" s="35">
        <v>13202.879072773676</v>
      </c>
      <c r="H189" s="35">
        <v>16604.56025473214</v>
      </c>
      <c r="I189" s="35">
        <v>24864.740290451246</v>
      </c>
      <c r="J189" s="35">
        <v>35611.700539835561</v>
      </c>
      <c r="K189" s="35">
        <v>109090.55380871928</v>
      </c>
      <c r="L189" s="35">
        <v>154333.07296009871</v>
      </c>
      <c r="N189" s="1" t="str">
        <f t="shared" si="8"/>
        <v>$million/million</v>
      </c>
    </row>
    <row r="190" spans="1:14" s="2" customFormat="1" ht="15" x14ac:dyDescent="0.4">
      <c r="A190" s="2" t="s">
        <v>276</v>
      </c>
      <c r="C190" s="2" t="s">
        <v>274</v>
      </c>
    </row>
    <row r="191" spans="1:14" x14ac:dyDescent="0.25">
      <c r="A191" t="str">
        <f t="array" ref="A191:A198">R_CODE&amp;" sea level"</f>
        <v>EU sea level</v>
      </c>
      <c r="C191" s="39">
        <f t="array" ref="C191:L198">WINCF*((W_S+IBEN_S*SCAL)*(i_s_b/SCAL)^POW_S-i_s_b*IBEN_S)</f>
        <v>0.18333843604430011</v>
      </c>
      <c r="D191" s="39">
        <v>0</v>
      </c>
      <c r="E191" s="39">
        <v>0</v>
      </c>
      <c r="F191" s="39">
        <v>9.1592008449239468E-2</v>
      </c>
      <c r="G191" s="39">
        <v>0.2093463526678343</v>
      </c>
      <c r="H191" s="39">
        <v>0.31397298123260448</v>
      </c>
      <c r="I191" s="39">
        <v>0.51591649600439782</v>
      </c>
      <c r="J191" s="39">
        <v>0.70692860738086538</v>
      </c>
      <c r="K191" s="39">
        <v>1.5384929503937936</v>
      </c>
      <c r="L191" s="39">
        <v>2.2167099054296107</v>
      </c>
      <c r="M191" s="6"/>
      <c r="N191" s="84" t="s">
        <v>168</v>
      </c>
    </row>
    <row r="192" spans="1:14" x14ac:dyDescent="0.25">
      <c r="A192" t="str">
        <v>US sea level</v>
      </c>
      <c r="C192" s="35">
        <v>0.1466707488354401</v>
      </c>
      <c r="D192" s="35">
        <v>0</v>
      </c>
      <c r="E192" s="35">
        <v>0</v>
      </c>
      <c r="F192" s="35">
        <v>7.3273606759391582E-2</v>
      </c>
      <c r="G192" s="35">
        <v>0.16747708213426746</v>
      </c>
      <c r="H192" s="35">
        <v>0.25117838498608358</v>
      </c>
      <c r="I192" s="35">
        <v>0.41273319680351828</v>
      </c>
      <c r="J192" s="35">
        <v>0.56554288590469237</v>
      </c>
      <c r="K192" s="35">
        <v>1.2307943603150351</v>
      </c>
      <c r="L192" s="35">
        <v>1.7733679243436886</v>
      </c>
      <c r="M192" s="6"/>
      <c r="N192" s="84" t="s">
        <v>168</v>
      </c>
    </row>
    <row r="193" spans="1:16" x14ac:dyDescent="0.25">
      <c r="A193" t="str">
        <v>OT sea level</v>
      </c>
      <c r="C193" s="35">
        <v>0.1466707488354401</v>
      </c>
      <c r="D193" s="35">
        <v>0</v>
      </c>
      <c r="E193" s="35">
        <v>0</v>
      </c>
      <c r="F193" s="35">
        <v>7.3273606759391582E-2</v>
      </c>
      <c r="G193" s="35">
        <v>0.16747708213426746</v>
      </c>
      <c r="H193" s="35">
        <v>0.25117838498608358</v>
      </c>
      <c r="I193" s="35">
        <v>0.41273319680351828</v>
      </c>
      <c r="J193" s="35">
        <v>0.56554288590469237</v>
      </c>
      <c r="K193" s="35">
        <v>1.2307943603150351</v>
      </c>
      <c r="L193" s="35">
        <v>1.7733679243436886</v>
      </c>
      <c r="M193" s="6"/>
      <c r="N193" s="84" t="s">
        <v>168</v>
      </c>
    </row>
    <row r="194" spans="1:16" x14ac:dyDescent="0.25">
      <c r="A194" t="str">
        <v>EE sea level</v>
      </c>
      <c r="C194" s="35">
        <v>7.3335374417720048E-2</v>
      </c>
      <c r="D194" s="35">
        <v>0</v>
      </c>
      <c r="E194" s="35">
        <v>0</v>
      </c>
      <c r="F194" s="35">
        <v>3.6636803379695791E-2</v>
      </c>
      <c r="G194" s="35">
        <v>8.3738541067133729E-2</v>
      </c>
      <c r="H194" s="35">
        <v>0.12558919249304179</v>
      </c>
      <c r="I194" s="35">
        <v>0.20636659840175914</v>
      </c>
      <c r="J194" s="35">
        <v>0.28277144295234619</v>
      </c>
      <c r="K194" s="35">
        <v>0.61539718015751754</v>
      </c>
      <c r="L194" s="35">
        <v>0.88668396217184431</v>
      </c>
      <c r="M194" s="6"/>
      <c r="N194" s="84" t="s">
        <v>168</v>
      </c>
    </row>
    <row r="195" spans="1:16" x14ac:dyDescent="0.25">
      <c r="A195" t="str">
        <v>CA sea level</v>
      </c>
      <c r="C195" s="35">
        <v>0.25967697396372635</v>
      </c>
      <c r="D195" s="35">
        <v>0.18661968364784634</v>
      </c>
      <c r="E195" s="35">
        <v>0.10968681652553841</v>
      </c>
      <c r="F195" s="35">
        <v>0.18761196298088326</v>
      </c>
      <c r="G195" s="35">
        <v>0.26227862019787501</v>
      </c>
      <c r="H195" s="35">
        <v>0.33573009935913656</v>
      </c>
      <c r="I195" s="35">
        <v>0.48513340600617183</v>
      </c>
      <c r="J195" s="35">
        <v>0.6307598858946476</v>
      </c>
      <c r="K195" s="35">
        <v>1.2805910421974156</v>
      </c>
      <c r="L195" s="35">
        <v>1.8170946012499767</v>
      </c>
      <c r="M195" s="6"/>
      <c r="N195" s="84" t="s">
        <v>168</v>
      </c>
    </row>
    <row r="196" spans="1:16" x14ac:dyDescent="0.25">
      <c r="A196" t="str">
        <v>IA sea level</v>
      </c>
      <c r="C196" s="35">
        <v>0.25967697396372635</v>
      </c>
      <c r="D196" s="35">
        <v>0.18661968364784634</v>
      </c>
      <c r="E196" s="35">
        <v>0.10968681652553841</v>
      </c>
      <c r="F196" s="35">
        <v>0.18761196298088326</v>
      </c>
      <c r="G196" s="35">
        <v>0.26227862019787501</v>
      </c>
      <c r="H196" s="35">
        <v>0.33573009935913656</v>
      </c>
      <c r="I196" s="35">
        <v>0.48513340600617183</v>
      </c>
      <c r="J196" s="35">
        <v>0.6307598858946476</v>
      </c>
      <c r="K196" s="35">
        <v>1.2805910421974156</v>
      </c>
      <c r="L196" s="35">
        <v>1.8170946012499767</v>
      </c>
      <c r="M196" s="6"/>
      <c r="N196" s="84" t="s">
        <v>168</v>
      </c>
    </row>
    <row r="197" spans="1:16" x14ac:dyDescent="0.25">
      <c r="A197" t="str">
        <v>AF sea level</v>
      </c>
      <c r="C197" s="35">
        <v>0.19475773047279477</v>
      </c>
      <c r="D197" s="35">
        <v>0.13996476273588473</v>
      </c>
      <c r="E197" s="35">
        <v>8.2265112394153794E-2</v>
      </c>
      <c r="F197" s="35">
        <v>0.14070897223566242</v>
      </c>
      <c r="G197" s="35">
        <v>0.19670896514840627</v>
      </c>
      <c r="H197" s="35">
        <v>0.25179757451935242</v>
      </c>
      <c r="I197" s="35">
        <v>0.36385005450462882</v>
      </c>
      <c r="J197" s="35">
        <v>0.47306991442098562</v>
      </c>
      <c r="K197" s="35">
        <v>0.96044328164806148</v>
      </c>
      <c r="L197" s="35">
        <v>1.3628209509374825</v>
      </c>
      <c r="M197" s="6"/>
      <c r="N197" s="84" t="s">
        <v>168</v>
      </c>
    </row>
    <row r="198" spans="1:16" x14ac:dyDescent="0.25">
      <c r="A198" t="str">
        <v>LA sea level</v>
      </c>
      <c r="C198" s="35">
        <v>0.19475773047279477</v>
      </c>
      <c r="D198" s="35">
        <v>0.13996476273588473</v>
      </c>
      <c r="E198" s="35">
        <v>8.2265112394153794E-2</v>
      </c>
      <c r="F198" s="35">
        <v>0.14070897223566242</v>
      </c>
      <c r="G198" s="35">
        <v>0.19670896514840627</v>
      </c>
      <c r="H198" s="35">
        <v>0.25179757451935242</v>
      </c>
      <c r="I198" s="35">
        <v>0.36385005450462882</v>
      </c>
      <c r="J198" s="35">
        <v>0.47306991442098562</v>
      </c>
      <c r="K198" s="35">
        <v>0.96044328164806148</v>
      </c>
      <c r="L198" s="35">
        <v>1.3628209509374825</v>
      </c>
      <c r="M198" s="6"/>
      <c r="N198" s="84" t="s">
        <v>168</v>
      </c>
      <c r="P198" s="12"/>
    </row>
    <row r="199" spans="1:16" s="2" customFormat="1" ht="15" x14ac:dyDescent="0.4">
      <c r="A199" s="2" t="s">
        <v>275</v>
      </c>
      <c r="C199" s="2" t="s">
        <v>277</v>
      </c>
    </row>
    <row r="200" spans="1:16" x14ac:dyDescent="0.25">
      <c r="A200" t="str">
        <f t="array" ref="A200:A207">R_CODE&amp;" sea level"</f>
        <v>EU sea level</v>
      </c>
      <c r="C200" s="39">
        <f t="array" ref="C200:L207">iref_s_b*(gdp_per_cap_after_costs_b/GDP_PER_CAP_FOCUS_0)^IPOW_S</f>
        <v>0.17486878695069005</v>
      </c>
      <c r="D200" s="39">
        <v>0</v>
      </c>
      <c r="E200" s="39">
        <v>0</v>
      </c>
      <c r="F200" s="39">
        <v>7.5837105783643083E-2</v>
      </c>
      <c r="G200" s="39">
        <v>0.16716544697614427</v>
      </c>
      <c r="H200" s="39">
        <v>0.2418228498503304</v>
      </c>
      <c r="I200" s="39">
        <v>0.37042161626959913</v>
      </c>
      <c r="J200" s="39">
        <v>0.47410745214131578</v>
      </c>
      <c r="K200" s="39">
        <v>0.73244692135962342</v>
      </c>
      <c r="L200" s="39">
        <v>0.9508438390870384</v>
      </c>
      <c r="M200" s="6"/>
      <c r="N200" s="84" t="s">
        <v>168</v>
      </c>
    </row>
    <row r="201" spans="1:16" x14ac:dyDescent="0.25">
      <c r="A201" t="str">
        <v>US sea level</v>
      </c>
      <c r="C201" s="35">
        <v>0.11666049385188484</v>
      </c>
      <c r="D201" s="35">
        <v>0</v>
      </c>
      <c r="E201" s="35">
        <v>0</v>
      </c>
      <c r="F201" s="35">
        <v>5.2714877346534281E-2</v>
      </c>
      <c r="G201" s="35">
        <v>0.11703881857872798</v>
      </c>
      <c r="H201" s="35">
        <v>0.17015534384185074</v>
      </c>
      <c r="I201" s="35">
        <v>0.2620547345135783</v>
      </c>
      <c r="J201" s="35">
        <v>0.33577958389488549</v>
      </c>
      <c r="K201" s="35">
        <v>0.53667816901882615</v>
      </c>
      <c r="L201" s="35">
        <v>0.69671215058444314</v>
      </c>
      <c r="M201" s="6"/>
      <c r="N201" s="84" t="s">
        <v>168</v>
      </c>
    </row>
    <row r="202" spans="1:16" x14ac:dyDescent="0.25">
      <c r="A202" t="str">
        <v>OT sea level</v>
      </c>
      <c r="C202" s="35">
        <v>0.13875321539455734</v>
      </c>
      <c r="D202" s="35">
        <v>0</v>
      </c>
      <c r="E202" s="35">
        <v>0</v>
      </c>
      <c r="F202" s="35">
        <v>5.4789581510196708E-2</v>
      </c>
      <c r="G202" s="35">
        <v>0.11639405156898568</v>
      </c>
      <c r="H202" s="35">
        <v>0.16275118862833091</v>
      </c>
      <c r="I202" s="35">
        <v>0.23678287587074212</v>
      </c>
      <c r="J202" s="35">
        <v>0.29156505243940295</v>
      </c>
      <c r="K202" s="35">
        <v>0.45381197621736291</v>
      </c>
      <c r="L202" s="35">
        <v>0.58914174112206741</v>
      </c>
      <c r="M202" s="6"/>
      <c r="N202" s="84" t="s">
        <v>168</v>
      </c>
    </row>
    <row r="203" spans="1:16" x14ac:dyDescent="0.25">
      <c r="A203" t="str">
        <v>EE sea level</v>
      </c>
      <c r="C203" s="35">
        <v>0.12697755090667209</v>
      </c>
      <c r="D203" s="35">
        <v>0</v>
      </c>
      <c r="E203" s="35">
        <v>0</v>
      </c>
      <c r="F203" s="35">
        <v>5.0112517384791638E-2</v>
      </c>
      <c r="G203" s="35">
        <v>0.10645096922706149</v>
      </c>
      <c r="H203" s="35">
        <v>0.14884616759512381</v>
      </c>
      <c r="I203" s="35">
        <v>0.21651519985348797</v>
      </c>
      <c r="J203" s="35">
        <v>0.26663301960917118</v>
      </c>
      <c r="K203" s="35">
        <v>0.41508807339938592</v>
      </c>
      <c r="L203" s="35">
        <v>0.53889860730979755</v>
      </c>
      <c r="M203" s="6"/>
      <c r="N203" s="84" t="s">
        <v>168</v>
      </c>
    </row>
    <row r="204" spans="1:16" x14ac:dyDescent="0.25">
      <c r="A204" t="str">
        <v>CA sea level</v>
      </c>
      <c r="C204" s="35">
        <v>0.46054438924349833</v>
      </c>
      <c r="D204" s="35">
        <v>0.30640678806197214</v>
      </c>
      <c r="E204" s="35">
        <v>0.16627792233953825</v>
      </c>
      <c r="F204" s="35">
        <v>0.26256360093532566</v>
      </c>
      <c r="G204" s="35">
        <v>0.34162933366476339</v>
      </c>
      <c r="H204" s="35">
        <v>0.40819380234353969</v>
      </c>
      <c r="I204" s="35">
        <v>0.52257800902648965</v>
      </c>
      <c r="J204" s="35">
        <v>0.61002296003781631</v>
      </c>
      <c r="K204" s="35">
        <v>0.88497495705143092</v>
      </c>
      <c r="L204" s="35">
        <v>1.131581375180934</v>
      </c>
      <c r="M204" s="6"/>
      <c r="N204" s="84" t="s">
        <v>168</v>
      </c>
    </row>
    <row r="205" spans="1:16" x14ac:dyDescent="0.25">
      <c r="A205" t="str">
        <v>IA sea level</v>
      </c>
      <c r="C205" s="35">
        <v>0.55354456155861631</v>
      </c>
      <c r="D205" s="35">
        <v>0.36828093614064183</v>
      </c>
      <c r="E205" s="35">
        <v>0.19985513280742209</v>
      </c>
      <c r="F205" s="35">
        <v>0.31518600608410657</v>
      </c>
      <c r="G205" s="35">
        <v>0.41086813729369664</v>
      </c>
      <c r="H205" s="35">
        <v>0.49149053844061064</v>
      </c>
      <c r="I205" s="35">
        <v>0.62974423081631636</v>
      </c>
      <c r="J205" s="35">
        <v>0.73416347615984112</v>
      </c>
      <c r="K205" s="35">
        <v>1.063787065145444</v>
      </c>
      <c r="L205" s="35">
        <v>1.360337036691238</v>
      </c>
      <c r="M205" s="6"/>
      <c r="N205" s="84" t="s">
        <v>168</v>
      </c>
    </row>
    <row r="206" spans="1:16" x14ac:dyDescent="0.25">
      <c r="A206" t="str">
        <v>AF sea level</v>
      </c>
      <c r="C206" s="35">
        <v>0.35099660289774559</v>
      </c>
      <c r="D206" s="35">
        <v>0.23350868512733716</v>
      </c>
      <c r="E206" s="35">
        <v>0.12671011566296081</v>
      </c>
      <c r="F206" s="35">
        <v>0.19991025324148295</v>
      </c>
      <c r="G206" s="35">
        <v>0.26050174661582742</v>
      </c>
      <c r="H206" s="35">
        <v>0.31165113042849046</v>
      </c>
      <c r="I206" s="35">
        <v>0.39917484374569961</v>
      </c>
      <c r="J206" s="35">
        <v>0.46529368986574859</v>
      </c>
      <c r="K206" s="35">
        <v>0.67441148195429357</v>
      </c>
      <c r="L206" s="35">
        <v>0.86241205240204288</v>
      </c>
      <c r="M206" s="6"/>
      <c r="N206" s="84" t="s">
        <v>168</v>
      </c>
    </row>
    <row r="207" spans="1:16" x14ac:dyDescent="0.25">
      <c r="A207" t="str">
        <v>LA sea level</v>
      </c>
      <c r="C207" s="35">
        <v>0.29286517202029505</v>
      </c>
      <c r="D207" s="35">
        <v>0.19483562992868411</v>
      </c>
      <c r="E207" s="35">
        <v>0.1057248147662152</v>
      </c>
      <c r="F207" s="35">
        <v>0.1668908368276199</v>
      </c>
      <c r="G207" s="35">
        <v>0.21713044120159974</v>
      </c>
      <c r="H207" s="35">
        <v>0.25946601613679215</v>
      </c>
      <c r="I207" s="35">
        <v>0.33215777367632621</v>
      </c>
      <c r="J207" s="35">
        <v>0.38774362872727575</v>
      </c>
      <c r="K207" s="35">
        <v>0.5626427587968279</v>
      </c>
      <c r="L207" s="35">
        <v>0.7194460876169454</v>
      </c>
      <c r="M207" s="6"/>
      <c r="N207" s="84" t="s">
        <v>168</v>
      </c>
    </row>
    <row r="208" spans="1:16" s="2" customFormat="1" ht="15" x14ac:dyDescent="0.4">
      <c r="A208" s="2" t="s">
        <v>279</v>
      </c>
      <c r="C208" s="2" t="s">
        <v>278</v>
      </c>
    </row>
    <row r="209" spans="1:15" x14ac:dyDescent="0.25">
      <c r="A209" t="str">
        <f t="array" ref="A209:A216">R_CODE&amp;" sea level"</f>
        <v>EU sea level</v>
      </c>
      <c r="C209" s="39">
        <f t="array" ref="C209:L216">IF(igdp_s_b&lt;ISATG,igdp_s_b,ISATG+(100-SAVE-ISATG)*((igdp_s_b-ISATG)/((100-SAVE-ISATG)+(igdp_s_b-ISATG))))*(1-imp_s_b/100*IF(i_s_b&lt;impmax_s_b,1,impmax_s_b/i_s_b))</f>
        <v>0.17486878695069005</v>
      </c>
      <c r="D209" s="39">
        <v>0</v>
      </c>
      <c r="E209" s="39">
        <v>0</v>
      </c>
      <c r="F209" s="39">
        <v>5.6877829337732312E-2</v>
      </c>
      <c r="G209" s="39">
        <v>0.10447840436009018</v>
      </c>
      <c r="H209" s="39">
        <v>0.1209114249251652</v>
      </c>
      <c r="I209" s="39">
        <v>0.18521080813479956</v>
      </c>
      <c r="J209" s="39">
        <v>0.23705372607065789</v>
      </c>
      <c r="K209" s="39">
        <v>0.36622346067981171</v>
      </c>
      <c r="L209" s="39">
        <v>0.62970855791621283</v>
      </c>
      <c r="M209" s="6"/>
      <c r="N209" s="84" t="s">
        <v>168</v>
      </c>
    </row>
    <row r="210" spans="1:15" x14ac:dyDescent="0.25">
      <c r="A210" t="str">
        <v>US sea level</v>
      </c>
      <c r="C210" s="35">
        <v>0.11666049385188484</v>
      </c>
      <c r="D210" s="35">
        <v>0</v>
      </c>
      <c r="E210" s="35">
        <v>0</v>
      </c>
      <c r="F210" s="35">
        <v>3.9536158009900707E-2</v>
      </c>
      <c r="G210" s="35">
        <v>7.3149261611704985E-2</v>
      </c>
      <c r="H210" s="35">
        <v>8.5077671920925371E-2</v>
      </c>
      <c r="I210" s="35">
        <v>0.13102736725678915</v>
      </c>
      <c r="J210" s="35">
        <v>0.16788979194744275</v>
      </c>
      <c r="K210" s="35">
        <v>0.26833908450941307</v>
      </c>
      <c r="L210" s="35">
        <v>0.46140657970553767</v>
      </c>
      <c r="M210" s="6"/>
      <c r="N210" s="84" t="s">
        <v>168</v>
      </c>
    </row>
    <row r="211" spans="1:15" x14ac:dyDescent="0.25">
      <c r="A211" t="str">
        <v>OT sea level</v>
      </c>
      <c r="C211" s="35">
        <v>0.13875321539455734</v>
      </c>
      <c r="D211" s="35">
        <v>0</v>
      </c>
      <c r="E211" s="35">
        <v>0</v>
      </c>
      <c r="F211" s="35">
        <v>4.1092186132647535E-2</v>
      </c>
      <c r="G211" s="35">
        <v>7.2746282230616049E-2</v>
      </c>
      <c r="H211" s="35">
        <v>8.1375594314165453E-2</v>
      </c>
      <c r="I211" s="35">
        <v>0.11839143793537106</v>
      </c>
      <c r="J211" s="35">
        <v>0.14578252621970147</v>
      </c>
      <c r="K211" s="35">
        <v>0.22690598810868146</v>
      </c>
      <c r="L211" s="35">
        <v>0.3901666929518427</v>
      </c>
      <c r="M211" s="6"/>
      <c r="N211" s="84" t="s">
        <v>168</v>
      </c>
    </row>
    <row r="212" spans="1:15" x14ac:dyDescent="0.25">
      <c r="A212" t="str">
        <v>EE sea level</v>
      </c>
      <c r="C212" s="35">
        <v>0.12697755090667209</v>
      </c>
      <c r="D212" s="35">
        <v>0</v>
      </c>
      <c r="E212" s="35">
        <v>0</v>
      </c>
      <c r="F212" s="35">
        <v>3.7584388038593729E-2</v>
      </c>
      <c r="G212" s="35">
        <v>6.6531855766913423E-2</v>
      </c>
      <c r="H212" s="35">
        <v>7.4423083797561906E-2</v>
      </c>
      <c r="I212" s="35">
        <v>0.10825759992674398</v>
      </c>
      <c r="J212" s="35">
        <v>0.13331650980458559</v>
      </c>
      <c r="K212" s="35">
        <v>0.20754403669969296</v>
      </c>
      <c r="L212" s="35">
        <v>0.35689253158324846</v>
      </c>
      <c r="M212" s="6"/>
      <c r="N212" s="84" t="s">
        <v>168</v>
      </c>
    </row>
    <row r="213" spans="1:15" x14ac:dyDescent="0.25">
      <c r="A213" t="str">
        <v>CA sea level</v>
      </c>
      <c r="C213" s="35">
        <v>0.46054438924349833</v>
      </c>
      <c r="D213" s="35">
        <v>0.30640678806197214</v>
      </c>
      <c r="E213" s="35">
        <v>0.15588555219331712</v>
      </c>
      <c r="F213" s="35">
        <v>0.22974315081840996</v>
      </c>
      <c r="G213" s="35">
        <v>0.27757383360262028</v>
      </c>
      <c r="H213" s="35">
        <v>0.30614535175765478</v>
      </c>
      <c r="I213" s="35">
        <v>0.39193350676986727</v>
      </c>
      <c r="J213" s="35">
        <v>0.45751722002836226</v>
      </c>
      <c r="K213" s="35">
        <v>0.66373121778857325</v>
      </c>
      <c r="L213" s="35">
        <v>0.94673576782768187</v>
      </c>
      <c r="M213" s="6"/>
      <c r="N213" s="84" t="s">
        <v>168</v>
      </c>
    </row>
    <row r="214" spans="1:15" x14ac:dyDescent="0.25">
      <c r="A214" t="str">
        <v>IA sea level</v>
      </c>
      <c r="C214" s="35">
        <v>0.55354456155861631</v>
      </c>
      <c r="D214" s="35">
        <v>0.36828093614064183</v>
      </c>
      <c r="E214" s="35">
        <v>0.1873641870069582</v>
      </c>
      <c r="F214" s="35">
        <v>0.27578775532359323</v>
      </c>
      <c r="G214" s="35">
        <v>0.33383036155112855</v>
      </c>
      <c r="H214" s="35">
        <v>0.368617903830458</v>
      </c>
      <c r="I214" s="35">
        <v>0.47230817311223727</v>
      </c>
      <c r="J214" s="35">
        <v>0.55062260711988087</v>
      </c>
      <c r="K214" s="35">
        <v>0.79784029885908292</v>
      </c>
      <c r="L214" s="35">
        <v>1.1381238302286367</v>
      </c>
      <c r="M214" s="6"/>
      <c r="N214" s="84" t="s">
        <v>168</v>
      </c>
    </row>
    <row r="215" spans="1:15" x14ac:dyDescent="0.25">
      <c r="A215" t="str">
        <v>AF sea level</v>
      </c>
      <c r="C215" s="35">
        <v>0.35099660289774559</v>
      </c>
      <c r="D215" s="35">
        <v>0.23350868512733716</v>
      </c>
      <c r="E215" s="35">
        <v>0.11879073343402576</v>
      </c>
      <c r="F215" s="35">
        <v>0.17492147158629759</v>
      </c>
      <c r="G215" s="35">
        <v>0.21165766912535977</v>
      </c>
      <c r="H215" s="35">
        <v>0.23373834782136785</v>
      </c>
      <c r="I215" s="35">
        <v>0.2993811328092747</v>
      </c>
      <c r="J215" s="35">
        <v>0.34897026739931147</v>
      </c>
      <c r="K215" s="35">
        <v>0.5058086114657202</v>
      </c>
      <c r="L215" s="35">
        <v>0.72153567964490817</v>
      </c>
      <c r="M215" s="6"/>
      <c r="N215" s="84" t="s">
        <v>168</v>
      </c>
    </row>
    <row r="216" spans="1:15" x14ac:dyDescent="0.25">
      <c r="A216" t="str">
        <v>LA sea level</v>
      </c>
      <c r="C216" s="35">
        <v>0.29286517202029505</v>
      </c>
      <c r="D216" s="35">
        <v>0.19483562992868411</v>
      </c>
      <c r="E216" s="35">
        <v>9.9117013843326746E-2</v>
      </c>
      <c r="F216" s="35">
        <v>0.14602948222416742</v>
      </c>
      <c r="G216" s="35">
        <v>0.17641848347629979</v>
      </c>
      <c r="H216" s="35">
        <v>0.19459951210259413</v>
      </c>
      <c r="I216" s="35">
        <v>0.24911833025724467</v>
      </c>
      <c r="J216" s="35">
        <v>0.29080772154545681</v>
      </c>
      <c r="K216" s="35">
        <v>0.42198206909762093</v>
      </c>
      <c r="L216" s="35">
        <v>0.60192343132348047</v>
      </c>
      <c r="M216" s="6"/>
      <c r="N216" s="84" t="s">
        <v>168</v>
      </c>
    </row>
    <row r="217" spans="1:15" s="2" customFormat="1" ht="15" x14ac:dyDescent="0.4">
      <c r="A217" s="2" t="s">
        <v>280</v>
      </c>
      <c r="C217" s="2" t="s">
        <v>281</v>
      </c>
    </row>
    <row r="218" spans="1:15" x14ac:dyDescent="0.25">
      <c r="A218" t="str">
        <f t="array" ref="A218:A225">R_CODE&amp;" sea level"</f>
        <v>EU sea level</v>
      </c>
      <c r="C218" s="39">
        <f t="array" ref="C218:L225">(isat_s_b/100)*gdp_per_cap_after_costs_b</f>
        <v>37.569916511765094</v>
      </c>
      <c r="D218" s="39">
        <v>0</v>
      </c>
      <c r="E218" s="39">
        <v>0</v>
      </c>
      <c r="F218" s="39">
        <v>19.581816207941745</v>
      </c>
      <c r="G218" s="39">
        <v>40.58946531868348</v>
      </c>
      <c r="H218" s="39">
        <v>52.979476337101694</v>
      </c>
      <c r="I218" s="39">
        <v>102.54956346055307</v>
      </c>
      <c r="J218" s="39">
        <v>164.75295724295208</v>
      </c>
      <c r="K218" s="39">
        <v>797.62946242446151</v>
      </c>
      <c r="L218" s="39">
        <v>1941.4624502414758</v>
      </c>
      <c r="M218" s="6"/>
      <c r="N218" s="1" t="str">
        <f t="shared" ref="N218:N225" si="9">CURRENCY_NAME&amp;"/"&amp;POP_UNIT_NAME</f>
        <v>$million/million</v>
      </c>
      <c r="O218" s="1"/>
    </row>
    <row r="219" spans="1:15" x14ac:dyDescent="0.25">
      <c r="A219" t="str">
        <v>US sea level</v>
      </c>
      <c r="C219" s="35">
        <v>45.917685503651995</v>
      </c>
      <c r="D219" s="35">
        <v>0</v>
      </c>
      <c r="E219" s="35">
        <v>0</v>
      </c>
      <c r="F219" s="35">
        <v>21.745340381282585</v>
      </c>
      <c r="G219" s="35">
        <v>44.3219287499548</v>
      </c>
      <c r="H219" s="35">
        <v>57.182308291079295</v>
      </c>
      <c r="I219" s="35">
        <v>109.29756848479497</v>
      </c>
      <c r="J219" s="35">
        <v>175.14012850416702</v>
      </c>
      <c r="K219" s="35">
        <v>783.27273683980548</v>
      </c>
      <c r="L219" s="35">
        <v>1906.4518764847451</v>
      </c>
      <c r="M219" s="6"/>
      <c r="N219" s="1" t="str">
        <f t="shared" si="9"/>
        <v>$million/million</v>
      </c>
      <c r="O219" s="1"/>
    </row>
    <row r="220" spans="1:15" x14ac:dyDescent="0.25">
      <c r="A220" t="str">
        <v>OT sea level</v>
      </c>
      <c r="C220" s="35">
        <v>30.636213197769745</v>
      </c>
      <c r="D220" s="35">
        <v>0</v>
      </c>
      <c r="E220" s="35">
        <v>0</v>
      </c>
      <c r="F220" s="35">
        <v>19.872311372758201</v>
      </c>
      <c r="G220" s="35">
        <v>44.896930732594107</v>
      </c>
      <c r="H220" s="35">
        <v>63.437345965470634</v>
      </c>
      <c r="I220" s="35">
        <v>138.47600075193412</v>
      </c>
      <c r="J220" s="35">
        <v>243.47978458790433</v>
      </c>
      <c r="K220" s="35">
        <v>1158.4259806583868</v>
      </c>
      <c r="L220" s="35">
        <v>2819.4921655111748</v>
      </c>
      <c r="M220" s="6"/>
      <c r="N220" s="1" t="str">
        <f t="shared" si="9"/>
        <v>$million/million</v>
      </c>
      <c r="O220" s="1"/>
    </row>
    <row r="221" spans="1:15" x14ac:dyDescent="0.25">
      <c r="A221" t="str">
        <v>EE sea level</v>
      </c>
      <c r="C221" s="35">
        <v>3.7382873996072474</v>
      </c>
      <c r="D221" s="35">
        <v>0</v>
      </c>
      <c r="E221" s="35">
        <v>0</v>
      </c>
      <c r="F221" s="35">
        <v>2.4279282345834656</v>
      </c>
      <c r="G221" s="35">
        <v>5.4862137037865004</v>
      </c>
      <c r="H221" s="35">
        <v>7.7519961306355336</v>
      </c>
      <c r="I221" s="35">
        <v>16.928518876247082</v>
      </c>
      <c r="J221" s="35">
        <v>29.758646512826601</v>
      </c>
      <c r="K221" s="35">
        <v>141.5201450315266</v>
      </c>
      <c r="L221" s="35">
        <v>344.40328312206555</v>
      </c>
      <c r="M221" s="6"/>
      <c r="N221" s="1" t="str">
        <f t="shared" si="9"/>
        <v>$million/million</v>
      </c>
      <c r="O221" s="1"/>
    </row>
    <row r="222" spans="1:15" x14ac:dyDescent="0.25">
      <c r="A222" t="str">
        <v>CA sea level</v>
      </c>
      <c r="C222" s="35">
        <v>12.516084839274955</v>
      </c>
      <c r="D222" s="35">
        <v>10.768431597888577</v>
      </c>
      <c r="E222" s="35">
        <v>7.1481862129639184</v>
      </c>
      <c r="F222" s="35">
        <v>13.750540865038284</v>
      </c>
      <c r="G222" s="35">
        <v>21.105460263685817</v>
      </c>
      <c r="H222" s="35">
        <v>29.286294664942343</v>
      </c>
      <c r="I222" s="35">
        <v>56.135347160324542</v>
      </c>
      <c r="J222" s="35">
        <v>93.855035076585239</v>
      </c>
      <c r="K222" s="35">
        <v>417.42746644179459</v>
      </c>
      <c r="L222" s="35">
        <v>842.41312702791026</v>
      </c>
      <c r="M222" s="6"/>
      <c r="N222" s="1" t="str">
        <f t="shared" si="9"/>
        <v>$million/million</v>
      </c>
      <c r="O222" s="1"/>
    </row>
    <row r="223" spans="1:15" x14ac:dyDescent="0.25">
      <c r="A223" t="str">
        <v>IA sea level</v>
      </c>
      <c r="C223" s="35">
        <v>8.1485302534899446</v>
      </c>
      <c r="D223" s="35">
        <v>7.0107388425389994</v>
      </c>
      <c r="E223" s="35">
        <v>4.65379787807474</v>
      </c>
      <c r="F223" s="35">
        <v>8.9786456287681222</v>
      </c>
      <c r="G223" s="35">
        <v>13.720958137320485</v>
      </c>
      <c r="H223" s="35">
        <v>18.988208802485904</v>
      </c>
      <c r="I223" s="35">
        <v>36.32502498527495</v>
      </c>
      <c r="J223" s="35">
        <v>60.918451816378251</v>
      </c>
      <c r="K223" s="35">
        <v>271.70168541421378</v>
      </c>
      <c r="L223" s="35">
        <v>548.21395341824564</v>
      </c>
      <c r="M223" s="6"/>
      <c r="N223" s="1" t="str">
        <f t="shared" si="9"/>
        <v>$million/million</v>
      </c>
      <c r="O223" s="1"/>
    </row>
    <row r="224" spans="1:15" x14ac:dyDescent="0.25">
      <c r="A224" t="str">
        <v>AF sea level</v>
      </c>
      <c r="C224" s="35">
        <v>9.0420326072125459</v>
      </c>
      <c r="D224" s="35">
        <v>7.7805888700485246</v>
      </c>
      <c r="E224" s="35">
        <v>5.165603964840364</v>
      </c>
      <c r="F224" s="35">
        <v>9.9568671002312925</v>
      </c>
      <c r="G224" s="35">
        <v>15.228936382329817</v>
      </c>
      <c r="H224" s="35">
        <v>21.069938709970163</v>
      </c>
      <c r="I224" s="35">
        <v>40.340927401964265</v>
      </c>
      <c r="J224" s="35">
        <v>67.676750420736212</v>
      </c>
      <c r="K224" s="35">
        <v>301.62404491587785</v>
      </c>
      <c r="L224" s="35">
        <v>608.5948530338577</v>
      </c>
      <c r="M224" s="6"/>
      <c r="N224" s="1" t="str">
        <f t="shared" si="9"/>
        <v>$million/million</v>
      </c>
      <c r="O224" s="1"/>
    </row>
    <row r="225" spans="1:15" x14ac:dyDescent="0.25">
      <c r="A225" t="str">
        <v>LA sea level</v>
      </c>
      <c r="C225" s="35">
        <v>13.795840610772785</v>
      </c>
      <c r="D225" s="35">
        <v>11.871164883836611</v>
      </c>
      <c r="E225" s="35">
        <v>7.8813618450900735</v>
      </c>
      <c r="F225" s="35">
        <v>15.172671556629252</v>
      </c>
      <c r="G225" s="35">
        <v>23.292319035397071</v>
      </c>
      <c r="H225" s="35">
        <v>32.312393242490003</v>
      </c>
      <c r="I225" s="35">
        <v>61.942625834372514</v>
      </c>
      <c r="J225" s="35">
        <v>103.56157494348693</v>
      </c>
      <c r="K225" s="35">
        <v>460.34257615208713</v>
      </c>
      <c r="L225" s="35">
        <v>928.96692842839673</v>
      </c>
      <c r="M225" s="6"/>
      <c r="N225" s="1" t="str">
        <f t="shared" si="9"/>
        <v>$million/million</v>
      </c>
      <c r="O225" s="1"/>
    </row>
    <row r="226" spans="1:15" s="2" customFormat="1" ht="15" x14ac:dyDescent="0.4">
      <c r="A226" s="2" t="s">
        <v>282</v>
      </c>
      <c r="C226" s="2" t="s">
        <v>283</v>
      </c>
    </row>
    <row r="227" spans="1:15" x14ac:dyDescent="0.25">
      <c r="A227" t="str">
        <f t="array" ref="A227:A234">R_CODE&amp;" sea level"</f>
        <v>EU sea level</v>
      </c>
      <c r="C227" s="39">
        <f t="array" ref="C227:L234">cons_per_cap_after_costs_b-isat_s_per_cap_b</f>
        <v>18224.367843716009</v>
      </c>
      <c r="D227" s="39">
        <v>21821.981621930358</v>
      </c>
      <c r="E227" s="39">
        <v>25599.523380493389</v>
      </c>
      <c r="F227" s="39">
        <v>29244.094330639353</v>
      </c>
      <c r="G227" s="39">
        <v>32981.589359284473</v>
      </c>
      <c r="H227" s="39">
        <v>37191.271771556218</v>
      </c>
      <c r="I227" s="39">
        <v>46961.188141321982</v>
      </c>
      <c r="J227" s="39">
        <v>58910.468503215328</v>
      </c>
      <c r="K227" s="39">
        <v>184331.15551554094</v>
      </c>
      <c r="L227" s="39">
        <v>260123.11678401931</v>
      </c>
      <c r="M227" s="6"/>
      <c r="N227" s="1" t="str">
        <f t="shared" ref="N227:N234" si="10">CURRENCY_NAME&amp;"/"&amp;POP_UNIT_NAME</f>
        <v>$million/million</v>
      </c>
      <c r="O227" s="1"/>
    </row>
    <row r="228" spans="1:15" x14ac:dyDescent="0.25">
      <c r="A228" t="str">
        <v>US sea level</v>
      </c>
      <c r="C228" s="35">
        <v>33410.166194663805</v>
      </c>
      <c r="D228" s="35">
        <v>37842.783574206485</v>
      </c>
      <c r="E228" s="35">
        <v>41967.045402325952</v>
      </c>
      <c r="F228" s="35">
        <v>46729.229601244348</v>
      </c>
      <c r="G228" s="35">
        <v>51458.097381294356</v>
      </c>
      <c r="H228" s="35">
        <v>57072.921219450975</v>
      </c>
      <c r="I228" s="35">
        <v>70794.159592493888</v>
      </c>
      <c r="J228" s="35">
        <v>88495.59291710284</v>
      </c>
      <c r="K228" s="35">
        <v>247328.86028733006</v>
      </c>
      <c r="L228" s="35">
        <v>349298.7901567347</v>
      </c>
      <c r="M228" s="6"/>
      <c r="N228" s="1" t="str">
        <f t="shared" si="10"/>
        <v>$million/million</v>
      </c>
      <c r="O228" s="1"/>
    </row>
    <row r="229" spans="1:15" x14ac:dyDescent="0.25">
      <c r="A229" t="str">
        <v>OT sea level</v>
      </c>
      <c r="C229" s="35">
        <v>18737.059471586876</v>
      </c>
      <c r="D229" s="35">
        <v>24251.406231765213</v>
      </c>
      <c r="E229" s="35">
        <v>31619.591008059204</v>
      </c>
      <c r="F229" s="35">
        <v>41086.396925114241</v>
      </c>
      <c r="G229" s="35">
        <v>52414.678943845836</v>
      </c>
      <c r="H229" s="35">
        <v>66199.358674270305</v>
      </c>
      <c r="I229" s="35">
        <v>99281.382978744543</v>
      </c>
      <c r="J229" s="35">
        <v>141719.91066168755</v>
      </c>
      <c r="K229" s="35">
        <v>432793.1377339157</v>
      </c>
      <c r="L229" s="35">
        <v>611422.67252390308</v>
      </c>
      <c r="M229" s="6"/>
      <c r="N229" s="1" t="str">
        <f t="shared" si="10"/>
        <v>$million/million</v>
      </c>
      <c r="O229" s="1"/>
    </row>
    <row r="230" spans="1:15" x14ac:dyDescent="0.25">
      <c r="A230" t="str">
        <v>EE sea level</v>
      </c>
      <c r="C230" s="35">
        <v>2498.707433893002</v>
      </c>
      <c r="D230" s="35">
        <v>3236.1731337434667</v>
      </c>
      <c r="E230" s="35">
        <v>4222.7403464571198</v>
      </c>
      <c r="F230" s="35">
        <v>5488.519529195838</v>
      </c>
      <c r="G230" s="35">
        <v>7003.6097967183296</v>
      </c>
      <c r="H230" s="35">
        <v>8845.9481931325045</v>
      </c>
      <c r="I230" s="35">
        <v>13274.739737714483</v>
      </c>
      <c r="J230" s="35">
        <v>18943.772518516638</v>
      </c>
      <c r="K230" s="35">
        <v>57818.286934781128</v>
      </c>
      <c r="L230" s="35">
        <v>81681.070703427511</v>
      </c>
      <c r="M230" s="6"/>
      <c r="N230" s="1" t="str">
        <f t="shared" si="10"/>
        <v>$million/million</v>
      </c>
      <c r="O230" s="1"/>
    </row>
    <row r="231" spans="1:15" x14ac:dyDescent="0.25">
      <c r="A231" t="str">
        <v>CA sea level</v>
      </c>
      <c r="C231" s="35">
        <v>2297.5049167973011</v>
      </c>
      <c r="D231" s="35">
        <v>2976.4913860122952</v>
      </c>
      <c r="E231" s="35">
        <v>3890.5563768657235</v>
      </c>
      <c r="F231" s="35">
        <v>5073.6523669677863</v>
      </c>
      <c r="G231" s="35">
        <v>6441.9105204917842</v>
      </c>
      <c r="H231" s="35">
        <v>8101.9331807516273</v>
      </c>
      <c r="I231" s="35">
        <v>12118.135099763429</v>
      </c>
      <c r="J231" s="35">
        <v>17343.036151259956</v>
      </c>
      <c r="K231" s="35">
        <v>53039.956632154062</v>
      </c>
      <c r="L231" s="35">
        <v>74791.272881976271</v>
      </c>
      <c r="M231" s="6"/>
      <c r="N231" s="1" t="str">
        <f t="shared" si="10"/>
        <v>$million/million</v>
      </c>
      <c r="O231" s="1"/>
    </row>
    <row r="232" spans="1:15" x14ac:dyDescent="0.25">
      <c r="A232" t="str">
        <v>IA sea level</v>
      </c>
      <c r="C232" s="35">
        <v>1243.1058757087324</v>
      </c>
      <c r="D232" s="35">
        <v>1611.0822525042718</v>
      </c>
      <c r="E232" s="35">
        <v>2106.5971618459539</v>
      </c>
      <c r="F232" s="35">
        <v>2758.3120107305535</v>
      </c>
      <c r="G232" s="35">
        <v>3479.9140613173636</v>
      </c>
      <c r="H232" s="35">
        <v>4359.5233378142066</v>
      </c>
      <c r="I232" s="35">
        <v>6500.98959187324</v>
      </c>
      <c r="J232" s="35">
        <v>9343.1058970509184</v>
      </c>
      <c r="K232" s="35">
        <v>28674.746987626833</v>
      </c>
      <c r="L232" s="35">
        <v>40394.770283358353</v>
      </c>
      <c r="M232" s="6"/>
      <c r="N232" s="1" t="str">
        <f t="shared" si="10"/>
        <v>$million/million</v>
      </c>
      <c r="O232" s="1"/>
    </row>
    <row r="233" spans="1:15" x14ac:dyDescent="0.25">
      <c r="A233" t="str">
        <v>AF sea level</v>
      </c>
      <c r="C233" s="35">
        <v>2180.6451759523857</v>
      </c>
      <c r="D233" s="35">
        <v>2824.4483434006142</v>
      </c>
      <c r="E233" s="35">
        <v>3691.0514688532685</v>
      </c>
      <c r="F233" s="35">
        <v>4828.4068617466346</v>
      </c>
      <c r="G233" s="35">
        <v>6100.5881651060026</v>
      </c>
      <c r="H233" s="35">
        <v>7641.1079069047137</v>
      </c>
      <c r="I233" s="35">
        <v>11413.215938358997</v>
      </c>
      <c r="J233" s="35">
        <v>16416.603783371032</v>
      </c>
      <c r="K233" s="35">
        <v>50385.618593275467</v>
      </c>
      <c r="L233" s="35">
        <v>71086.491013456121</v>
      </c>
      <c r="M233" s="6"/>
      <c r="N233" s="1" t="str">
        <f t="shared" si="10"/>
        <v>$million/million</v>
      </c>
      <c r="O233" s="1"/>
    </row>
    <row r="234" spans="1:15" x14ac:dyDescent="0.25">
      <c r="A234" t="str">
        <v>LA sea level</v>
      </c>
      <c r="C234" s="35">
        <v>3990.2529980624181</v>
      </c>
      <c r="D234" s="35">
        <v>5167.104649218827</v>
      </c>
      <c r="E234" s="35">
        <v>6750.9558029991331</v>
      </c>
      <c r="F234" s="35">
        <v>8816.4486056709684</v>
      </c>
      <c r="G234" s="35">
        <v>11199.154892822227</v>
      </c>
      <c r="H234" s="35">
        <v>14081.563823279828</v>
      </c>
      <c r="I234" s="35">
        <v>21073.086621049184</v>
      </c>
      <c r="J234" s="35">
        <v>30166.38388391674</v>
      </c>
      <c r="K234" s="35">
        <v>92266.628161259301</v>
      </c>
      <c r="L234" s="35">
        <v>130254.1450876555</v>
      </c>
      <c r="M234" s="6"/>
      <c r="N234" s="1" t="str">
        <f t="shared" si="10"/>
        <v>$million/million</v>
      </c>
      <c r="O234" s="1"/>
    </row>
    <row r="235" spans="1:15" s="2" customFormat="1" ht="15" x14ac:dyDescent="0.4">
      <c r="A235" s="2" t="s">
        <v>284</v>
      </c>
      <c r="C235" s="2" t="s">
        <v>285</v>
      </c>
    </row>
    <row r="236" spans="1:15" x14ac:dyDescent="0.25">
      <c r="A236" t="str">
        <f t="array" ref="A236:A243">R_CODE&amp;" sea level"</f>
        <v>EU sea level</v>
      </c>
      <c r="C236" s="39">
        <f t="array" ref="C236:L243" xml:space="preserve"> rcons_s_per_cap_b/(1-SAVE/100)</f>
        <v>21440.432757312952</v>
      </c>
      <c r="D236" s="39">
        <v>25672.919555212186</v>
      </c>
      <c r="E236" s="39">
        <v>30117.086329992224</v>
      </c>
      <c r="F236" s="39">
        <v>34404.816859575709</v>
      </c>
      <c r="G236" s="39">
        <v>38801.869834452322</v>
      </c>
      <c r="H236" s="39">
        <v>43754.437378301431</v>
      </c>
      <c r="I236" s="39">
        <v>55248.456636849391</v>
      </c>
      <c r="J236" s="39">
        <v>69306.433533194504</v>
      </c>
      <c r="K236" s="39">
        <v>216860.18295945993</v>
      </c>
      <c r="L236" s="39">
        <v>306027.19621649332</v>
      </c>
      <c r="M236" s="6"/>
      <c r="N236" s="1" t="str">
        <f t="shared" ref="N236:N243" si="11">CURRENCY_NAME&amp;"/"&amp;POP_UNIT_NAME</f>
        <v>$million/million</v>
      </c>
      <c r="O236" s="1"/>
    </row>
    <row r="237" spans="1:15" x14ac:dyDescent="0.25">
      <c r="A237" t="str">
        <v>US sea level</v>
      </c>
      <c r="C237" s="35">
        <v>39306.077876075069</v>
      </c>
      <c r="D237" s="35">
        <v>44520.921852007632</v>
      </c>
      <c r="E237" s="35">
        <v>49372.994590971706</v>
      </c>
      <c r="F237" s="35">
        <v>54975.564236758059</v>
      </c>
      <c r="G237" s="35">
        <v>60538.93809564042</v>
      </c>
      <c r="H237" s="35">
        <v>67144.613199354091</v>
      </c>
      <c r="I237" s="35">
        <v>83287.246579404571</v>
      </c>
      <c r="J237" s="35">
        <v>104112.46225541511</v>
      </c>
      <c r="K237" s="35">
        <v>290975.12974980008</v>
      </c>
      <c r="L237" s="35">
        <v>410939.75312557025</v>
      </c>
      <c r="M237" s="6"/>
      <c r="N237" s="1" t="str">
        <f t="shared" si="11"/>
        <v>$million/million</v>
      </c>
      <c r="O237" s="1"/>
    </row>
    <row r="238" spans="1:15" x14ac:dyDescent="0.25">
      <c r="A238" t="str">
        <v>OT sea level</v>
      </c>
      <c r="C238" s="35">
        <v>22043.599378337502</v>
      </c>
      <c r="D238" s="35">
        <v>28531.066155017899</v>
      </c>
      <c r="E238" s="35">
        <v>37199.518833010829</v>
      </c>
      <c r="F238" s="35">
        <v>48336.937558957929</v>
      </c>
      <c r="G238" s="35">
        <v>61664.328169230401</v>
      </c>
      <c r="H238" s="35">
        <v>77881.598440318005</v>
      </c>
      <c r="I238" s="35">
        <v>116801.62703381712</v>
      </c>
      <c r="J238" s="35">
        <v>166729.30666080888</v>
      </c>
      <c r="K238" s="35">
        <v>509168.39733401849</v>
      </c>
      <c r="L238" s="35">
        <v>719320.79120459186</v>
      </c>
      <c r="M238" s="6"/>
      <c r="N238" s="1" t="str">
        <f t="shared" si="11"/>
        <v>$million/million</v>
      </c>
      <c r="O238" s="1"/>
    </row>
    <row r="239" spans="1:15" x14ac:dyDescent="0.25">
      <c r="A239" t="str">
        <v>EE sea level</v>
      </c>
      <c r="C239" s="35">
        <v>2939.6558045800025</v>
      </c>
      <c r="D239" s="35">
        <v>3807.2625102864313</v>
      </c>
      <c r="E239" s="35">
        <v>4967.9298193613176</v>
      </c>
      <c r="F239" s="35">
        <v>6457.0817990539272</v>
      </c>
      <c r="G239" s="35">
        <v>8239.5409373156817</v>
      </c>
      <c r="H239" s="35">
        <v>10406.997874273535</v>
      </c>
      <c r="I239" s="35">
        <v>15617.340867899391</v>
      </c>
      <c r="J239" s="35">
        <v>22286.791198254869</v>
      </c>
      <c r="K239" s="35">
        <v>68021.514040918977</v>
      </c>
      <c r="L239" s="35">
        <v>96095.377298150022</v>
      </c>
      <c r="M239" s="6"/>
      <c r="N239" s="1" t="str">
        <f t="shared" si="11"/>
        <v>$million/million</v>
      </c>
      <c r="O239" s="1"/>
    </row>
    <row r="240" spans="1:15" x14ac:dyDescent="0.25">
      <c r="A240" t="str">
        <v>CA sea level</v>
      </c>
      <c r="C240" s="35">
        <v>2702.9469609380012</v>
      </c>
      <c r="D240" s="35">
        <v>3501.7545717791709</v>
      </c>
      <c r="E240" s="35">
        <v>4577.1251492537922</v>
      </c>
      <c r="F240" s="35">
        <v>5969.0027846679841</v>
      </c>
      <c r="G240" s="35">
        <v>7578.7182594020996</v>
      </c>
      <c r="H240" s="35">
        <v>9531.6860950019145</v>
      </c>
      <c r="I240" s="35">
        <v>14256.629529133446</v>
      </c>
      <c r="J240" s="35">
        <v>20403.571942658771</v>
      </c>
      <c r="K240" s="35">
        <v>62399.948979004781</v>
      </c>
      <c r="L240" s="35">
        <v>87989.73280232503</v>
      </c>
      <c r="M240" s="6"/>
      <c r="N240" s="1" t="str">
        <f t="shared" si="11"/>
        <v>$million/million</v>
      </c>
      <c r="O240" s="1"/>
    </row>
    <row r="241" spans="1:15" x14ac:dyDescent="0.25">
      <c r="A241" t="str">
        <v>IA sea level</v>
      </c>
      <c r="C241" s="35">
        <v>1462.4775008338029</v>
      </c>
      <c r="D241" s="35">
        <v>1895.3908852991433</v>
      </c>
      <c r="E241" s="35">
        <v>2478.3496021717106</v>
      </c>
      <c r="F241" s="35">
        <v>3245.0729538006512</v>
      </c>
      <c r="G241" s="35">
        <v>4094.01654272631</v>
      </c>
      <c r="H241" s="35">
        <v>5128.8509856637729</v>
      </c>
      <c r="I241" s="35">
        <v>7648.2230492626359</v>
      </c>
      <c r="J241" s="35">
        <v>10991.88929064814</v>
      </c>
      <c r="K241" s="35">
        <v>33734.996456031571</v>
      </c>
      <c r="L241" s="35">
        <v>47523.259156892185</v>
      </c>
      <c r="M241" s="6"/>
      <c r="N241" s="1" t="str">
        <f t="shared" si="11"/>
        <v>$million/million</v>
      </c>
      <c r="O241" s="1"/>
    </row>
    <row r="242" spans="1:15" x14ac:dyDescent="0.25">
      <c r="A242" t="str">
        <v>AF sea level</v>
      </c>
      <c r="C242" s="35">
        <v>2565.4649128851597</v>
      </c>
      <c r="D242" s="35">
        <v>3322.8804040007226</v>
      </c>
      <c r="E242" s="35">
        <v>4342.4134927685509</v>
      </c>
      <c r="F242" s="35">
        <v>5680.4786608783934</v>
      </c>
      <c r="G242" s="35">
        <v>7177.1625471835323</v>
      </c>
      <c r="H242" s="35">
        <v>8989.5387140055464</v>
      </c>
      <c r="I242" s="35">
        <v>13427.312868657644</v>
      </c>
      <c r="J242" s="35">
        <v>19313.651509848274</v>
      </c>
      <c r="K242" s="35">
        <v>59277.198345029959</v>
      </c>
      <c r="L242" s="35">
        <v>83631.165898183681</v>
      </c>
      <c r="M242" s="6"/>
      <c r="N242" s="1" t="str">
        <f t="shared" si="11"/>
        <v>$million/million</v>
      </c>
      <c r="O242" s="1"/>
    </row>
    <row r="243" spans="1:15" x14ac:dyDescent="0.25">
      <c r="A243" t="str">
        <v>LA sea level</v>
      </c>
      <c r="C243" s="35">
        <v>4694.4152918381387</v>
      </c>
      <c r="D243" s="35">
        <v>6078.9466461397969</v>
      </c>
      <c r="E243" s="35">
        <v>7942.3009447048626</v>
      </c>
      <c r="F243" s="35">
        <v>10372.292477259964</v>
      </c>
      <c r="G243" s="35">
        <v>13175.476344496738</v>
      </c>
      <c r="H243" s="35">
        <v>16566.545674446857</v>
      </c>
      <c r="I243" s="35">
        <v>24791.866612999042</v>
      </c>
      <c r="J243" s="35">
        <v>35489.863392843225</v>
      </c>
      <c r="K243" s="35">
        <v>108548.97430736388</v>
      </c>
      <c r="L243" s="35">
        <v>153240.17069135941</v>
      </c>
      <c r="M243" s="6"/>
      <c r="N243" s="1" t="str">
        <f t="shared" si="11"/>
        <v>$million/million</v>
      </c>
      <c r="O243" s="1"/>
    </row>
    <row r="244" spans="1:15" s="2" customFormat="1" ht="15" x14ac:dyDescent="0.4">
      <c r="A244" s="2" t="s">
        <v>276</v>
      </c>
      <c r="C244" s="2" t="s">
        <v>289</v>
      </c>
    </row>
    <row r="245" spans="1:15" x14ac:dyDescent="0.25">
      <c r="A245" t="str">
        <f t="array" ref="A245:A252">R_CODE&amp;" "&amp;I_1_NAME</f>
        <v>EU Economic</v>
      </c>
      <c r="C245" s="39">
        <f t="array" ref="C245:L252">WINCF*((W_1+IBEN_1*TCAL)*(i_1_b/TCAL)^POW_1-i_1_b*IBEN_1)</f>
        <v>-5.3453197734123714E-2</v>
      </c>
      <c r="D245" s="39">
        <v>-4.5443349651333315E-2</v>
      </c>
      <c r="E245" s="39">
        <v>-5.5369723391936528E-2</v>
      </c>
      <c r="F245" s="39">
        <v>-4.1372290863996422E-2</v>
      </c>
      <c r="G245" s="39">
        <v>-1.1639986207218872E-2</v>
      </c>
      <c r="H245" s="39">
        <v>2.9251922096773686E-2</v>
      </c>
      <c r="I245" s="39">
        <v>0.12166521400663755</v>
      </c>
      <c r="J245" s="39">
        <v>0.20920719285075284</v>
      </c>
      <c r="K245" s="39">
        <v>0.37830934973066388</v>
      </c>
      <c r="L245" s="39">
        <v>0.55891514090776995</v>
      </c>
      <c r="M245" s="6"/>
      <c r="N245" s="84" t="s">
        <v>168</v>
      </c>
    </row>
    <row r="246" spans="1:15" x14ac:dyDescent="0.25">
      <c r="A246" t="str">
        <v>US Economic</v>
      </c>
      <c r="C246" s="35">
        <v>-4.429422332675978E-2</v>
      </c>
      <c r="D246" s="35">
        <v>-4.2923956689687001E-2</v>
      </c>
      <c r="E246" s="35">
        <v>-3.9111475019390565E-2</v>
      </c>
      <c r="F246" s="35">
        <v>-1.0589542002203457E-2</v>
      </c>
      <c r="G246" s="35">
        <v>3.0986028009726142E-2</v>
      </c>
      <c r="H246" s="35">
        <v>8.0758331602121786E-2</v>
      </c>
      <c r="I246" s="35">
        <v>0.17981217274503161</v>
      </c>
      <c r="J246" s="35">
        <v>0.26304975238918715</v>
      </c>
      <c r="K246" s="35">
        <v>0.41812705714795284</v>
      </c>
      <c r="L246" s="35">
        <v>0.58382973850457232</v>
      </c>
      <c r="M246" s="6"/>
      <c r="N246" s="84" t="s">
        <v>168</v>
      </c>
    </row>
    <row r="247" spans="1:15" x14ac:dyDescent="0.25">
      <c r="A247" t="str">
        <v>OT Economic</v>
      </c>
      <c r="C247" s="35">
        <v>-2.7604243790974616E-2</v>
      </c>
      <c r="D247" s="35">
        <v>-2.5042129359561696E-2</v>
      </c>
      <c r="E247" s="35">
        <v>3.6778964009094799E-2</v>
      </c>
      <c r="F247" s="35">
        <v>0.13332635226387285</v>
      </c>
      <c r="G247" s="35">
        <v>0.24174315458507489</v>
      </c>
      <c r="H247" s="35">
        <v>0.35079942319464485</v>
      </c>
      <c r="I247" s="35">
        <v>0.528919664705092</v>
      </c>
      <c r="J247" s="35">
        <v>0.64700673773344308</v>
      </c>
      <c r="K247" s="35">
        <v>0.85657002203793875</v>
      </c>
      <c r="L247" s="35">
        <v>1.0857659561930468</v>
      </c>
      <c r="M247" s="6"/>
      <c r="N247" s="84" t="s">
        <v>168</v>
      </c>
    </row>
    <row r="248" spans="1:15" x14ac:dyDescent="0.25">
      <c r="A248" t="str">
        <v>EE Economic</v>
      </c>
      <c r="C248" s="35">
        <v>-1.7523711213968004E-2</v>
      </c>
      <c r="D248" s="35">
        <v>-2.1522865903059459E-2</v>
      </c>
      <c r="E248" s="35">
        <v>-1.1006361668067855E-2</v>
      </c>
      <c r="F248" s="35">
        <v>2.1513723866894097E-2</v>
      </c>
      <c r="G248" s="35">
        <v>7.0053630638887032E-2</v>
      </c>
      <c r="H248" s="35">
        <v>0.12488685142195073</v>
      </c>
      <c r="I248" s="35">
        <v>0.22976309993870159</v>
      </c>
      <c r="J248" s="35">
        <v>0.31640024581226472</v>
      </c>
      <c r="K248" s="35">
        <v>0.4665456818435802</v>
      </c>
      <c r="L248" s="35">
        <v>0.58900261521650832</v>
      </c>
      <c r="M248" s="6"/>
      <c r="N248" s="84" t="s">
        <v>168</v>
      </c>
    </row>
    <row r="249" spans="1:15" x14ac:dyDescent="0.25">
      <c r="A249" t="str">
        <v>CA Economic</v>
      </c>
      <c r="C249" s="35">
        <v>0</v>
      </c>
      <c r="D249" s="35">
        <v>0</v>
      </c>
      <c r="E249" s="35">
        <v>0</v>
      </c>
      <c r="F249" s="35">
        <v>0</v>
      </c>
      <c r="G249" s="35">
        <v>0</v>
      </c>
      <c r="H249" s="35">
        <v>0</v>
      </c>
      <c r="I249" s="35">
        <v>-4.2479722227065662E-2</v>
      </c>
      <c r="J249" s="35">
        <v>-1.9692628487159893E-2</v>
      </c>
      <c r="K249" s="35">
        <v>0.14566946232976141</v>
      </c>
      <c r="L249" s="35">
        <v>0.26418179092451294</v>
      </c>
      <c r="M249" s="6"/>
      <c r="N249" s="84" t="s">
        <v>168</v>
      </c>
    </row>
    <row r="250" spans="1:15" x14ac:dyDescent="0.25">
      <c r="A250" t="str">
        <v>IA Economic</v>
      </c>
      <c r="C250" s="35">
        <v>-4.3834867776402338E-2</v>
      </c>
      <c r="D250" s="35">
        <v>-4.0256208696678612E-2</v>
      </c>
      <c r="E250" s="35">
        <v>-3.7057181973877633E-2</v>
      </c>
      <c r="F250" s="35">
        <v>-4.19907950891166E-2</v>
      </c>
      <c r="G250" s="35">
        <v>-3.7830812853328601E-2</v>
      </c>
      <c r="H250" s="35">
        <v>-7.2253426375967107E-3</v>
      </c>
      <c r="I250" s="35">
        <v>9.2080588116233084E-2</v>
      </c>
      <c r="J250" s="35">
        <v>0.20591431861956028</v>
      </c>
      <c r="K250" s="35">
        <v>0.42949437324348755</v>
      </c>
      <c r="L250" s="35">
        <v>0.60305268253778876</v>
      </c>
      <c r="M250" s="6"/>
      <c r="N250" s="84" t="s">
        <v>168</v>
      </c>
    </row>
    <row r="251" spans="1:15" x14ac:dyDescent="0.25">
      <c r="A251" t="str">
        <v>AF Economic</v>
      </c>
      <c r="C251" s="35">
        <v>-2.8096869718931067E-2</v>
      </c>
      <c r="D251" s="35">
        <v>-2.8870425725681607E-2</v>
      </c>
      <c r="E251" s="35">
        <v>-3.1940568767756486E-2</v>
      </c>
      <c r="F251" s="35">
        <v>-3.2998392607716247E-2</v>
      </c>
      <c r="G251" s="35">
        <v>-2.8061840240368594E-2</v>
      </c>
      <c r="H251" s="35">
        <v>-1.623819659112551E-2</v>
      </c>
      <c r="I251" s="35">
        <v>2.8636557373404731E-2</v>
      </c>
      <c r="J251" s="35">
        <v>0.10056020796758564</v>
      </c>
      <c r="K251" s="35">
        <v>0.25126728301640405</v>
      </c>
      <c r="L251" s="35">
        <v>0.36854231505059581</v>
      </c>
      <c r="M251" s="6"/>
      <c r="N251" s="84" t="s">
        <v>168</v>
      </c>
    </row>
    <row r="252" spans="1:15" x14ac:dyDescent="0.25">
      <c r="A252" t="str">
        <v>LA Economic</v>
      </c>
      <c r="C252" s="35">
        <v>-1.8904965055083406E-2</v>
      </c>
      <c r="D252" s="35">
        <v>-1.7781804489710829E-2</v>
      </c>
      <c r="E252" s="35">
        <v>-1.9406203594522324E-2</v>
      </c>
      <c r="F252" s="35">
        <v>-2.2638191964355035E-2</v>
      </c>
      <c r="G252" s="35">
        <v>-5.9382659663800349E-3</v>
      </c>
      <c r="H252" s="35">
        <v>1.7956898909984108E-2</v>
      </c>
      <c r="I252" s="35">
        <v>8.2847423053861918E-2</v>
      </c>
      <c r="J252" s="35">
        <v>0.16605251711195554</v>
      </c>
      <c r="K252" s="35">
        <v>0.32637651867919004</v>
      </c>
      <c r="L252" s="35">
        <v>0.45650474028774402</v>
      </c>
      <c r="M252" s="6"/>
      <c r="N252" s="84" t="s">
        <v>168</v>
      </c>
    </row>
    <row r="253" spans="1:15" s="2" customFormat="1" ht="15" x14ac:dyDescent="0.4">
      <c r="A253" s="2" t="s">
        <v>275</v>
      </c>
      <c r="C253" s="2" t="s">
        <v>290</v>
      </c>
    </row>
    <row r="254" spans="1:15" x14ac:dyDescent="0.25">
      <c r="A254" t="str">
        <f t="array" ref="A254:A261">R_CODE&amp;" "&amp;I_1_NAME</f>
        <v>EU Economic</v>
      </c>
      <c r="C254" s="39">
        <f t="array" ref="C254:L261">iref_1_b*(rgdp_s_per_cap_b/GDP_PER_CAP_FOCUS_0)^IPOW_1</f>
        <v>-5.2355644394298975E-2</v>
      </c>
      <c r="D254" s="39">
        <v>-4.3453816460253744E-2</v>
      </c>
      <c r="E254" s="39">
        <v>-5.1830442640771669E-2</v>
      </c>
      <c r="F254" s="39">
        <v>-3.8046492635224013E-2</v>
      </c>
      <c r="G254" s="39">
        <v>-1.0533994068902217E-2</v>
      </c>
      <c r="H254" s="39">
        <v>2.6051880978096228E-2</v>
      </c>
      <c r="I254" s="39">
        <v>0.10503757710704557</v>
      </c>
      <c r="J254" s="39">
        <v>0.17523778823088321</v>
      </c>
      <c r="K254" s="39">
        <v>0.27217238350054562</v>
      </c>
      <c r="L254" s="39">
        <v>0.3840597805020225</v>
      </c>
      <c r="M254" s="6"/>
      <c r="N254" s="84" t="s">
        <v>168</v>
      </c>
    </row>
    <row r="255" spans="1:15" x14ac:dyDescent="0.25">
      <c r="A255" t="str">
        <v>US Economic</v>
      </c>
      <c r="C255" s="35">
        <v>-4.0016590895601431E-2</v>
      </c>
      <c r="D255" s="35">
        <v>-3.8139835825992313E-2</v>
      </c>
      <c r="E255" s="35">
        <v>-3.4276243816207246E-2</v>
      </c>
      <c r="F255" s="35">
        <v>-9.1483374455261814E-3</v>
      </c>
      <c r="G255" s="35">
        <v>2.6427062613382651E-2</v>
      </c>
      <c r="H255" s="35">
        <v>6.7931854765053021E-2</v>
      </c>
      <c r="I255" s="35">
        <v>0.14697029951858945</v>
      </c>
      <c r="J255" s="35">
        <v>0.2087013024440281</v>
      </c>
      <c r="K255" s="35">
        <v>0.28925560299237052</v>
      </c>
      <c r="L255" s="35">
        <v>0.38571815716889879</v>
      </c>
      <c r="M255" s="6"/>
      <c r="N255" s="84" t="s">
        <v>168</v>
      </c>
    </row>
    <row r="256" spans="1:15" x14ac:dyDescent="0.25">
      <c r="A256" t="str">
        <v>OT Economic</v>
      </c>
      <c r="C256" s="35">
        <v>-2.6937615154958391E-2</v>
      </c>
      <c r="D256" s="35">
        <v>-2.3611114045646527E-2</v>
      </c>
      <c r="E256" s="35">
        <v>3.3472036768779911E-2</v>
      </c>
      <c r="F256" s="35">
        <v>0.11717448966861115</v>
      </c>
      <c r="G256" s="35">
        <v>0.20566983937592501</v>
      </c>
      <c r="H256" s="35">
        <v>0.28930449457868629</v>
      </c>
      <c r="I256" s="35">
        <v>0.41325439975369493</v>
      </c>
      <c r="J256" s="35">
        <v>0.48209005049830378</v>
      </c>
      <c r="K256" s="35">
        <v>0.54996574086755479</v>
      </c>
      <c r="L256" s="35">
        <v>0.66573414124410057</v>
      </c>
      <c r="M256" s="6"/>
      <c r="N256" s="84" t="s">
        <v>168</v>
      </c>
    </row>
    <row r="257" spans="1:15" x14ac:dyDescent="0.25">
      <c r="A257" t="str">
        <v>EE Economic</v>
      </c>
      <c r="C257" s="35">
        <v>-2.2370422205185137E-2</v>
      </c>
      <c r="D257" s="35">
        <v>-2.6544385823918701E-2</v>
      </c>
      <c r="E257" s="35">
        <v>-1.3101107503603431E-2</v>
      </c>
      <c r="F257" s="35">
        <v>2.47285343124648E-2</v>
      </c>
      <c r="G257" s="35">
        <v>7.7946724606331966E-2</v>
      </c>
      <c r="H257" s="35">
        <v>0.13469793738701344</v>
      </c>
      <c r="I257" s="35">
        <v>0.2347579424773765</v>
      </c>
      <c r="J257" s="35">
        <v>0.30830797874952404</v>
      </c>
      <c r="K257" s="35">
        <v>0.39176799980091409</v>
      </c>
      <c r="L257" s="35">
        <v>0.47232889504885217</v>
      </c>
      <c r="M257" s="6"/>
      <c r="N257" s="84" t="s">
        <v>168</v>
      </c>
    </row>
    <row r="258" spans="1:15" x14ac:dyDescent="0.25">
      <c r="A258" t="str">
        <v>CA Economic</v>
      </c>
      <c r="C258" s="35">
        <v>0</v>
      </c>
      <c r="D258" s="35">
        <v>0</v>
      </c>
      <c r="E258" s="35">
        <v>0</v>
      </c>
      <c r="F258" s="35">
        <v>0</v>
      </c>
      <c r="G258" s="35">
        <v>0</v>
      </c>
      <c r="H258" s="35">
        <v>0</v>
      </c>
      <c r="I258" s="35">
        <v>-4.3933962742342597E-2</v>
      </c>
      <c r="J258" s="35">
        <v>-1.9416181287560966E-2</v>
      </c>
      <c r="K258" s="35">
        <v>0.12373661859411229</v>
      </c>
      <c r="L258" s="35">
        <v>0.2143546477475228</v>
      </c>
      <c r="M258" s="6"/>
      <c r="N258" s="84" t="s">
        <v>168</v>
      </c>
    </row>
    <row r="259" spans="1:15" x14ac:dyDescent="0.25">
      <c r="A259" t="str">
        <v>IA Economic</v>
      </c>
      <c r="C259" s="35">
        <v>-6.1417966437844751E-2</v>
      </c>
      <c r="D259" s="35">
        <v>-5.4487137188074727E-2</v>
      </c>
      <c r="E259" s="35">
        <v>-4.83955026926857E-2</v>
      </c>
      <c r="F259" s="35">
        <v>-5.2902775848784757E-2</v>
      </c>
      <c r="G259" s="35">
        <v>-4.6207593553918715E-2</v>
      </c>
      <c r="H259" s="35">
        <v>-8.5640013498116362E-3</v>
      </c>
      <c r="I259" s="35">
        <v>0.10347790707043572</v>
      </c>
      <c r="J259" s="35">
        <v>0.22047762672750726</v>
      </c>
      <c r="K259" s="35">
        <v>0.39600531399974459</v>
      </c>
      <c r="L259" s="35">
        <v>0.53119671722952044</v>
      </c>
      <c r="M259" s="6"/>
      <c r="N259" s="84" t="s">
        <v>168</v>
      </c>
    </row>
    <row r="260" spans="1:15" x14ac:dyDescent="0.25">
      <c r="A260" t="str">
        <v>AF Economic</v>
      </c>
      <c r="C260" s="35">
        <v>-3.652498824401814E-2</v>
      </c>
      <c r="D260" s="35">
        <v>-3.6258139678236073E-2</v>
      </c>
      <c r="E260" s="35">
        <v>-3.8707885378341848E-2</v>
      </c>
      <c r="F260" s="35">
        <v>-3.8582978597404768E-2</v>
      </c>
      <c r="G260" s="35">
        <v>-3.1803633095241292E-2</v>
      </c>
      <c r="H260" s="35">
        <v>-1.7859135475072452E-2</v>
      </c>
      <c r="I260" s="35">
        <v>2.9854505590151591E-2</v>
      </c>
      <c r="J260" s="35">
        <v>9.9876933945516888E-2</v>
      </c>
      <c r="K260" s="35">
        <v>0.21490105400954818</v>
      </c>
      <c r="L260" s="35">
        <v>0.30106427938980101</v>
      </c>
      <c r="M260" s="6"/>
      <c r="N260" s="84" t="s">
        <v>168</v>
      </c>
    </row>
    <row r="261" spans="1:15" x14ac:dyDescent="0.25">
      <c r="A261" t="str">
        <v>LA Economic</v>
      </c>
      <c r="C261" s="35">
        <v>-2.267353848244149E-2</v>
      </c>
      <c r="D261" s="35">
        <v>-2.0604069731734686E-2</v>
      </c>
      <c r="E261" s="35">
        <v>-2.1698782293078658E-2</v>
      </c>
      <c r="F261" s="35">
        <v>-2.4427521003703771E-2</v>
      </c>
      <c r="G261" s="35">
        <v>-6.2064761772623296E-3</v>
      </c>
      <c r="H261" s="35">
        <v>1.8203491716813902E-2</v>
      </c>
      <c r="I261" s="35">
        <v>7.9590041628985017E-2</v>
      </c>
      <c r="J261" s="35">
        <v>0.15207313904922143</v>
      </c>
      <c r="K261" s="35">
        <v>0.2575074314073128</v>
      </c>
      <c r="L261" s="35">
        <v>0.34399323281113986</v>
      </c>
      <c r="M261" s="6"/>
      <c r="N261" s="84" t="s">
        <v>168</v>
      </c>
    </row>
    <row r="262" spans="1:15" s="2" customFormat="1" ht="15" x14ac:dyDescent="0.4">
      <c r="A262" s="2" t="s">
        <v>279</v>
      </c>
      <c r="C262" s="2" t="s">
        <v>291</v>
      </c>
    </row>
    <row r="263" spans="1:15" x14ac:dyDescent="0.25">
      <c r="A263" t="str">
        <f t="array" ref="A263:A270">R_CODE&amp;" "&amp;I_1_NAME</f>
        <v>EU Economic</v>
      </c>
      <c r="C263" s="39">
        <f t="array" ref="C263:L270">IF(igdp_1_b&lt;ISATG,igdp_1_b,ISATG+(100-SAVE-ISATG)*((igdp_1_b-ISATG)/((100-SAVE-ISATG)+(igdp_1_b-ISATG))))*(1-imp_1_b/100*IF(i_1_b&lt;impmax_1_b,1,impmax_1_b/i_1_b))</f>
        <v>-5.2355644394298975E-2</v>
      </c>
      <c r="D263" s="39">
        <v>-3.6935743991215679E-2</v>
      </c>
      <c r="E263" s="39">
        <v>-3.6281309848540166E-2</v>
      </c>
      <c r="F263" s="39">
        <v>-2.6632544844656807E-2</v>
      </c>
      <c r="G263" s="39">
        <v>-7.3737958482315517E-3</v>
      </c>
      <c r="H263" s="39">
        <v>1.823631668466736E-2</v>
      </c>
      <c r="I263" s="39">
        <v>7.4326011850345639E-2</v>
      </c>
      <c r="J263" s="39">
        <v>0.13007775568356805</v>
      </c>
      <c r="K263" s="39">
        <v>0.21277094233964594</v>
      </c>
      <c r="L263" s="39">
        <v>0.30998866971313888</v>
      </c>
      <c r="M263" s="6"/>
      <c r="N263" s="84" t="s">
        <v>168</v>
      </c>
    </row>
    <row r="264" spans="1:15" x14ac:dyDescent="0.25">
      <c r="A264" t="str">
        <v>US Economic</v>
      </c>
      <c r="C264" s="35">
        <v>-4.0016590895601431E-2</v>
      </c>
      <c r="D264" s="35">
        <v>-3.2418860452093468E-2</v>
      </c>
      <c r="E264" s="35">
        <v>-2.399337067134507E-2</v>
      </c>
      <c r="F264" s="35">
        <v>-6.4038362118683263E-3</v>
      </c>
      <c r="G264" s="35">
        <v>1.8498943829367856E-2</v>
      </c>
      <c r="H264" s="35">
        <v>4.7552298335537112E-2</v>
      </c>
      <c r="I264" s="35">
        <v>0.10979370812596333</v>
      </c>
      <c r="J264" s="35">
        <v>0.16120773868014493</v>
      </c>
      <c r="K264" s="35">
        <v>0.23222936244352096</v>
      </c>
      <c r="L264" s="35">
        <v>0.31773908965517106</v>
      </c>
      <c r="M264" s="6"/>
      <c r="N264" s="84" t="s">
        <v>168</v>
      </c>
    </row>
    <row r="265" spans="1:15" x14ac:dyDescent="0.25">
      <c r="A265" t="str">
        <v>OT Economic</v>
      </c>
      <c r="C265" s="35">
        <v>-2.6937615154958391E-2</v>
      </c>
      <c r="D265" s="35">
        <v>-2.0069446938799546E-2</v>
      </c>
      <c r="E265" s="35">
        <v>2.3430425738145938E-2</v>
      </c>
      <c r="F265" s="35">
        <v>8.5234843016880751E-2</v>
      </c>
      <c r="G265" s="35">
        <v>0.157706754242328</v>
      </c>
      <c r="H265" s="35">
        <v>0.22897598658576401</v>
      </c>
      <c r="I265" s="35">
        <v>0.33791331752973758</v>
      </c>
      <c r="J265" s="35">
        <v>0.40011586403271976</v>
      </c>
      <c r="K265" s="35">
        <v>0.46540558867623721</v>
      </c>
      <c r="L265" s="35">
        <v>0.5720007112935499</v>
      </c>
      <c r="M265" s="6"/>
      <c r="N265" s="84" t="s">
        <v>168</v>
      </c>
    </row>
    <row r="266" spans="1:15" x14ac:dyDescent="0.25">
      <c r="A266" t="str">
        <v>EE Economic</v>
      </c>
      <c r="C266" s="35">
        <v>-2.2370422205185137E-2</v>
      </c>
      <c r="D266" s="35">
        <v>-2.2562727950330895E-2</v>
      </c>
      <c r="E266" s="35">
        <v>-9.1707752525224014E-3</v>
      </c>
      <c r="F266" s="35">
        <v>1.730997401872536E-2</v>
      </c>
      <c r="G266" s="35">
        <v>5.6950361133689301E-2</v>
      </c>
      <c r="H266" s="35">
        <v>0.10357975685881946</v>
      </c>
      <c r="I266" s="35">
        <v>0.18988914681789504</v>
      </c>
      <c r="J266" s="35">
        <v>0.25547360607053282</v>
      </c>
      <c r="K266" s="35">
        <v>0.33339805379022164</v>
      </c>
      <c r="L266" s="35">
        <v>0.40784673131306226</v>
      </c>
      <c r="M266" s="6"/>
      <c r="N266" s="84" t="s">
        <v>168</v>
      </c>
    </row>
    <row r="267" spans="1:15" x14ac:dyDescent="0.25">
      <c r="A267" t="str">
        <v>CA Economic</v>
      </c>
      <c r="C267" s="35">
        <v>0</v>
      </c>
      <c r="D267" s="35">
        <v>0</v>
      </c>
      <c r="E267" s="35">
        <v>0</v>
      </c>
      <c r="F267" s="35">
        <v>0</v>
      </c>
      <c r="G267" s="35">
        <v>0</v>
      </c>
      <c r="H267" s="35">
        <v>0</v>
      </c>
      <c r="I267" s="35">
        <v>-3.7343868330991209E-2</v>
      </c>
      <c r="J267" s="35">
        <v>-1.6503754094426819E-2</v>
      </c>
      <c r="K267" s="35">
        <v>0.10722815135222971</v>
      </c>
      <c r="L267" s="35">
        <v>0.18999528464812518</v>
      </c>
      <c r="M267" s="6"/>
      <c r="N267" s="84" t="s">
        <v>168</v>
      </c>
    </row>
    <row r="268" spans="1:15" x14ac:dyDescent="0.25">
      <c r="A268" t="str">
        <v>IA Economic</v>
      </c>
      <c r="C268" s="35">
        <v>-6.1417966437844751E-2</v>
      </c>
      <c r="D268" s="35">
        <v>-5.1762780328670988E-2</v>
      </c>
      <c r="E268" s="35">
        <v>-4.355595242341713E-2</v>
      </c>
      <c r="F268" s="35">
        <v>-4.4967359471467044E-2</v>
      </c>
      <c r="G268" s="35">
        <v>-3.9276454520830908E-2</v>
      </c>
      <c r="H268" s="35">
        <v>-7.2794011473398907E-3</v>
      </c>
      <c r="I268" s="35">
        <v>8.8176092899725014E-2</v>
      </c>
      <c r="J268" s="35">
        <v>0.19358786013329812</v>
      </c>
      <c r="K268" s="35">
        <v>0.35730964134927395</v>
      </c>
      <c r="L268" s="35">
        <v>0.48491032052647376</v>
      </c>
      <c r="M268" s="6"/>
      <c r="N268" s="84" t="s">
        <v>168</v>
      </c>
    </row>
    <row r="269" spans="1:15" x14ac:dyDescent="0.25">
      <c r="A269" t="str">
        <v>AF Economic</v>
      </c>
      <c r="C269" s="35">
        <v>-3.652498824401814E-2</v>
      </c>
      <c r="D269" s="35">
        <v>-3.4445232694324271E-2</v>
      </c>
      <c r="E269" s="35">
        <v>-3.4837096840507661E-2</v>
      </c>
      <c r="F269" s="35">
        <v>-3.279553180779405E-2</v>
      </c>
      <c r="G269" s="35">
        <v>-2.7033088130955098E-2</v>
      </c>
      <c r="H269" s="35">
        <v>-1.5180265153811583E-2</v>
      </c>
      <c r="I269" s="35">
        <v>2.5376329751628852E-2</v>
      </c>
      <c r="J269" s="35">
        <v>8.628280165216079E-2</v>
      </c>
      <c r="K269" s="35">
        <v>0.192170297775139</v>
      </c>
      <c r="L269" s="35">
        <v>0.27292961514763292</v>
      </c>
      <c r="M269" s="6"/>
      <c r="N269" s="84" t="s">
        <v>168</v>
      </c>
    </row>
    <row r="270" spans="1:15" x14ac:dyDescent="0.25">
      <c r="A270" t="str">
        <v>LA Economic</v>
      </c>
      <c r="C270" s="35">
        <v>-2.267353848244149E-2</v>
      </c>
      <c r="D270" s="35">
        <v>-1.9573866245147949E-2</v>
      </c>
      <c r="E270" s="35">
        <v>-1.9528904063770794E-2</v>
      </c>
      <c r="F270" s="35">
        <v>-2.0763392853148203E-2</v>
      </c>
      <c r="G270" s="35">
        <v>-5.2755047506729798E-3</v>
      </c>
      <c r="H270" s="35">
        <v>1.5472967959291817E-2</v>
      </c>
      <c r="I270" s="35">
        <v>6.8266071843559831E-2</v>
      </c>
      <c r="J270" s="35">
        <v>0.1338945008640951</v>
      </c>
      <c r="K270" s="35">
        <v>0.23245305109984912</v>
      </c>
      <c r="L270" s="35">
        <v>0.31411557350137304</v>
      </c>
      <c r="M270" s="6"/>
      <c r="N270" s="84" t="s">
        <v>168</v>
      </c>
    </row>
    <row r="271" spans="1:15" s="2" customFormat="1" ht="15" x14ac:dyDescent="0.4">
      <c r="A271" s="2" t="s">
        <v>280</v>
      </c>
      <c r="C271" s="2" t="s">
        <v>292</v>
      </c>
    </row>
    <row r="272" spans="1:15" x14ac:dyDescent="0.25">
      <c r="A272" t="str">
        <f t="array" ref="A272:A279">R_CODE&amp;" "&amp;I_1_NAME</f>
        <v>EU Economic</v>
      </c>
      <c r="C272" s="39">
        <f t="array" ref="C272:L279">(isat_1_b/100)*rgdp_s_per_cap_b</f>
        <v>-11.22527673101756</v>
      </c>
      <c r="D272" s="39">
        <v>-9.4824838419839192</v>
      </c>
      <c r="E272" s="39">
        <v>-10.926873408736812</v>
      </c>
      <c r="F272" s="39">
        <v>-9.1628782788485452</v>
      </c>
      <c r="G272" s="39">
        <v>-2.8611706668890564</v>
      </c>
      <c r="H272" s="39">
        <v>7.9791977639015155</v>
      </c>
      <c r="I272" s="39">
        <v>41.063974427037749</v>
      </c>
      <c r="J272" s="39">
        <v>90.152253284303228</v>
      </c>
      <c r="K272" s="39">
        <v>461.41545484232319</v>
      </c>
      <c r="L272" s="39">
        <v>948.64963451192489</v>
      </c>
      <c r="M272" s="6"/>
      <c r="N272" s="1" t="str">
        <f t="shared" ref="N272:N279" si="12">CURRENCY_NAME&amp;"/"&amp;POP_UNIT_NAME</f>
        <v>$million/million</v>
      </c>
      <c r="O272" s="1"/>
    </row>
    <row r="273" spans="1:15" x14ac:dyDescent="0.25">
      <c r="A273" t="str">
        <v>US Economic</v>
      </c>
      <c r="C273" s="35">
        <v>-15.728952380775464</v>
      </c>
      <c r="D273" s="35">
        <v>-14.43317552718794</v>
      </c>
      <c r="E273" s="35">
        <v>-11.846245603754994</v>
      </c>
      <c r="F273" s="35">
        <v>-3.5205450902724458</v>
      </c>
      <c r="G273" s="35">
        <v>11.199064153208301</v>
      </c>
      <c r="H273" s="35">
        <v>31.928806784799288</v>
      </c>
      <c r="I273" s="35">
        <v>91.444156415542835</v>
      </c>
      <c r="J273" s="35">
        <v>167.83734608617414</v>
      </c>
      <c r="K273" s="35">
        <v>675.72968868716862</v>
      </c>
      <c r="L273" s="35">
        <v>1305.7162306123942</v>
      </c>
      <c r="M273" s="6"/>
      <c r="N273" s="1" t="str">
        <f t="shared" si="12"/>
        <v>$million/million</v>
      </c>
      <c r="O273" s="1"/>
    </row>
    <row r="274" spans="1:15" x14ac:dyDescent="0.25">
      <c r="A274" t="str">
        <v>OT Economic</v>
      </c>
      <c r="C274" s="35">
        <v>-5.9380199668373566</v>
      </c>
      <c r="D274" s="35">
        <v>-5.7260271830551135</v>
      </c>
      <c r="E274" s="35">
        <v>8.7160056351162147</v>
      </c>
      <c r="F274" s="35">
        <v>41.199912847545463</v>
      </c>
      <c r="G274" s="35">
        <v>97.24881048103083</v>
      </c>
      <c r="H274" s="35">
        <v>178.33015839748114</v>
      </c>
      <c r="I274" s="35">
        <v>394.68825283868227</v>
      </c>
      <c r="J274" s="35">
        <v>667.11040594165854</v>
      </c>
      <c r="K274" s="35">
        <v>2369.6981769657514</v>
      </c>
      <c r="L274" s="35">
        <v>4114.5200421726558</v>
      </c>
      <c r="M274" s="6"/>
      <c r="N274" s="1" t="str">
        <f t="shared" si="12"/>
        <v>$million/million</v>
      </c>
      <c r="O274" s="1"/>
    </row>
    <row r="275" spans="1:15" x14ac:dyDescent="0.25">
      <c r="A275" t="str">
        <v>EE Economic</v>
      </c>
      <c r="C275" s="35">
        <v>-0.65761341486377867</v>
      </c>
      <c r="D275" s="35">
        <v>-0.85902228255086632</v>
      </c>
      <c r="E275" s="35">
        <v>-0.45559767843666854</v>
      </c>
      <c r="F275" s="35">
        <v>1.1177191817840788</v>
      </c>
      <c r="G275" s="35">
        <v>4.6924483195594489</v>
      </c>
      <c r="H275" s="35">
        <v>10.779543094475036</v>
      </c>
      <c r="I275" s="35">
        <v>29.655635329696597</v>
      </c>
      <c r="J275" s="35">
        <v>56.936869151591821</v>
      </c>
      <c r="K275" s="35">
        <v>226.78240397106623</v>
      </c>
      <c r="L275" s="35">
        <v>391.92185525345934</v>
      </c>
      <c r="M275" s="6"/>
      <c r="N275" s="1" t="str">
        <f t="shared" si="12"/>
        <v>$million/million</v>
      </c>
      <c r="O275" s="1"/>
    </row>
    <row r="276" spans="1:15" x14ac:dyDescent="0.25">
      <c r="A276" t="str">
        <v>CA Economic</v>
      </c>
      <c r="C276" s="35">
        <v>0</v>
      </c>
      <c r="D276" s="35">
        <v>0</v>
      </c>
      <c r="E276" s="35">
        <v>0</v>
      </c>
      <c r="F276" s="35">
        <v>0</v>
      </c>
      <c r="G276" s="35">
        <v>0</v>
      </c>
      <c r="H276" s="35">
        <v>0</v>
      </c>
      <c r="I276" s="35">
        <v>-5.3239769597968065</v>
      </c>
      <c r="J276" s="35">
        <v>-3.3673553398958691</v>
      </c>
      <c r="K276" s="35">
        <v>66.910311734921365</v>
      </c>
      <c r="L276" s="35">
        <v>167.1763432989022</v>
      </c>
      <c r="M276" s="6"/>
      <c r="N276" s="1" t="str">
        <f t="shared" si="12"/>
        <v>$million/million</v>
      </c>
      <c r="O276" s="1"/>
    </row>
    <row r="277" spans="1:15" x14ac:dyDescent="0.25">
      <c r="A277" t="str">
        <v>IA Economic</v>
      </c>
      <c r="C277" s="35">
        <v>-0.89822394062313571</v>
      </c>
      <c r="D277" s="35">
        <v>-0.98110702032704777</v>
      </c>
      <c r="E277" s="35">
        <v>-1.0794687736078579</v>
      </c>
      <c r="F277" s="35">
        <v>-1.4592236202468927</v>
      </c>
      <c r="G277" s="35">
        <v>-1.607984545479193</v>
      </c>
      <c r="H277" s="35">
        <v>-0.373349637495762</v>
      </c>
      <c r="I277" s="35">
        <v>6.7439042610960023</v>
      </c>
      <c r="J277" s="35">
        <v>21.278963265986896</v>
      </c>
      <c r="K277" s="35">
        <v>120.53839484623668</v>
      </c>
      <c r="L277" s="35">
        <v>230.44518830231272</v>
      </c>
      <c r="M277" s="6"/>
      <c r="N277" s="1" t="str">
        <f t="shared" si="12"/>
        <v>$million/million</v>
      </c>
      <c r="O277" s="1"/>
    </row>
    <row r="278" spans="1:15" x14ac:dyDescent="0.25">
      <c r="A278" t="str">
        <v>AF Economic</v>
      </c>
      <c r="C278" s="35">
        <v>-0.9370357578357148</v>
      </c>
      <c r="D278" s="35">
        <v>-1.1445738873121512</v>
      </c>
      <c r="E278" s="35">
        <v>-1.5127707936910511</v>
      </c>
      <c r="F278" s="35">
        <v>-1.862943186063327</v>
      </c>
      <c r="G278" s="35">
        <v>-1.9402086766820261</v>
      </c>
      <c r="H278" s="35">
        <v>-1.364635812890586</v>
      </c>
      <c r="I278" s="35">
        <v>3.4073591903334592</v>
      </c>
      <c r="J278" s="35">
        <v>16.664359624031945</v>
      </c>
      <c r="K278" s="35">
        <v>113.91316857240385</v>
      </c>
      <c r="L278" s="35">
        <v>228.25421922939114</v>
      </c>
      <c r="M278" s="6"/>
      <c r="N278" s="1" t="str">
        <f t="shared" si="12"/>
        <v>$million/million</v>
      </c>
      <c r="O278" s="1"/>
    </row>
    <row r="279" spans="1:15" x14ac:dyDescent="0.25">
      <c r="A279" t="str">
        <v>LA Economic</v>
      </c>
      <c r="C279" s="35">
        <v>-1.0643900577205383</v>
      </c>
      <c r="D279" s="35">
        <v>-1.1898848856293109</v>
      </c>
      <c r="E279" s="35">
        <v>-1.5510443319473739</v>
      </c>
      <c r="F279" s="35">
        <v>-2.153639834931024</v>
      </c>
      <c r="G279" s="35">
        <v>-0.69507288047772009</v>
      </c>
      <c r="H279" s="35">
        <v>2.5633363041686068</v>
      </c>
      <c r="I279" s="35">
        <v>16.924433473389449</v>
      </c>
      <c r="J279" s="35">
        <v>47.518975447196645</v>
      </c>
      <c r="K279" s="35">
        <v>252.32540271505869</v>
      </c>
      <c r="L279" s="35">
        <v>481.3512410016466</v>
      </c>
      <c r="M279" s="6"/>
      <c r="N279" s="1" t="str">
        <f t="shared" si="12"/>
        <v>$million/million</v>
      </c>
      <c r="O279" s="1"/>
    </row>
    <row r="280" spans="1:15" s="2" customFormat="1" ht="15" x14ac:dyDescent="0.4">
      <c r="A280" s="2" t="s">
        <v>282</v>
      </c>
      <c r="C280" s="2" t="s">
        <v>294</v>
      </c>
    </row>
    <row r="281" spans="1:15" x14ac:dyDescent="0.25">
      <c r="A281" t="str">
        <f t="array" ref="A281:A288">R_CODE&amp;" "&amp;I_1_NAME</f>
        <v>EU Economic</v>
      </c>
      <c r="C281" s="39">
        <f t="array" ref="C281:L288">rcons_s_per_cap_b-isat_1_per_cap_b</f>
        <v>18235.593120447025</v>
      </c>
      <c r="D281" s="39">
        <v>21831.464105772342</v>
      </c>
      <c r="E281" s="39">
        <v>25610.450253902127</v>
      </c>
      <c r="F281" s="39">
        <v>29253.257208918203</v>
      </c>
      <c r="G281" s="39">
        <v>32984.450529951362</v>
      </c>
      <c r="H281" s="39">
        <v>37183.292573792314</v>
      </c>
      <c r="I281" s="39">
        <v>46920.124166894944</v>
      </c>
      <c r="J281" s="39">
        <v>58820.316249931027</v>
      </c>
      <c r="K281" s="39">
        <v>183869.74006069862</v>
      </c>
      <c r="L281" s="39">
        <v>259174.46714950737</v>
      </c>
      <c r="M281" s="6"/>
      <c r="N281" s="1" t="str">
        <f t="shared" ref="N281:N288" si="13">CURRENCY_NAME&amp;"/"&amp;POP_UNIT_NAME</f>
        <v>$million/million</v>
      </c>
      <c r="O281" s="1"/>
    </row>
    <row r="282" spans="1:15" x14ac:dyDescent="0.25">
      <c r="A282" t="str">
        <v>US Economic</v>
      </c>
      <c r="C282" s="35">
        <v>33425.895147044583</v>
      </c>
      <c r="D282" s="35">
        <v>37857.21674973367</v>
      </c>
      <c r="E282" s="35">
        <v>41978.891647929704</v>
      </c>
      <c r="F282" s="35">
        <v>46732.75014633462</v>
      </c>
      <c r="G282" s="35">
        <v>51446.898317141146</v>
      </c>
      <c r="H282" s="35">
        <v>57040.992412666172</v>
      </c>
      <c r="I282" s="35">
        <v>70702.715436078346</v>
      </c>
      <c r="J282" s="35">
        <v>88327.755571016663</v>
      </c>
      <c r="K282" s="35">
        <v>246653.13059864289</v>
      </c>
      <c r="L282" s="35">
        <v>347993.07392612228</v>
      </c>
      <c r="M282" s="6"/>
      <c r="N282" s="1" t="str">
        <f t="shared" si="13"/>
        <v>$million/million</v>
      </c>
      <c r="O282" s="1"/>
    </row>
    <row r="283" spans="1:15" x14ac:dyDescent="0.25">
      <c r="A283" t="str">
        <v>OT Economic</v>
      </c>
      <c r="C283" s="35">
        <v>18742.997491553713</v>
      </c>
      <c r="D283" s="35">
        <v>24257.13225894827</v>
      </c>
      <c r="E283" s="35">
        <v>31610.875002424087</v>
      </c>
      <c r="F283" s="35">
        <v>41045.197012266697</v>
      </c>
      <c r="G283" s="35">
        <v>52317.430133364804</v>
      </c>
      <c r="H283" s="35">
        <v>66021.028515872822</v>
      </c>
      <c r="I283" s="35">
        <v>98886.694725905865</v>
      </c>
      <c r="J283" s="35">
        <v>141052.80025574588</v>
      </c>
      <c r="K283" s="35">
        <v>430423.43955694995</v>
      </c>
      <c r="L283" s="35">
        <v>607308.15248173045</v>
      </c>
      <c r="M283" s="6"/>
      <c r="N283" s="1" t="str">
        <f t="shared" si="13"/>
        <v>$million/million</v>
      </c>
      <c r="O283" s="1"/>
    </row>
    <row r="284" spans="1:15" x14ac:dyDescent="0.25">
      <c r="A284" t="str">
        <v>EE Economic</v>
      </c>
      <c r="C284" s="35">
        <v>2499.3650473078656</v>
      </c>
      <c r="D284" s="35">
        <v>3237.0321560260177</v>
      </c>
      <c r="E284" s="35">
        <v>4223.1959441355566</v>
      </c>
      <c r="F284" s="35">
        <v>5487.4018100140538</v>
      </c>
      <c r="G284" s="35">
        <v>6998.9173483987697</v>
      </c>
      <c r="H284" s="35">
        <v>8835.1686500380292</v>
      </c>
      <c r="I284" s="35">
        <v>13245.084102384786</v>
      </c>
      <c r="J284" s="35">
        <v>18886.835649365046</v>
      </c>
      <c r="K284" s="35">
        <v>57591.50453081006</v>
      </c>
      <c r="L284" s="35">
        <v>81289.148848174053</v>
      </c>
      <c r="M284" s="6"/>
      <c r="N284" s="1" t="str">
        <f t="shared" si="13"/>
        <v>$million/million</v>
      </c>
      <c r="O284" s="1"/>
    </row>
    <row r="285" spans="1:15" x14ac:dyDescent="0.25">
      <c r="A285" t="str">
        <v>CA Economic</v>
      </c>
      <c r="C285" s="35">
        <v>2297.5049167973011</v>
      </c>
      <c r="D285" s="35">
        <v>2976.4913860122952</v>
      </c>
      <c r="E285" s="35">
        <v>3890.5563768657235</v>
      </c>
      <c r="F285" s="35">
        <v>5073.6523669677863</v>
      </c>
      <c r="G285" s="35">
        <v>6441.9105204917842</v>
      </c>
      <c r="H285" s="35">
        <v>8101.9331807516273</v>
      </c>
      <c r="I285" s="35">
        <v>12123.459076723226</v>
      </c>
      <c r="J285" s="35">
        <v>17346.403506599851</v>
      </c>
      <c r="K285" s="35">
        <v>52973.04632041914</v>
      </c>
      <c r="L285" s="35">
        <v>74624.096538677375</v>
      </c>
      <c r="M285" s="6"/>
      <c r="N285" s="1" t="str">
        <f t="shared" si="13"/>
        <v>$million/million</v>
      </c>
      <c r="O285" s="1"/>
    </row>
    <row r="286" spans="1:15" x14ac:dyDescent="0.25">
      <c r="A286" t="str">
        <v>IA Economic</v>
      </c>
      <c r="C286" s="35">
        <v>1244.0040996493556</v>
      </c>
      <c r="D286" s="35">
        <v>1612.0633595245988</v>
      </c>
      <c r="E286" s="35">
        <v>2107.6766306195618</v>
      </c>
      <c r="F286" s="35">
        <v>2759.7712343508006</v>
      </c>
      <c r="G286" s="35">
        <v>3481.5220458628428</v>
      </c>
      <c r="H286" s="35">
        <v>4359.8966874517027</v>
      </c>
      <c r="I286" s="35">
        <v>6494.2456876121441</v>
      </c>
      <c r="J286" s="35">
        <v>9321.8269337849324</v>
      </c>
      <c r="K286" s="35">
        <v>28554.208592780597</v>
      </c>
      <c r="L286" s="35">
        <v>40164.32509505604</v>
      </c>
      <c r="M286" s="6"/>
      <c r="N286" s="1" t="str">
        <f t="shared" si="13"/>
        <v>$million/million</v>
      </c>
      <c r="O286" s="1"/>
    </row>
    <row r="287" spans="1:15" x14ac:dyDescent="0.25">
      <c r="A287" t="str">
        <v>AF Economic</v>
      </c>
      <c r="C287" s="35">
        <v>2181.5822117102216</v>
      </c>
      <c r="D287" s="35">
        <v>2825.5929172879264</v>
      </c>
      <c r="E287" s="35">
        <v>3692.5642396469593</v>
      </c>
      <c r="F287" s="35">
        <v>4830.2698049326982</v>
      </c>
      <c r="G287" s="35">
        <v>6102.5283737826849</v>
      </c>
      <c r="H287" s="35">
        <v>7642.4725427176045</v>
      </c>
      <c r="I287" s="35">
        <v>11409.808579168663</v>
      </c>
      <c r="J287" s="35">
        <v>16399.939423747001</v>
      </c>
      <c r="K287" s="35">
        <v>50271.705424703061</v>
      </c>
      <c r="L287" s="35">
        <v>70858.23679422673</v>
      </c>
      <c r="M287" s="6"/>
      <c r="N287" s="1" t="str">
        <f t="shared" si="13"/>
        <v>$million/million</v>
      </c>
      <c r="O287" s="1"/>
    </row>
    <row r="288" spans="1:15" x14ac:dyDescent="0.25">
      <c r="A288" t="str">
        <v>LA Economic</v>
      </c>
      <c r="C288" s="35">
        <v>3991.3173881201387</v>
      </c>
      <c r="D288" s="35">
        <v>5168.294534104456</v>
      </c>
      <c r="E288" s="35">
        <v>6752.5068473310803</v>
      </c>
      <c r="F288" s="35">
        <v>8818.6022455058992</v>
      </c>
      <c r="G288" s="35">
        <v>11199.849965702706</v>
      </c>
      <c r="H288" s="35">
        <v>14079.000486975659</v>
      </c>
      <c r="I288" s="35">
        <v>21056.162187575796</v>
      </c>
      <c r="J288" s="35">
        <v>30118.864908469543</v>
      </c>
      <c r="K288" s="35">
        <v>92014.302758544247</v>
      </c>
      <c r="L288" s="35">
        <v>129772.79384665386</v>
      </c>
      <c r="M288" s="6"/>
      <c r="N288" s="1" t="str">
        <f t="shared" si="13"/>
        <v>$million/million</v>
      </c>
      <c r="O288" s="1"/>
    </row>
    <row r="289" spans="1:15" s="2" customFormat="1" ht="15" x14ac:dyDescent="0.4">
      <c r="A289" s="2" t="s">
        <v>284</v>
      </c>
      <c r="C289" s="2" t="s">
        <v>293</v>
      </c>
    </row>
    <row r="290" spans="1:15" x14ac:dyDescent="0.25">
      <c r="A290" t="str">
        <f t="array" ref="A290:A297">R_CODE&amp;" "&amp;I_1_NAME</f>
        <v>EU Economic</v>
      </c>
      <c r="C290" s="39">
        <f t="array" ref="C290:L297" xml:space="preserve"> rcons_1_per_cap_b/(1-SAVE/100)</f>
        <v>21453.638965231796</v>
      </c>
      <c r="D290" s="39">
        <v>25684.075418555698</v>
      </c>
      <c r="E290" s="39">
        <v>30129.941475178974</v>
      </c>
      <c r="F290" s="39">
        <v>34415.596716374355</v>
      </c>
      <c r="G290" s="39">
        <v>38805.235917589838</v>
      </c>
      <c r="H290" s="39">
        <v>43745.050086814488</v>
      </c>
      <c r="I290" s="39">
        <v>55200.146078699938</v>
      </c>
      <c r="J290" s="39">
        <v>69200.372058742389</v>
      </c>
      <c r="K290" s="39">
        <v>216317.34124788074</v>
      </c>
      <c r="L290" s="39">
        <v>304911.13782294985</v>
      </c>
      <c r="M290" s="6"/>
      <c r="N290" s="1" t="str">
        <f t="shared" ref="N290:N297" si="14">CURRENCY_NAME&amp;"/"&amp;POP_UNIT_NAME</f>
        <v>$million/million</v>
      </c>
      <c r="O290" s="1"/>
    </row>
    <row r="291" spans="1:15" x14ac:dyDescent="0.25">
      <c r="A291" t="str">
        <v>US Economic</v>
      </c>
      <c r="C291" s="35">
        <v>39324.582525934806</v>
      </c>
      <c r="D291" s="35">
        <v>44537.902058510204</v>
      </c>
      <c r="E291" s="35">
        <v>49386.931350505532</v>
      </c>
      <c r="F291" s="35">
        <v>54979.70605451132</v>
      </c>
      <c r="G291" s="35">
        <v>60525.762726048408</v>
      </c>
      <c r="H291" s="35">
        <v>67107.049897254328</v>
      </c>
      <c r="I291" s="35">
        <v>83179.665218915703</v>
      </c>
      <c r="J291" s="35">
        <v>103915.00655413726</v>
      </c>
      <c r="K291" s="35">
        <v>290180.15364546224</v>
      </c>
      <c r="L291" s="35">
        <v>409403.61638367327</v>
      </c>
      <c r="M291" s="6"/>
      <c r="N291" s="1" t="str">
        <f t="shared" si="14"/>
        <v>$million/million</v>
      </c>
      <c r="O291" s="1"/>
    </row>
    <row r="292" spans="1:15" x14ac:dyDescent="0.25">
      <c r="A292" t="str">
        <v>OT Economic</v>
      </c>
      <c r="C292" s="35">
        <v>22050.585284180841</v>
      </c>
      <c r="D292" s="35">
        <v>28537.802657586199</v>
      </c>
      <c r="E292" s="35">
        <v>37189.264708734219</v>
      </c>
      <c r="F292" s="35">
        <v>48288.467073254942</v>
      </c>
      <c r="G292" s="35">
        <v>61549.917803958597</v>
      </c>
      <c r="H292" s="35">
        <v>77671.798253968023</v>
      </c>
      <c r="I292" s="35">
        <v>116337.28791283043</v>
      </c>
      <c r="J292" s="35">
        <v>165944.4708891128</v>
      </c>
      <c r="K292" s="35">
        <v>506380.51712582348</v>
      </c>
      <c r="L292" s="35">
        <v>714480.17939027108</v>
      </c>
      <c r="M292" s="6"/>
      <c r="N292" s="1" t="str">
        <f t="shared" si="14"/>
        <v>$million/million</v>
      </c>
      <c r="O292" s="1"/>
    </row>
    <row r="293" spans="1:15" x14ac:dyDescent="0.25">
      <c r="A293" t="str">
        <v>EE Economic</v>
      </c>
      <c r="C293" s="35">
        <v>2940.4294674210182</v>
      </c>
      <c r="D293" s="35">
        <v>3808.2731247364914</v>
      </c>
      <c r="E293" s="35">
        <v>4968.4658166300669</v>
      </c>
      <c r="F293" s="35">
        <v>6455.7668353106519</v>
      </c>
      <c r="G293" s="35">
        <v>8234.0204098809063</v>
      </c>
      <c r="H293" s="35">
        <v>10394.316058868269</v>
      </c>
      <c r="I293" s="35">
        <v>15582.451885158573</v>
      </c>
      <c r="J293" s="35">
        <v>22219.806646311819</v>
      </c>
      <c r="K293" s="35">
        <v>67754.711212717724</v>
      </c>
      <c r="L293" s="35">
        <v>95634.292762557714</v>
      </c>
      <c r="M293" s="6"/>
      <c r="N293" s="1" t="str">
        <f t="shared" si="14"/>
        <v>$million/million</v>
      </c>
      <c r="O293" s="1"/>
    </row>
    <row r="294" spans="1:15" x14ac:dyDescent="0.25">
      <c r="A294" t="str">
        <v>CA Economic</v>
      </c>
      <c r="C294" s="35">
        <v>2702.9469609380012</v>
      </c>
      <c r="D294" s="35">
        <v>3501.7545717791709</v>
      </c>
      <c r="E294" s="35">
        <v>4577.1251492537922</v>
      </c>
      <c r="F294" s="35">
        <v>5969.0027846679841</v>
      </c>
      <c r="G294" s="35">
        <v>7578.7182594020996</v>
      </c>
      <c r="H294" s="35">
        <v>9531.6860950019145</v>
      </c>
      <c r="I294" s="35">
        <v>14262.893031439089</v>
      </c>
      <c r="J294" s="35">
        <v>20407.533537176296</v>
      </c>
      <c r="K294" s="35">
        <v>62321.230965198993</v>
      </c>
      <c r="L294" s="35">
        <v>87793.054751385149</v>
      </c>
      <c r="M294" s="6"/>
      <c r="N294" s="1" t="str">
        <f t="shared" si="14"/>
        <v>$million/million</v>
      </c>
      <c r="O294" s="1"/>
    </row>
    <row r="295" spans="1:15" x14ac:dyDescent="0.25">
      <c r="A295" t="str">
        <v>IA Economic</v>
      </c>
      <c r="C295" s="35">
        <v>1463.5342348815948</v>
      </c>
      <c r="D295" s="35">
        <v>1896.5451288524691</v>
      </c>
      <c r="E295" s="35">
        <v>2479.6195654347785</v>
      </c>
      <c r="F295" s="35">
        <v>3246.7896874715302</v>
      </c>
      <c r="G295" s="35">
        <v>4095.9082892504034</v>
      </c>
      <c r="H295" s="35">
        <v>5129.2902205314149</v>
      </c>
      <c r="I295" s="35">
        <v>7640.2890442495818</v>
      </c>
      <c r="J295" s="35">
        <v>10966.855216217567</v>
      </c>
      <c r="K295" s="35">
        <v>33593.18657974188</v>
      </c>
      <c r="L295" s="35">
        <v>47252.147170654163</v>
      </c>
      <c r="M295" s="6"/>
      <c r="N295" s="1" t="str">
        <f t="shared" si="14"/>
        <v>$million/million</v>
      </c>
      <c r="O295" s="1"/>
    </row>
    <row r="296" spans="1:15" x14ac:dyDescent="0.25">
      <c r="A296" t="str">
        <v>AF Economic</v>
      </c>
      <c r="C296" s="35">
        <v>2566.5673078943782</v>
      </c>
      <c r="D296" s="35">
        <v>3324.2269615152077</v>
      </c>
      <c r="E296" s="35">
        <v>4344.19322311407</v>
      </c>
      <c r="F296" s="35">
        <v>5682.6703587443508</v>
      </c>
      <c r="G296" s="35">
        <v>7179.4451456266879</v>
      </c>
      <c r="H296" s="35">
        <v>8991.144167903065</v>
      </c>
      <c r="I296" s="35">
        <v>13423.304210786662</v>
      </c>
      <c r="J296" s="35">
        <v>19294.046380878826</v>
      </c>
      <c r="K296" s="35">
        <v>59143.182852591839</v>
      </c>
      <c r="L296" s="35">
        <v>83362.631522619689</v>
      </c>
      <c r="M296" s="6"/>
      <c r="N296" s="1" t="str">
        <f t="shared" si="14"/>
        <v>$million/million</v>
      </c>
      <c r="O296" s="1"/>
    </row>
    <row r="297" spans="1:15" x14ac:dyDescent="0.25">
      <c r="A297" t="str">
        <v>LA Economic</v>
      </c>
      <c r="C297" s="35">
        <v>4695.6675154354571</v>
      </c>
      <c r="D297" s="35">
        <v>6080.3465107111251</v>
      </c>
      <c r="E297" s="35">
        <v>7944.1257027424472</v>
      </c>
      <c r="F297" s="35">
        <v>10374.826171183411</v>
      </c>
      <c r="G297" s="35">
        <v>13176.294077297302</v>
      </c>
      <c r="H297" s="35">
        <v>16563.529984677247</v>
      </c>
      <c r="I297" s="35">
        <v>24771.955514795056</v>
      </c>
      <c r="J297" s="35">
        <v>35433.958715846522</v>
      </c>
      <c r="K297" s="35">
        <v>108252.120892405</v>
      </c>
      <c r="L297" s="35">
        <v>152673.87511371044</v>
      </c>
      <c r="M297" s="6"/>
      <c r="N297" s="1" t="str">
        <f t="shared" si="14"/>
        <v>$million/million</v>
      </c>
      <c r="O297" s="1"/>
    </row>
    <row r="298" spans="1:15" s="2" customFormat="1" ht="15" x14ac:dyDescent="0.4">
      <c r="A298" s="2" t="s">
        <v>276</v>
      </c>
      <c r="C298" s="2" t="s">
        <v>295</v>
      </c>
    </row>
    <row r="299" spans="1:15" x14ac:dyDescent="0.25">
      <c r="A299" t="str">
        <f t="array" ref="A299:A306">R_CODE&amp;" "&amp;I_2_NAME</f>
        <v>EU Non-econ</v>
      </c>
      <c r="C299" s="39">
        <f t="array" ref="C299:L306">WINCF*((W_2+IBEN_2*TCAL)*(i_2_b/TCAL)^POW_2-i_2_b*IBEN_2)</f>
        <v>4.6584785029146758E-4</v>
      </c>
      <c r="D299" s="39">
        <v>4.1802801843106321E-2</v>
      </c>
      <c r="E299" s="39">
        <v>0.10658219862214421</v>
      </c>
      <c r="F299" s="39">
        <v>0.19852935544632289</v>
      </c>
      <c r="G299" s="39">
        <v>0.28931651206141584</v>
      </c>
      <c r="H299" s="39">
        <v>0.3838699004905628</v>
      </c>
      <c r="I299" s="39">
        <v>0.55875508311963995</v>
      </c>
      <c r="J299" s="39">
        <v>0.70359245556387595</v>
      </c>
      <c r="K299" s="39">
        <v>0.95728169451648748</v>
      </c>
      <c r="L299" s="39">
        <v>1.2076790364851191</v>
      </c>
      <c r="M299" s="6"/>
      <c r="N299" s="84" t="s">
        <v>168</v>
      </c>
    </row>
    <row r="300" spans="1:15" x14ac:dyDescent="0.25">
      <c r="A300" t="str">
        <v>US Non-econ</v>
      </c>
      <c r="C300" s="35">
        <v>1.1014694878183007E-2</v>
      </c>
      <c r="D300" s="35">
        <v>5.9911271888744705E-2</v>
      </c>
      <c r="E300" s="35">
        <v>0.13213813150235829</v>
      </c>
      <c r="F300" s="35">
        <v>0.22812732320511461</v>
      </c>
      <c r="G300" s="35">
        <v>0.3228859701802913</v>
      </c>
      <c r="H300" s="35">
        <v>0.41774905907059207</v>
      </c>
      <c r="I300" s="35">
        <v>0.58248284198013744</v>
      </c>
      <c r="J300" s="35">
        <v>0.70840691388053745</v>
      </c>
      <c r="K300" s="35">
        <v>0.9268792404995253</v>
      </c>
      <c r="L300" s="35">
        <v>1.1463990935161046</v>
      </c>
      <c r="M300" s="6"/>
      <c r="N300" s="84" t="s">
        <v>168</v>
      </c>
    </row>
    <row r="301" spans="1:15" x14ac:dyDescent="0.25">
      <c r="A301" t="str">
        <v>OT Non-econ</v>
      </c>
      <c r="C301" s="35">
        <v>7.3173151145947954E-2</v>
      </c>
      <c r="D301" s="35">
        <v>0.18683039050206313</v>
      </c>
      <c r="E301" s="35">
        <v>0.33464569424861568</v>
      </c>
      <c r="F301" s="35">
        <v>0.50787928630334866</v>
      </c>
      <c r="G301" s="35">
        <v>0.67691928152605774</v>
      </c>
      <c r="H301" s="35">
        <v>0.83400733112007586</v>
      </c>
      <c r="I301" s="35">
        <v>1.0748477935726868</v>
      </c>
      <c r="J301" s="35">
        <v>1.2275209708484458</v>
      </c>
      <c r="K301" s="35">
        <v>1.489285391308284</v>
      </c>
      <c r="L301" s="35">
        <v>1.7659853286496749</v>
      </c>
      <c r="M301" s="6"/>
      <c r="N301" s="84" t="s">
        <v>168</v>
      </c>
    </row>
    <row r="302" spans="1:15" x14ac:dyDescent="0.25">
      <c r="A302" t="str">
        <v>EE Non-econ</v>
      </c>
      <c r="C302" s="35">
        <v>2.7463591159524837E-2</v>
      </c>
      <c r="D302" s="35">
        <v>5.2826833359413863E-2</v>
      </c>
      <c r="E302" s="35">
        <v>9.8095094510454922E-2</v>
      </c>
      <c r="F302" s="35">
        <v>0.17353651528586955</v>
      </c>
      <c r="G302" s="35">
        <v>0.25950538299158676</v>
      </c>
      <c r="H302" s="35">
        <v>0.3444199990025274</v>
      </c>
      <c r="I302" s="35">
        <v>0.49139970914294162</v>
      </c>
      <c r="J302" s="35">
        <v>0.60469143576957962</v>
      </c>
      <c r="K302" s="35">
        <v>0.79130676706202108</v>
      </c>
      <c r="L302" s="35">
        <v>0.93759817943074264</v>
      </c>
      <c r="M302" s="6"/>
      <c r="N302" s="84" t="s">
        <v>168</v>
      </c>
    </row>
    <row r="303" spans="1:15" x14ac:dyDescent="0.25">
      <c r="A303" t="str">
        <v>CA Non-econ</v>
      </c>
      <c r="C303" s="35">
        <v>0</v>
      </c>
      <c r="D303" s="35">
        <v>0</v>
      </c>
      <c r="E303" s="35">
        <v>0</v>
      </c>
      <c r="F303" s="35">
        <v>0</v>
      </c>
      <c r="G303" s="35">
        <v>-1.4472225036053275E-2</v>
      </c>
      <c r="H303" s="35">
        <v>-1.8489580092465641E-2</v>
      </c>
      <c r="I303" s="35">
        <v>5.6850188643704481E-2</v>
      </c>
      <c r="J303" s="35">
        <v>0.20305940459521829</v>
      </c>
      <c r="K303" s="35">
        <v>0.52807249947911516</v>
      </c>
      <c r="L303" s="35">
        <v>0.71006757486629457</v>
      </c>
      <c r="M303" s="6"/>
      <c r="N303" s="84" t="s">
        <v>168</v>
      </c>
    </row>
    <row r="304" spans="1:15" x14ac:dyDescent="0.25">
      <c r="A304" t="str">
        <v>IA Non-econ</v>
      </c>
      <c r="C304" s="35">
        <v>-1.5928674249057535E-2</v>
      </c>
      <c r="D304" s="35">
        <v>-1.4776663607142304E-2</v>
      </c>
      <c r="E304" s="35">
        <v>5.7911791073448347E-4</v>
      </c>
      <c r="F304" s="35">
        <v>5.3937752064053629E-2</v>
      </c>
      <c r="G304" s="35">
        <v>0.13857132306856568</v>
      </c>
      <c r="H304" s="35">
        <v>0.23680194548381628</v>
      </c>
      <c r="I304" s="35">
        <v>0.43783013093081991</v>
      </c>
      <c r="J304" s="35">
        <v>0.62287173677623997</v>
      </c>
      <c r="K304" s="35">
        <v>0.94231611830380457</v>
      </c>
      <c r="L304" s="35">
        <v>1.1712104444263525</v>
      </c>
      <c r="M304" s="6"/>
      <c r="N304" s="84" t="s">
        <v>168</v>
      </c>
    </row>
    <row r="305" spans="1:14" x14ac:dyDescent="0.25">
      <c r="A305" t="str">
        <v>AF Non-econ</v>
      </c>
      <c r="C305" s="35">
        <v>-3.6368093663798726E-3</v>
      </c>
      <c r="D305" s="35">
        <v>1.7637389207694826E-2</v>
      </c>
      <c r="E305" s="35">
        <v>3.862394349077157E-2</v>
      </c>
      <c r="F305" s="35">
        <v>7.024125397202928E-2</v>
      </c>
      <c r="G305" s="35">
        <v>0.10540671008994919</v>
      </c>
      <c r="H305" s="35">
        <v>0.14795786491096452</v>
      </c>
      <c r="I305" s="35">
        <v>0.2530938773718594</v>
      </c>
      <c r="J305" s="35">
        <v>0.38184123304870848</v>
      </c>
      <c r="K305" s="35">
        <v>0.60888553648101318</v>
      </c>
      <c r="L305" s="35">
        <v>0.76898214194004666</v>
      </c>
      <c r="M305" s="6"/>
      <c r="N305" s="84" t="s">
        <v>168</v>
      </c>
    </row>
    <row r="306" spans="1:14" x14ac:dyDescent="0.25">
      <c r="A306" t="str">
        <v>LA Non-econ</v>
      </c>
      <c r="C306" s="35">
        <v>8.1064190380421945E-3</v>
      </c>
      <c r="D306" s="35">
        <v>4.069898527915751E-2</v>
      </c>
      <c r="E306" s="35">
        <v>8.1130583854878383E-2</v>
      </c>
      <c r="F306" s="35">
        <v>0.12721268421876208</v>
      </c>
      <c r="G306" s="35">
        <v>0.17627872483716819</v>
      </c>
      <c r="H306" s="35">
        <v>0.23117874349235731</v>
      </c>
      <c r="I306" s="35">
        <v>0.35219460379224049</v>
      </c>
      <c r="J306" s="35">
        <v>0.4848140890313869</v>
      </c>
      <c r="K306" s="35">
        <v>0.7124984595539875</v>
      </c>
      <c r="L306" s="35">
        <v>0.88383213069868527</v>
      </c>
      <c r="M306" s="6"/>
      <c r="N306" s="84" t="s">
        <v>168</v>
      </c>
    </row>
    <row r="307" spans="1:14" s="2" customFormat="1" ht="15" x14ac:dyDescent="0.4">
      <c r="A307" s="2" t="s">
        <v>275</v>
      </c>
      <c r="C307" s="2" t="s">
        <v>296</v>
      </c>
    </row>
    <row r="308" spans="1:14" x14ac:dyDescent="0.25">
      <c r="A308" t="str">
        <f t="array" ref="A308:A315">R_CODE&amp;" "&amp;I_2_NAME</f>
        <v>EU Non-econ</v>
      </c>
      <c r="C308" s="39">
        <f t="array" ref="C308:L315">iref_2_b*(rgdp_1_per_cap_b/GDP_PER_CAP_FOCUS_0)^IPOW_2</f>
        <v>4.6584785029146758E-4</v>
      </c>
      <c r="D308" s="39">
        <v>4.1802801843106321E-2</v>
      </c>
      <c r="E308" s="39">
        <v>0.10658219862214421</v>
      </c>
      <c r="F308" s="39">
        <v>0.19852935544632289</v>
      </c>
      <c r="G308" s="39">
        <v>0.28931651206141584</v>
      </c>
      <c r="H308" s="39">
        <v>0.3838699004905628</v>
      </c>
      <c r="I308" s="39">
        <v>0.55875508311963995</v>
      </c>
      <c r="J308" s="39">
        <v>0.70359245556387595</v>
      </c>
      <c r="K308" s="39">
        <v>0.95728169451648748</v>
      </c>
      <c r="L308" s="39">
        <v>1.2076790364851191</v>
      </c>
      <c r="M308" s="6"/>
      <c r="N308" s="84" t="s">
        <v>168</v>
      </c>
    </row>
    <row r="309" spans="1:14" x14ac:dyDescent="0.25">
      <c r="A309" t="str">
        <v>US Non-econ</v>
      </c>
      <c r="C309" s="35">
        <v>1.1014694878183007E-2</v>
      </c>
      <c r="D309" s="35">
        <v>5.9911271888744705E-2</v>
      </c>
      <c r="E309" s="35">
        <v>0.13213813150235829</v>
      </c>
      <c r="F309" s="35">
        <v>0.22812732320511461</v>
      </c>
      <c r="G309" s="35">
        <v>0.3228859701802913</v>
      </c>
      <c r="H309" s="35">
        <v>0.41774905907059207</v>
      </c>
      <c r="I309" s="35">
        <v>0.58248284198013744</v>
      </c>
      <c r="J309" s="35">
        <v>0.70840691388053745</v>
      </c>
      <c r="K309" s="35">
        <v>0.9268792404995253</v>
      </c>
      <c r="L309" s="35">
        <v>1.1463990935161046</v>
      </c>
      <c r="M309" s="6"/>
      <c r="N309" s="84" t="s">
        <v>168</v>
      </c>
    </row>
    <row r="310" spans="1:14" x14ac:dyDescent="0.25">
      <c r="A310" t="str">
        <v>OT Non-econ</v>
      </c>
      <c r="C310" s="35">
        <v>7.3173151145947954E-2</v>
      </c>
      <c r="D310" s="35">
        <v>0.18683039050206313</v>
      </c>
      <c r="E310" s="35">
        <v>0.33464569424861568</v>
      </c>
      <c r="F310" s="35">
        <v>0.50787928630334866</v>
      </c>
      <c r="G310" s="35">
        <v>0.67691928152605774</v>
      </c>
      <c r="H310" s="35">
        <v>0.83400733112007586</v>
      </c>
      <c r="I310" s="35">
        <v>1.0748477935726868</v>
      </c>
      <c r="J310" s="35">
        <v>1.2275209708484458</v>
      </c>
      <c r="K310" s="35">
        <v>1.489285391308284</v>
      </c>
      <c r="L310" s="35">
        <v>1.7659853286496749</v>
      </c>
      <c r="M310" s="6"/>
      <c r="N310" s="84" t="s">
        <v>168</v>
      </c>
    </row>
    <row r="311" spans="1:14" x14ac:dyDescent="0.25">
      <c r="A311" t="str">
        <v>EE Non-econ</v>
      </c>
      <c r="C311" s="35">
        <v>2.7463591159524837E-2</v>
      </c>
      <c r="D311" s="35">
        <v>5.2826833359413863E-2</v>
      </c>
      <c r="E311" s="35">
        <v>9.8095094510454922E-2</v>
      </c>
      <c r="F311" s="35">
        <v>0.17353651528586955</v>
      </c>
      <c r="G311" s="35">
        <v>0.25950538299158676</v>
      </c>
      <c r="H311" s="35">
        <v>0.3444199990025274</v>
      </c>
      <c r="I311" s="35">
        <v>0.49139970914294162</v>
      </c>
      <c r="J311" s="35">
        <v>0.60469143576957962</v>
      </c>
      <c r="K311" s="35">
        <v>0.79130676706202108</v>
      </c>
      <c r="L311" s="35">
        <v>0.93759817943074264</v>
      </c>
      <c r="M311" s="6"/>
      <c r="N311" s="84" t="s">
        <v>168</v>
      </c>
    </row>
    <row r="312" spans="1:14" x14ac:dyDescent="0.25">
      <c r="A312" t="str">
        <v>CA Non-econ</v>
      </c>
      <c r="C312" s="35">
        <v>0</v>
      </c>
      <c r="D312" s="35">
        <v>0</v>
      </c>
      <c r="E312" s="35">
        <v>0</v>
      </c>
      <c r="F312" s="35">
        <v>0</v>
      </c>
      <c r="G312" s="35">
        <v>-1.4472225036053275E-2</v>
      </c>
      <c r="H312" s="35">
        <v>-1.8489580092465641E-2</v>
      </c>
      <c r="I312" s="35">
        <v>5.6850188643704481E-2</v>
      </c>
      <c r="J312" s="35">
        <v>0.20305940459521829</v>
      </c>
      <c r="K312" s="35">
        <v>0.52807249947911516</v>
      </c>
      <c r="L312" s="35">
        <v>0.71006757486629457</v>
      </c>
      <c r="M312" s="6"/>
      <c r="N312" s="84" t="s">
        <v>168</v>
      </c>
    </row>
    <row r="313" spans="1:14" x14ac:dyDescent="0.25">
      <c r="A313" t="str">
        <v>IA Non-econ</v>
      </c>
      <c r="C313" s="35">
        <v>-1.5928674249057535E-2</v>
      </c>
      <c r="D313" s="35">
        <v>-1.4776663607142304E-2</v>
      </c>
      <c r="E313" s="35">
        <v>5.7911791073448347E-4</v>
      </c>
      <c r="F313" s="35">
        <v>5.3937752064053629E-2</v>
      </c>
      <c r="G313" s="35">
        <v>0.13857132306856568</v>
      </c>
      <c r="H313" s="35">
        <v>0.23680194548381628</v>
      </c>
      <c r="I313" s="35">
        <v>0.43783013093081991</v>
      </c>
      <c r="J313" s="35">
        <v>0.62287173677623997</v>
      </c>
      <c r="K313" s="35">
        <v>0.94231611830380457</v>
      </c>
      <c r="L313" s="35">
        <v>1.1712104444263525</v>
      </c>
      <c r="M313" s="6"/>
      <c r="N313" s="84" t="s">
        <v>168</v>
      </c>
    </row>
    <row r="314" spans="1:14" x14ac:dyDescent="0.25">
      <c r="A314" t="str">
        <v>AF Non-econ</v>
      </c>
      <c r="C314" s="35">
        <v>-3.6368093663798726E-3</v>
      </c>
      <c r="D314" s="35">
        <v>1.7637389207694826E-2</v>
      </c>
      <c r="E314" s="35">
        <v>3.862394349077157E-2</v>
      </c>
      <c r="F314" s="35">
        <v>7.024125397202928E-2</v>
      </c>
      <c r="G314" s="35">
        <v>0.10540671008994919</v>
      </c>
      <c r="H314" s="35">
        <v>0.14795786491096452</v>
      </c>
      <c r="I314" s="35">
        <v>0.2530938773718594</v>
      </c>
      <c r="J314" s="35">
        <v>0.38184123304870848</v>
      </c>
      <c r="K314" s="35">
        <v>0.60888553648101318</v>
      </c>
      <c r="L314" s="35">
        <v>0.76898214194004666</v>
      </c>
      <c r="M314" s="6"/>
      <c r="N314" s="84" t="s">
        <v>168</v>
      </c>
    </row>
    <row r="315" spans="1:14" x14ac:dyDescent="0.25">
      <c r="A315" t="str">
        <v>LA Non-econ</v>
      </c>
      <c r="C315" s="35">
        <v>8.1064190380421945E-3</v>
      </c>
      <c r="D315" s="35">
        <v>4.069898527915751E-2</v>
      </c>
      <c r="E315" s="35">
        <v>8.1130583854878383E-2</v>
      </c>
      <c r="F315" s="35">
        <v>0.12721268421876208</v>
      </c>
      <c r="G315" s="35">
        <v>0.17627872483716819</v>
      </c>
      <c r="H315" s="35">
        <v>0.23117874349235731</v>
      </c>
      <c r="I315" s="35">
        <v>0.35219460379224049</v>
      </c>
      <c r="J315" s="35">
        <v>0.4848140890313869</v>
      </c>
      <c r="K315" s="35">
        <v>0.7124984595539875</v>
      </c>
      <c r="L315" s="35">
        <v>0.88383213069868527</v>
      </c>
      <c r="M315" s="6"/>
      <c r="N315" s="84" t="s">
        <v>168</v>
      </c>
    </row>
    <row r="316" spans="1:14" s="2" customFormat="1" ht="15" x14ac:dyDescent="0.4">
      <c r="A316" s="2" t="s">
        <v>279</v>
      </c>
      <c r="C316" s="2" t="s">
        <v>297</v>
      </c>
    </row>
    <row r="317" spans="1:14" x14ac:dyDescent="0.25">
      <c r="A317" t="str">
        <f t="array" ref="A317:A324">R_CODE&amp;" "&amp;I_2_NAME</f>
        <v>EU Non-econ</v>
      </c>
      <c r="C317" s="39">
        <f t="array" ref="C317:L324">IF(igdp_2_b&lt;ISATG,igdp_2_b,ISATG+(100-SAVE-ISATG)*((igdp_2_b-ISATG)/((100-SAVE-ISATG)+(igdp_2_b-ISATG))))*(1-imp_2_b/100*IF(i_2_b&lt;impmax_2_b,1,impmax_2_b/i_2_b))</f>
        <v>4.6584785029146758E-4</v>
      </c>
      <c r="D317" s="39">
        <v>4.0235196773989838E-2</v>
      </c>
      <c r="E317" s="39">
        <v>9.8588533725483402E-2</v>
      </c>
      <c r="F317" s="39">
        <v>0.17765885776494303</v>
      </c>
      <c r="G317" s="39">
        <v>0.25341708243898364</v>
      </c>
      <c r="H317" s="39">
        <v>0.34065262359544163</v>
      </c>
      <c r="I317" s="39">
        <v>0.50383299685040472</v>
      </c>
      <c r="J317" s="39">
        <v>0.64017192412912594</v>
      </c>
      <c r="K317" s="39">
        <v>0.88068178191126079</v>
      </c>
      <c r="L317" s="39">
        <v>1.1195489108871433</v>
      </c>
      <c r="M317" s="6"/>
      <c r="N317" s="84" t="s">
        <v>168</v>
      </c>
    </row>
    <row r="318" spans="1:14" x14ac:dyDescent="0.25">
      <c r="A318" t="str">
        <v>US Non-econ</v>
      </c>
      <c r="C318" s="35">
        <v>1.1014694878183007E-2</v>
      </c>
      <c r="D318" s="35">
        <v>5.7664599192916777E-2</v>
      </c>
      <c r="E318" s="35">
        <v>0.12234389473763402</v>
      </c>
      <c r="F318" s="35">
        <v>0.20679392158221727</v>
      </c>
      <c r="G318" s="35">
        <v>0.28717266550225845</v>
      </c>
      <c r="H318" s="35">
        <v>0.37564815114702643</v>
      </c>
      <c r="I318" s="35">
        <v>0.53066023774070037</v>
      </c>
      <c r="J318" s="35">
        <v>0.64996688872171493</v>
      </c>
      <c r="K318" s="35">
        <v>0.85810936060848997</v>
      </c>
      <c r="L318" s="35">
        <v>1.0683143755895088</v>
      </c>
      <c r="M318" s="6"/>
      <c r="N318" s="84" t="s">
        <v>168</v>
      </c>
    </row>
    <row r="319" spans="1:14" x14ac:dyDescent="0.25">
      <c r="A319" t="str">
        <v>OT Non-econ</v>
      </c>
      <c r="C319" s="35">
        <v>7.3173151145947954E-2</v>
      </c>
      <c r="D319" s="35">
        <v>0.18061166293612843</v>
      </c>
      <c r="E319" s="35">
        <v>0.31637259377715921</v>
      </c>
      <c r="F319" s="35">
        <v>0.47218211131310672</v>
      </c>
      <c r="G319" s="35">
        <v>0.62008071018747613</v>
      </c>
      <c r="H319" s="35">
        <v>0.76947718003449972</v>
      </c>
      <c r="I319" s="35">
        <v>0.9997023232489064</v>
      </c>
      <c r="J319" s="35">
        <v>1.1462030415446813</v>
      </c>
      <c r="K319" s="35">
        <v>1.3981475118312079</v>
      </c>
      <c r="L319" s="35">
        <v>1.6652915223693603</v>
      </c>
      <c r="M319" s="6"/>
      <c r="N319" s="84" t="s">
        <v>168</v>
      </c>
    </row>
    <row r="320" spans="1:14" x14ac:dyDescent="0.25">
      <c r="A320" t="str">
        <v>EE Non-econ</v>
      </c>
      <c r="C320" s="35">
        <v>2.7463591159524837E-2</v>
      </c>
      <c r="D320" s="35">
        <v>5.0845827108435847E-2</v>
      </c>
      <c r="E320" s="35">
        <v>9.1667339582960167E-2</v>
      </c>
      <c r="F320" s="35">
        <v>0.15950679881659305</v>
      </c>
      <c r="G320" s="35">
        <v>0.23538356023716342</v>
      </c>
      <c r="H320" s="35">
        <v>0.31569563842139436</v>
      </c>
      <c r="I320" s="35">
        <v>0.45578465901043591</v>
      </c>
      <c r="J320" s="35">
        <v>0.56438960388670456</v>
      </c>
      <c r="K320" s="35">
        <v>0.74408417646639347</v>
      </c>
      <c r="L320" s="35">
        <v>0.88546085096660732</v>
      </c>
      <c r="M320" s="6"/>
      <c r="N320" s="84" t="s">
        <v>168</v>
      </c>
    </row>
    <row r="321" spans="1:15" x14ac:dyDescent="0.25">
      <c r="A321" t="str">
        <v>CA Non-econ</v>
      </c>
      <c r="C321" s="35">
        <v>0</v>
      </c>
      <c r="D321" s="35">
        <v>0</v>
      </c>
      <c r="E321" s="35">
        <v>0</v>
      </c>
      <c r="F321" s="35">
        <v>0</v>
      </c>
      <c r="G321" s="35">
        <v>-1.2301391280645283E-2</v>
      </c>
      <c r="H321" s="35">
        <v>-1.5716143078595795E-2</v>
      </c>
      <c r="I321" s="35">
        <v>4.8322660347148806E-2</v>
      </c>
      <c r="J321" s="35">
        <v>0.17674540758980778</v>
      </c>
      <c r="K321" s="35">
        <v>0.47930638067366621</v>
      </c>
      <c r="L321" s="35">
        <v>0.65154398791277368</v>
      </c>
      <c r="M321" s="6"/>
      <c r="N321" s="84" t="s">
        <v>168</v>
      </c>
    </row>
    <row r="322" spans="1:15" x14ac:dyDescent="0.25">
      <c r="A322" t="str">
        <v>IA Non-econ</v>
      </c>
      <c r="C322" s="35">
        <v>-1.5928674249057535E-2</v>
      </c>
      <c r="D322" s="35">
        <v>-1.4222538721874468E-2</v>
      </c>
      <c r="E322" s="35">
        <v>5.3568406742939727E-4</v>
      </c>
      <c r="F322" s="35">
        <v>4.7869754956847595E-2</v>
      </c>
      <c r="G322" s="35">
        <v>0.11831963539472413</v>
      </c>
      <c r="H322" s="35">
        <v>0.20764364614484257</v>
      </c>
      <c r="I322" s="35">
        <v>0.39446255057639112</v>
      </c>
      <c r="J322" s="35">
        <v>0.5688623020979573</v>
      </c>
      <c r="K322" s="35">
        <v>0.87286052054708396</v>
      </c>
      <c r="L322" s="35">
        <v>1.0921260961396451</v>
      </c>
      <c r="M322" s="6"/>
      <c r="N322" s="84" t="s">
        <v>168</v>
      </c>
    </row>
    <row r="323" spans="1:15" x14ac:dyDescent="0.25">
      <c r="A323" t="str">
        <v>AF Non-econ</v>
      </c>
      <c r="C323" s="35">
        <v>-3.6368093663798726E-3</v>
      </c>
      <c r="D323" s="35">
        <v>1.697598711240627E-2</v>
      </c>
      <c r="E323" s="35">
        <v>3.5727147728963703E-2</v>
      </c>
      <c r="F323" s="35">
        <v>6.2339112900175984E-2</v>
      </c>
      <c r="G323" s="35">
        <v>9.0067435330751372E-2</v>
      </c>
      <c r="H323" s="35">
        <v>0.12860260048022021</v>
      </c>
      <c r="I323" s="35">
        <v>0.22553624176748974</v>
      </c>
      <c r="J323" s="35">
        <v>0.34608963227860418</v>
      </c>
      <c r="K323" s="35">
        <v>0.56126996828592057</v>
      </c>
      <c r="L323" s="35">
        <v>0.71418855829120798</v>
      </c>
      <c r="M323" s="6"/>
      <c r="N323" s="84" t="s">
        <v>168</v>
      </c>
    </row>
    <row r="324" spans="1:15" x14ac:dyDescent="0.25">
      <c r="A324" t="str">
        <v>LA Non-econ</v>
      </c>
      <c r="C324" s="35">
        <v>8.1064190380421945E-3</v>
      </c>
      <c r="D324" s="35">
        <v>3.9172773331189105E-2</v>
      </c>
      <c r="E324" s="35">
        <v>7.5045790065762508E-2</v>
      </c>
      <c r="F324" s="35">
        <v>0.11411208368729071</v>
      </c>
      <c r="G324" s="35">
        <v>0.15451814933802843</v>
      </c>
      <c r="H324" s="35">
        <v>0.20518591312680687</v>
      </c>
      <c r="I324" s="35">
        <v>0.31820486150997557</v>
      </c>
      <c r="J324" s="35">
        <v>0.44337280467919865</v>
      </c>
      <c r="K324" s="35">
        <v>0.66015225996438431</v>
      </c>
      <c r="L324" s="35">
        <v>0.82430169197877845</v>
      </c>
      <c r="M324" s="6"/>
      <c r="N324" s="84" t="s">
        <v>168</v>
      </c>
    </row>
    <row r="325" spans="1:15" s="2" customFormat="1" ht="15" x14ac:dyDescent="0.4">
      <c r="A325" s="2" t="s">
        <v>280</v>
      </c>
      <c r="C325" s="2" t="s">
        <v>298</v>
      </c>
    </row>
    <row r="326" spans="1:15" x14ac:dyDescent="0.25">
      <c r="A326" t="str">
        <f t="array" ref="A326:A333">R_CODE&amp;" "&amp;I_2_NAME</f>
        <v>EU Non-econ</v>
      </c>
      <c r="C326" s="39">
        <f t="array" ref="C326:L333">(isat_2_b/100)*rgdp_1_per_cap_b</f>
        <v>9.9941315928824964E-2</v>
      </c>
      <c r="D326" s="39">
        <v>10.33403828423584</v>
      </c>
      <c r="E326" s="39">
        <v>29.704667512725234</v>
      </c>
      <c r="F326" s="39">
        <v>61.142356019299918</v>
      </c>
      <c r="G326" s="39">
        <v>98.33909669592073</v>
      </c>
      <c r="H326" s="39">
        <v>149.01866081387357</v>
      </c>
      <c r="I326" s="39">
        <v>278.11655025411505</v>
      </c>
      <c r="J326" s="39">
        <v>443.00135331296519</v>
      </c>
      <c r="K326" s="39">
        <v>1905.0674154848987</v>
      </c>
      <c r="L326" s="39">
        <v>3413.6293226704311</v>
      </c>
      <c r="M326" s="6"/>
      <c r="N326" s="1" t="str">
        <f t="shared" ref="N326:N333" si="15">CURRENCY_NAME&amp;"/"&amp;POP_UNIT_NAME</f>
        <v>$million/million</v>
      </c>
      <c r="O326" s="1"/>
    </row>
    <row r="327" spans="1:15" x14ac:dyDescent="0.25">
      <c r="A327" t="str">
        <v>US Non-econ</v>
      </c>
      <c r="C327" s="35">
        <v>4.331482777350991</v>
      </c>
      <c r="D327" s="35">
        <v>25.68260271097374</v>
      </c>
      <c r="E327" s="35">
        <v>60.421895305610064</v>
      </c>
      <c r="F327" s="35">
        <v>113.69469022449969</v>
      </c>
      <c r="G327" s="35">
        <v>173.81344613596562</v>
      </c>
      <c r="H327" s="35">
        <v>252.08639222834839</v>
      </c>
      <c r="I327" s="35">
        <v>441.40140920261672</v>
      </c>
      <c r="J327" s="35">
        <v>675.41313501489219</v>
      </c>
      <c r="K327" s="35">
        <v>2490.0630610598096</v>
      </c>
      <c r="L327" s="35">
        <v>4373.7176880101069</v>
      </c>
      <c r="M327" s="6"/>
      <c r="N327" s="1" t="str">
        <f t="shared" si="15"/>
        <v>$million/million</v>
      </c>
      <c r="O327" s="1"/>
    </row>
    <row r="328" spans="1:15" x14ac:dyDescent="0.25">
      <c r="A328" t="str">
        <v>OT Non-econ</v>
      </c>
      <c r="C328" s="35">
        <v>16.135108098559805</v>
      </c>
      <c r="D328" s="35">
        <v>51.542599945297091</v>
      </c>
      <c r="E328" s="35">
        <v>117.65664136567615</v>
      </c>
      <c r="F328" s="35">
        <v>228.00950334722953</v>
      </c>
      <c r="G328" s="35">
        <v>381.6591674385943</v>
      </c>
      <c r="H328" s="35">
        <v>597.66676288671897</v>
      </c>
      <c r="I328" s="35">
        <v>1163.0265700693349</v>
      </c>
      <c r="J328" s="35">
        <v>1902.0605726062392</v>
      </c>
      <c r="K328" s="35">
        <v>7079.9466005927043</v>
      </c>
      <c r="L328" s="35">
        <v>11898.177856395581</v>
      </c>
      <c r="M328" s="6"/>
      <c r="N328" s="1" t="str">
        <f t="shared" si="15"/>
        <v>$million/million</v>
      </c>
      <c r="O328" s="1"/>
    </row>
    <row r="329" spans="1:15" x14ac:dyDescent="0.25">
      <c r="A329" t="str">
        <v>EE Non-econ</v>
      </c>
      <c r="C329" s="35">
        <v>0.80754752726670198</v>
      </c>
      <c r="D329" s="35">
        <v>1.9363479688205438</v>
      </c>
      <c r="E329" s="35">
        <v>4.5544604321935784</v>
      </c>
      <c r="F329" s="35">
        <v>10.297387018067298</v>
      </c>
      <c r="G329" s="35">
        <v>19.381530391432353</v>
      </c>
      <c r="H329" s="35">
        <v>32.814402441581699</v>
      </c>
      <c r="I329" s="35">
        <v>71.022425190235253</v>
      </c>
      <c r="J329" s="35">
        <v>125.40627871551094</v>
      </c>
      <c r="K329" s="35">
        <v>504.15208494433381</v>
      </c>
      <c r="L329" s="35">
        <v>846.80422251124014</v>
      </c>
      <c r="M329" s="6"/>
      <c r="N329" s="1" t="str">
        <f t="shared" si="15"/>
        <v>$million/million</v>
      </c>
      <c r="O329" s="1"/>
    </row>
    <row r="330" spans="1:15" x14ac:dyDescent="0.25">
      <c r="A330" t="str">
        <v>CA Non-econ</v>
      </c>
      <c r="C330" s="35">
        <v>0</v>
      </c>
      <c r="D330" s="35">
        <v>0</v>
      </c>
      <c r="E330" s="35">
        <v>0</v>
      </c>
      <c r="F330" s="35">
        <v>0</v>
      </c>
      <c r="G330" s="35">
        <v>-0.93228778714676197</v>
      </c>
      <c r="H330" s="35">
        <v>-1.4980134244931211</v>
      </c>
      <c r="I330" s="35">
        <v>6.8922093552594674</v>
      </c>
      <c r="J330" s="35">
        <v>36.069378329308961</v>
      </c>
      <c r="K330" s="35">
        <v>298.7096365305714</v>
      </c>
      <c r="L330" s="35">
        <v>572.01037003761962</v>
      </c>
      <c r="M330" s="6"/>
      <c r="N330" s="1" t="str">
        <f t="shared" si="15"/>
        <v>$million/million</v>
      </c>
      <c r="O330" s="1"/>
    </row>
    <row r="331" spans="1:15" x14ac:dyDescent="0.25">
      <c r="A331" t="str">
        <v>IA Non-econ</v>
      </c>
      <c r="C331" s="35">
        <v>-0.23312160079772581</v>
      </c>
      <c r="D331" s="35">
        <v>-0.26973686532886643</v>
      </c>
      <c r="E331" s="35">
        <v>1.3282926944896167E-2</v>
      </c>
      <c r="F331" s="35">
        <v>1.5542302673568194</v>
      </c>
      <c r="G331" s="35">
        <v>4.8462637539433606</v>
      </c>
      <c r="H331" s="35">
        <v>10.650645235262266</v>
      </c>
      <c r="I331" s="35">
        <v>30.138079035355474</v>
      </c>
      <c r="J331" s="35">
        <v>62.386305050725163</v>
      </c>
      <c r="K331" s="35">
        <v>293.22166324828817</v>
      </c>
      <c r="L331" s="35">
        <v>516.05303023702504</v>
      </c>
      <c r="M331" s="6"/>
      <c r="N331" s="1" t="str">
        <f t="shared" si="15"/>
        <v>$million/million</v>
      </c>
      <c r="O331" s="1"/>
    </row>
    <row r="332" spans="1:15" x14ac:dyDescent="0.25">
      <c r="A332" t="str">
        <v>AF Non-econ</v>
      </c>
      <c r="C332" s="35">
        <v>-9.3341160247946489E-2</v>
      </c>
      <c r="D332" s="35">
        <v>0.56432034057395619</v>
      </c>
      <c r="E332" s="35">
        <v>1.5520563304535935</v>
      </c>
      <c r="F332" s="35">
        <v>3.5425262906824764</v>
      </c>
      <c r="G332" s="35">
        <v>6.4663421136440862</v>
      </c>
      <c r="H332" s="35">
        <v>11.562845212848998</v>
      </c>
      <c r="I332" s="35">
        <v>30.274415838025433</v>
      </c>
      <c r="J332" s="35">
        <v>66.774694171246864</v>
      </c>
      <c r="K332" s="35">
        <v>331.9529236400262</v>
      </c>
      <c r="L332" s="35">
        <v>595.36637622500962</v>
      </c>
      <c r="M332" s="6"/>
      <c r="N332" s="1" t="str">
        <f t="shared" si="15"/>
        <v>$million/million</v>
      </c>
      <c r="O332" s="1"/>
    </row>
    <row r="333" spans="1:15" x14ac:dyDescent="0.25">
      <c r="A333" t="str">
        <v>LA Non-econ</v>
      </c>
      <c r="C333" s="35">
        <v>0.38065048543442276</v>
      </c>
      <c r="D333" s="35">
        <v>2.3818403563917347</v>
      </c>
      <c r="E333" s="35">
        <v>5.9617318974403775</v>
      </c>
      <c r="F333" s="35">
        <v>11.838930322871754</v>
      </c>
      <c r="G333" s="35">
        <v>20.359765759576042</v>
      </c>
      <c r="H333" s="35">
        <v>33.986030245092458</v>
      </c>
      <c r="I333" s="35">
        <v>78.825566739166362</v>
      </c>
      <c r="J333" s="35">
        <v>157.10453656731809</v>
      </c>
      <c r="K333" s="35">
        <v>714.6288225305891</v>
      </c>
      <c r="L333" s="35">
        <v>1258.4933357718824</v>
      </c>
      <c r="M333" s="6"/>
      <c r="N333" s="1" t="str">
        <f t="shared" si="15"/>
        <v>$million/million</v>
      </c>
      <c r="O333" s="1"/>
    </row>
    <row r="334" spans="1:15" s="2" customFormat="1" ht="15" x14ac:dyDescent="0.4">
      <c r="A334" s="2" t="s">
        <v>282</v>
      </c>
      <c r="C334" s="2" t="s">
        <v>300</v>
      </c>
    </row>
    <row r="335" spans="1:15" x14ac:dyDescent="0.25">
      <c r="A335" t="str">
        <f t="array" ref="A335:A342">R_CODE&amp;" "&amp;I_2_NAME</f>
        <v>EU Non-econ</v>
      </c>
      <c r="C335" s="39">
        <f t="array" ref="C335:L342">rcons_1_per_cap_b-isat_2_per_cap_b</f>
        <v>18235.493179131096</v>
      </c>
      <c r="D335" s="39">
        <v>21821.130067488106</v>
      </c>
      <c r="E335" s="39">
        <v>25580.745586389403</v>
      </c>
      <c r="F335" s="39">
        <v>29192.114852898903</v>
      </c>
      <c r="G335" s="39">
        <v>32886.111433255443</v>
      </c>
      <c r="H335" s="39">
        <v>37034.273912978439</v>
      </c>
      <c r="I335" s="39">
        <v>46642.007616640833</v>
      </c>
      <c r="J335" s="39">
        <v>58377.31489661806</v>
      </c>
      <c r="K335" s="39">
        <v>181964.67264521372</v>
      </c>
      <c r="L335" s="39">
        <v>255760.83782683694</v>
      </c>
      <c r="M335" s="6"/>
      <c r="N335" s="1" t="str">
        <f t="shared" ref="N335:N342" si="16">CURRENCY_NAME&amp;"/"&amp;POP_UNIT_NAME</f>
        <v>$million/million</v>
      </c>
      <c r="O335" s="1"/>
    </row>
    <row r="336" spans="1:15" x14ac:dyDescent="0.25">
      <c r="A336" t="str">
        <v>US Non-econ</v>
      </c>
      <c r="C336" s="35">
        <v>33421.563664267233</v>
      </c>
      <c r="D336" s="35">
        <v>37831.534147022699</v>
      </c>
      <c r="E336" s="35">
        <v>41918.469752624093</v>
      </c>
      <c r="F336" s="35">
        <v>46619.055456110123</v>
      </c>
      <c r="G336" s="35">
        <v>51273.08487100518</v>
      </c>
      <c r="H336" s="35">
        <v>56788.906020437826</v>
      </c>
      <c r="I336" s="35">
        <v>70261.314026875727</v>
      </c>
      <c r="J336" s="35">
        <v>87652.342436001767</v>
      </c>
      <c r="K336" s="35">
        <v>244163.06753758309</v>
      </c>
      <c r="L336" s="35">
        <v>343619.35623811214</v>
      </c>
      <c r="M336" s="6"/>
      <c r="N336" s="1" t="str">
        <f t="shared" si="16"/>
        <v>$million/million</v>
      </c>
      <c r="O336" s="1"/>
    </row>
    <row r="337" spans="1:15" x14ac:dyDescent="0.25">
      <c r="A337" t="str">
        <v>OT Non-econ</v>
      </c>
      <c r="C337" s="35">
        <v>18726.862383455154</v>
      </c>
      <c r="D337" s="35">
        <v>24205.589659002973</v>
      </c>
      <c r="E337" s="35">
        <v>31493.218361058411</v>
      </c>
      <c r="F337" s="35">
        <v>40817.187508919465</v>
      </c>
      <c r="G337" s="35">
        <v>51935.770965926211</v>
      </c>
      <c r="H337" s="35">
        <v>65423.3617529861</v>
      </c>
      <c r="I337" s="35">
        <v>97723.668155836524</v>
      </c>
      <c r="J337" s="35">
        <v>139150.73968313963</v>
      </c>
      <c r="K337" s="35">
        <v>423343.49295635725</v>
      </c>
      <c r="L337" s="35">
        <v>595409.97462533484</v>
      </c>
      <c r="M337" s="6"/>
      <c r="N337" s="1" t="str">
        <f t="shared" si="16"/>
        <v>$million/million</v>
      </c>
      <c r="O337" s="1"/>
    </row>
    <row r="338" spans="1:15" x14ac:dyDescent="0.25">
      <c r="A338" t="str">
        <v>EE Non-econ</v>
      </c>
      <c r="C338" s="35">
        <v>2498.5574997805988</v>
      </c>
      <c r="D338" s="35">
        <v>3235.0958080571972</v>
      </c>
      <c r="E338" s="35">
        <v>4218.6414837033626</v>
      </c>
      <c r="F338" s="35">
        <v>5477.1044229959862</v>
      </c>
      <c r="G338" s="35">
        <v>6979.5358180073372</v>
      </c>
      <c r="H338" s="35">
        <v>8802.3542475964477</v>
      </c>
      <c r="I338" s="35">
        <v>13174.061677194552</v>
      </c>
      <c r="J338" s="35">
        <v>18761.429370649534</v>
      </c>
      <c r="K338" s="35">
        <v>57087.352445865727</v>
      </c>
      <c r="L338" s="35">
        <v>80442.344625662809</v>
      </c>
      <c r="M338" s="6"/>
      <c r="N338" s="1" t="str">
        <f t="shared" si="16"/>
        <v>$million/million</v>
      </c>
      <c r="O338" s="1"/>
    </row>
    <row r="339" spans="1:15" x14ac:dyDescent="0.25">
      <c r="A339" t="str">
        <v>CA Non-econ</v>
      </c>
      <c r="C339" s="35">
        <v>2297.5049167973011</v>
      </c>
      <c r="D339" s="35">
        <v>2976.4913860122952</v>
      </c>
      <c r="E339" s="35">
        <v>3890.5563768657235</v>
      </c>
      <c r="F339" s="35">
        <v>5073.6523669677863</v>
      </c>
      <c r="G339" s="35">
        <v>6442.8428082789305</v>
      </c>
      <c r="H339" s="35">
        <v>8103.4311941761207</v>
      </c>
      <c r="I339" s="35">
        <v>12116.566867367967</v>
      </c>
      <c r="J339" s="35">
        <v>17310.334128270541</v>
      </c>
      <c r="K339" s="35">
        <v>52674.33668388857</v>
      </c>
      <c r="L339" s="35">
        <v>74052.086168639755</v>
      </c>
      <c r="M339" s="6"/>
      <c r="N339" s="1" t="str">
        <f t="shared" si="16"/>
        <v>$million/million</v>
      </c>
      <c r="O339" s="1"/>
    </row>
    <row r="340" spans="1:15" x14ac:dyDescent="0.25">
      <c r="A340" t="str">
        <v>IA Non-econ</v>
      </c>
      <c r="C340" s="35">
        <v>1244.2372212501532</v>
      </c>
      <c r="D340" s="35">
        <v>1612.3330963899277</v>
      </c>
      <c r="E340" s="35">
        <v>2107.6633476926168</v>
      </c>
      <c r="F340" s="35">
        <v>2758.217004083444</v>
      </c>
      <c r="G340" s="35">
        <v>3476.6757821088995</v>
      </c>
      <c r="H340" s="35">
        <v>4349.2460422164404</v>
      </c>
      <c r="I340" s="35">
        <v>6464.1076085767891</v>
      </c>
      <c r="J340" s="35">
        <v>9259.4406287342081</v>
      </c>
      <c r="K340" s="35">
        <v>28260.986929532308</v>
      </c>
      <c r="L340" s="35">
        <v>39648.272064819015</v>
      </c>
      <c r="M340" s="6"/>
      <c r="N340" s="1" t="str">
        <f t="shared" si="16"/>
        <v>$million/million</v>
      </c>
      <c r="O340" s="1"/>
    </row>
    <row r="341" spans="1:15" x14ac:dyDescent="0.25">
      <c r="A341" t="str">
        <v>AF Non-econ</v>
      </c>
      <c r="C341" s="35">
        <v>2181.6755528704693</v>
      </c>
      <c r="D341" s="35">
        <v>2825.0285969473525</v>
      </c>
      <c r="E341" s="35">
        <v>3691.0121833165058</v>
      </c>
      <c r="F341" s="35">
        <v>4826.7272786420153</v>
      </c>
      <c r="G341" s="35">
        <v>6096.0620316690411</v>
      </c>
      <c r="H341" s="35">
        <v>7630.9096975047551</v>
      </c>
      <c r="I341" s="35">
        <v>11379.534163330638</v>
      </c>
      <c r="J341" s="35">
        <v>16333.164729575754</v>
      </c>
      <c r="K341" s="35">
        <v>49939.752501063034</v>
      </c>
      <c r="L341" s="35">
        <v>70262.870418001723</v>
      </c>
      <c r="M341" s="6"/>
      <c r="N341" s="1" t="str">
        <f t="shared" si="16"/>
        <v>$million/million</v>
      </c>
      <c r="O341" s="1"/>
    </row>
    <row r="342" spans="1:15" x14ac:dyDescent="0.25">
      <c r="A342" t="str">
        <v>LA Non-econ</v>
      </c>
      <c r="C342" s="35">
        <v>3990.9367376347045</v>
      </c>
      <c r="D342" s="35">
        <v>5165.9126937480642</v>
      </c>
      <c r="E342" s="35">
        <v>6746.5451154336397</v>
      </c>
      <c r="F342" s="35">
        <v>8806.7633151830269</v>
      </c>
      <c r="G342" s="35">
        <v>11179.490199943129</v>
      </c>
      <c r="H342" s="35">
        <v>14045.014456730567</v>
      </c>
      <c r="I342" s="35">
        <v>20977.336620836628</v>
      </c>
      <c r="J342" s="35">
        <v>29961.760371902223</v>
      </c>
      <c r="K342" s="35">
        <v>91299.673936013656</v>
      </c>
      <c r="L342" s="35">
        <v>128514.30051088198</v>
      </c>
      <c r="M342" s="6"/>
      <c r="N342" s="1" t="str">
        <f t="shared" si="16"/>
        <v>$million/million</v>
      </c>
      <c r="O342" s="1"/>
    </row>
    <row r="343" spans="1:15" s="2" customFormat="1" ht="15" x14ac:dyDescent="0.4">
      <c r="A343" s="2" t="s">
        <v>284</v>
      </c>
      <c r="C343" s="2" t="s">
        <v>299</v>
      </c>
    </row>
    <row r="344" spans="1:15" x14ac:dyDescent="0.25">
      <c r="A344" t="str">
        <f t="array" ref="A344:A351">R_CODE&amp;" "&amp;I_2_NAME</f>
        <v>EU Non-econ</v>
      </c>
      <c r="C344" s="39">
        <f t="array" ref="C344:L351" xml:space="preserve"> rcons_2_per_cap_b/(1-SAVE/100)</f>
        <v>21453.521387213055</v>
      </c>
      <c r="D344" s="39">
        <v>25671.917726456595</v>
      </c>
      <c r="E344" s="39">
        <v>30094.994807516945</v>
      </c>
      <c r="F344" s="39">
        <v>34343.664532822237</v>
      </c>
      <c r="G344" s="39">
        <v>38689.542862653463</v>
      </c>
      <c r="H344" s="39">
        <v>43569.734015268754</v>
      </c>
      <c r="I344" s="39">
        <v>54872.950137224507</v>
      </c>
      <c r="J344" s="39">
        <v>68679.193996021248</v>
      </c>
      <c r="K344" s="39">
        <v>214076.08546495732</v>
      </c>
      <c r="L344" s="39">
        <v>300895.10332569055</v>
      </c>
      <c r="M344" s="6"/>
      <c r="N344" s="1" t="str">
        <f t="shared" ref="N344:N351" si="17">CURRENCY_NAME&amp;"/"&amp;POP_UNIT_NAME</f>
        <v>$million/million</v>
      </c>
      <c r="O344" s="1"/>
    </row>
    <row r="345" spans="1:15" x14ac:dyDescent="0.25">
      <c r="A345" t="str">
        <v>US Non-econ</v>
      </c>
      <c r="C345" s="35">
        <v>39319.486663843803</v>
      </c>
      <c r="D345" s="35">
        <v>44507.687231791409</v>
      </c>
      <c r="E345" s="35">
        <v>49315.846767793053</v>
      </c>
      <c r="F345" s="35">
        <v>54845.947595423677</v>
      </c>
      <c r="G345" s="35">
        <v>60321.276318829623</v>
      </c>
      <c r="H345" s="35">
        <v>66810.477671103319</v>
      </c>
      <c r="I345" s="35">
        <v>82660.369443383213</v>
      </c>
      <c r="J345" s="35">
        <v>103120.40286588443</v>
      </c>
      <c r="K345" s="35">
        <v>287250.66769127426</v>
      </c>
      <c r="L345" s="35">
        <v>404258.06616248487</v>
      </c>
      <c r="M345" s="6"/>
      <c r="N345" s="1" t="str">
        <f t="shared" si="17"/>
        <v>$million/million</v>
      </c>
      <c r="O345" s="1"/>
    </row>
    <row r="346" spans="1:15" x14ac:dyDescent="0.25">
      <c r="A346" t="str">
        <v>OT Non-econ</v>
      </c>
      <c r="C346" s="35">
        <v>22031.602804064889</v>
      </c>
      <c r="D346" s="35">
        <v>28477.164304709382</v>
      </c>
      <c r="E346" s="35">
        <v>37050.845130656955</v>
      </c>
      <c r="F346" s="35">
        <v>48020.220598728782</v>
      </c>
      <c r="G346" s="35">
        <v>61100.907018736718</v>
      </c>
      <c r="H346" s="35">
        <v>76968.660885866004</v>
      </c>
      <c r="I346" s="35">
        <v>114969.02135980768</v>
      </c>
      <c r="J346" s="35">
        <v>163706.75256839956</v>
      </c>
      <c r="K346" s="35">
        <v>498051.16818394972</v>
      </c>
      <c r="L346" s="35">
        <v>700482.32308862929</v>
      </c>
      <c r="M346" s="6"/>
      <c r="N346" s="1" t="str">
        <f t="shared" si="17"/>
        <v>$million/million</v>
      </c>
      <c r="O346" s="1"/>
    </row>
    <row r="347" spans="1:15" x14ac:dyDescent="0.25">
      <c r="A347" t="str">
        <v>EE Non-econ</v>
      </c>
      <c r="C347" s="35">
        <v>2939.479411506587</v>
      </c>
      <c r="D347" s="35">
        <v>3805.995068302585</v>
      </c>
      <c r="E347" s="35">
        <v>4963.1076278863093</v>
      </c>
      <c r="F347" s="35">
        <v>6443.6522623482188</v>
      </c>
      <c r="G347" s="35">
        <v>8211.2186094203971</v>
      </c>
      <c r="H347" s="35">
        <v>10355.710879525233</v>
      </c>
      <c r="I347" s="35">
        <v>15498.896090817119</v>
      </c>
      <c r="J347" s="35">
        <v>22072.269847822983</v>
      </c>
      <c r="K347" s="35">
        <v>67161.591112783208</v>
      </c>
      <c r="L347" s="35">
        <v>94638.052500779784</v>
      </c>
      <c r="M347" s="6"/>
      <c r="N347" s="1" t="str">
        <f t="shared" si="17"/>
        <v>$million/million</v>
      </c>
      <c r="O347" s="1"/>
    </row>
    <row r="348" spans="1:15" x14ac:dyDescent="0.25">
      <c r="A348" t="str">
        <v>CA Non-econ</v>
      </c>
      <c r="C348" s="35">
        <v>2702.9469609380012</v>
      </c>
      <c r="D348" s="35">
        <v>3501.7545717791709</v>
      </c>
      <c r="E348" s="35">
        <v>4577.1251492537922</v>
      </c>
      <c r="F348" s="35">
        <v>5969.0027846679841</v>
      </c>
      <c r="G348" s="35">
        <v>7579.8150685634482</v>
      </c>
      <c r="H348" s="35">
        <v>9533.4484637366131</v>
      </c>
      <c r="I348" s="35">
        <v>14254.784549844668</v>
      </c>
      <c r="J348" s="35">
        <v>20365.098974435932</v>
      </c>
      <c r="K348" s="35">
        <v>61969.807863398317</v>
      </c>
      <c r="L348" s="35">
        <v>87120.101374870297</v>
      </c>
      <c r="M348" s="6"/>
      <c r="N348" s="1" t="str">
        <f t="shared" si="17"/>
        <v>$million/million</v>
      </c>
      <c r="O348" s="1"/>
    </row>
    <row r="349" spans="1:15" x14ac:dyDescent="0.25">
      <c r="A349" t="str">
        <v>IA Non-econ</v>
      </c>
      <c r="C349" s="35">
        <v>1463.8084955884156</v>
      </c>
      <c r="D349" s="35">
        <v>1896.8624663410915</v>
      </c>
      <c r="E349" s="35">
        <v>2479.6039384619021</v>
      </c>
      <c r="F349" s="35">
        <v>3244.9611812746402</v>
      </c>
      <c r="G349" s="35">
        <v>4090.2068024810583</v>
      </c>
      <c r="H349" s="35">
        <v>5116.7600496664008</v>
      </c>
      <c r="I349" s="35">
        <v>7604.8324806785758</v>
      </c>
      <c r="J349" s="35">
        <v>10893.459563216717</v>
      </c>
      <c r="K349" s="35">
        <v>33248.219917096831</v>
      </c>
      <c r="L349" s="35">
        <v>46645.025958610604</v>
      </c>
      <c r="M349" s="6"/>
      <c r="N349" s="1" t="str">
        <f t="shared" si="17"/>
        <v>$million/million</v>
      </c>
      <c r="O349" s="1"/>
    </row>
    <row r="350" spans="1:15" x14ac:dyDescent="0.25">
      <c r="A350" t="str">
        <v>AF Non-econ</v>
      </c>
      <c r="C350" s="35">
        <v>2566.6771210240818</v>
      </c>
      <c r="D350" s="35">
        <v>3323.5630552321795</v>
      </c>
      <c r="E350" s="35">
        <v>4342.3672744900068</v>
      </c>
      <c r="F350" s="35">
        <v>5678.5026807553122</v>
      </c>
      <c r="G350" s="35">
        <v>7171.8376843165188</v>
      </c>
      <c r="H350" s="35">
        <v>8977.5408205938293</v>
      </c>
      <c r="I350" s="35">
        <v>13387.687250977222</v>
      </c>
      <c r="J350" s="35">
        <v>19215.487917147948</v>
      </c>
      <c r="K350" s="35">
        <v>58752.650001250629</v>
      </c>
      <c r="L350" s="35">
        <v>82662.200491766736</v>
      </c>
      <c r="M350" s="6"/>
      <c r="N350" s="1" t="str">
        <f t="shared" si="17"/>
        <v>$million/million</v>
      </c>
      <c r="O350" s="1"/>
    </row>
    <row r="351" spans="1:15" x14ac:dyDescent="0.25">
      <c r="A351" t="str">
        <v>LA Non-econ</v>
      </c>
      <c r="C351" s="35">
        <v>4695.2196913349462</v>
      </c>
      <c r="D351" s="35">
        <v>6077.5443455859577</v>
      </c>
      <c r="E351" s="35">
        <v>7937.1119005101646</v>
      </c>
      <c r="F351" s="35">
        <v>10360.898017862384</v>
      </c>
      <c r="G351" s="35">
        <v>13152.3414116978</v>
      </c>
      <c r="H351" s="35">
        <v>16523.546419683022</v>
      </c>
      <c r="I351" s="35">
        <v>24679.219553925446</v>
      </c>
      <c r="J351" s="35">
        <v>35249.129849296733</v>
      </c>
      <c r="K351" s="35">
        <v>107411.38110119254</v>
      </c>
      <c r="L351" s="35">
        <v>151193.29471868469</v>
      </c>
      <c r="M351" s="6"/>
      <c r="N351" s="1" t="str">
        <f t="shared" si="17"/>
        <v>$million/million</v>
      </c>
      <c r="O351" s="1"/>
    </row>
    <row r="352" spans="1:15" s="2" customFormat="1" ht="15" x14ac:dyDescent="0.4">
      <c r="A352" s="2" t="s">
        <v>301</v>
      </c>
      <c r="C352" s="2" t="s">
        <v>302</v>
      </c>
    </row>
    <row r="353" spans="1:14" x14ac:dyDescent="0.25">
      <c r="A353" t="str">
        <f t="array" ref="A353:A360">R_CODE&amp;" discontinuity"</f>
        <v>EU discontinuity</v>
      </c>
      <c r="C353" s="39">
        <f t="array" ref="C353:L360">WINCF*WDIS</f>
        <v>15</v>
      </c>
      <c r="D353" s="39">
        <v>15</v>
      </c>
      <c r="E353" s="39">
        <v>15</v>
      </c>
      <c r="F353" s="39">
        <v>15</v>
      </c>
      <c r="G353" s="39">
        <v>15</v>
      </c>
      <c r="H353" s="39">
        <v>15</v>
      </c>
      <c r="I353" s="39">
        <v>15</v>
      </c>
      <c r="J353" s="39">
        <v>15</v>
      </c>
      <c r="K353" s="39">
        <v>15</v>
      </c>
      <c r="L353" s="39">
        <v>15</v>
      </c>
      <c r="M353" s="6"/>
      <c r="N353" s="84" t="s">
        <v>168</v>
      </c>
    </row>
    <row r="354" spans="1:14" x14ac:dyDescent="0.25">
      <c r="A354" t="str">
        <v>US discontinuity</v>
      </c>
      <c r="C354" s="35">
        <v>12</v>
      </c>
      <c r="D354" s="35">
        <v>12</v>
      </c>
      <c r="E354" s="35">
        <v>12</v>
      </c>
      <c r="F354" s="35">
        <v>12</v>
      </c>
      <c r="G354" s="35">
        <v>12</v>
      </c>
      <c r="H354" s="35">
        <v>12</v>
      </c>
      <c r="I354" s="35">
        <v>12</v>
      </c>
      <c r="J354" s="35">
        <v>12</v>
      </c>
      <c r="K354" s="35">
        <v>12</v>
      </c>
      <c r="L354" s="35">
        <v>12</v>
      </c>
      <c r="M354" s="6"/>
      <c r="N354" s="84" t="s">
        <v>168</v>
      </c>
    </row>
    <row r="355" spans="1:14" x14ac:dyDescent="0.25">
      <c r="A355" t="str">
        <v>OT discontinuity</v>
      </c>
      <c r="C355" s="35">
        <v>12</v>
      </c>
      <c r="D355" s="35">
        <v>12</v>
      </c>
      <c r="E355" s="35">
        <v>12</v>
      </c>
      <c r="F355" s="35">
        <v>12</v>
      </c>
      <c r="G355" s="35">
        <v>12</v>
      </c>
      <c r="H355" s="35">
        <v>12</v>
      </c>
      <c r="I355" s="35">
        <v>12</v>
      </c>
      <c r="J355" s="35">
        <v>12</v>
      </c>
      <c r="K355" s="35">
        <v>12</v>
      </c>
      <c r="L355" s="35">
        <v>12</v>
      </c>
      <c r="M355" s="6"/>
      <c r="N355" s="84" t="s">
        <v>168</v>
      </c>
    </row>
    <row r="356" spans="1:14" x14ac:dyDescent="0.25">
      <c r="A356" t="str">
        <v>EE discontinuity</v>
      </c>
      <c r="C356" s="35">
        <v>6</v>
      </c>
      <c r="D356" s="35">
        <v>6</v>
      </c>
      <c r="E356" s="35">
        <v>6</v>
      </c>
      <c r="F356" s="35">
        <v>6</v>
      </c>
      <c r="G356" s="35">
        <v>6</v>
      </c>
      <c r="H356" s="35">
        <v>6</v>
      </c>
      <c r="I356" s="35">
        <v>6</v>
      </c>
      <c r="J356" s="35">
        <v>6</v>
      </c>
      <c r="K356" s="35">
        <v>6</v>
      </c>
      <c r="L356" s="35">
        <v>6</v>
      </c>
      <c r="M356" s="6"/>
      <c r="N356" s="84" t="s">
        <v>168</v>
      </c>
    </row>
    <row r="357" spans="1:14" x14ac:dyDescent="0.25">
      <c r="A357" t="str">
        <v>CA discontinuity</v>
      </c>
      <c r="C357" s="35">
        <v>12</v>
      </c>
      <c r="D357" s="35">
        <v>12</v>
      </c>
      <c r="E357" s="35">
        <v>12</v>
      </c>
      <c r="F357" s="35">
        <v>12</v>
      </c>
      <c r="G357" s="35">
        <v>12</v>
      </c>
      <c r="H357" s="35">
        <v>12</v>
      </c>
      <c r="I357" s="35">
        <v>12</v>
      </c>
      <c r="J357" s="35">
        <v>12</v>
      </c>
      <c r="K357" s="35">
        <v>12</v>
      </c>
      <c r="L357" s="35">
        <v>12</v>
      </c>
      <c r="M357" s="6"/>
      <c r="N357" s="84" t="s">
        <v>168</v>
      </c>
    </row>
    <row r="358" spans="1:14" x14ac:dyDescent="0.25">
      <c r="A358" t="str">
        <v>IA discontinuity</v>
      </c>
      <c r="C358" s="35">
        <v>12</v>
      </c>
      <c r="D358" s="35">
        <v>12</v>
      </c>
      <c r="E358" s="35">
        <v>12</v>
      </c>
      <c r="F358" s="35">
        <v>12</v>
      </c>
      <c r="G358" s="35">
        <v>12</v>
      </c>
      <c r="H358" s="35">
        <v>12</v>
      </c>
      <c r="I358" s="35">
        <v>12</v>
      </c>
      <c r="J358" s="35">
        <v>12</v>
      </c>
      <c r="K358" s="35">
        <v>12</v>
      </c>
      <c r="L358" s="35">
        <v>12</v>
      </c>
      <c r="M358" s="6"/>
      <c r="N358" s="84" t="s">
        <v>168</v>
      </c>
    </row>
    <row r="359" spans="1:14" x14ac:dyDescent="0.25">
      <c r="A359" t="str">
        <v>AF discontinuity</v>
      </c>
      <c r="C359" s="35">
        <v>9</v>
      </c>
      <c r="D359" s="35">
        <v>9</v>
      </c>
      <c r="E359" s="35">
        <v>9</v>
      </c>
      <c r="F359" s="35">
        <v>9</v>
      </c>
      <c r="G359" s="35">
        <v>9</v>
      </c>
      <c r="H359" s="35">
        <v>9</v>
      </c>
      <c r="I359" s="35">
        <v>9</v>
      </c>
      <c r="J359" s="35">
        <v>9</v>
      </c>
      <c r="K359" s="35">
        <v>9</v>
      </c>
      <c r="L359" s="35">
        <v>9</v>
      </c>
      <c r="M359" s="6"/>
      <c r="N359" s="84" t="s">
        <v>168</v>
      </c>
    </row>
    <row r="360" spans="1:14" x14ac:dyDescent="0.25">
      <c r="A360" t="str">
        <v>LA discontinuity</v>
      </c>
      <c r="C360" s="35">
        <v>9</v>
      </c>
      <c r="D360" s="35">
        <v>9</v>
      </c>
      <c r="E360" s="35">
        <v>9</v>
      </c>
      <c r="F360" s="35">
        <v>9</v>
      </c>
      <c r="G360" s="35">
        <v>9</v>
      </c>
      <c r="H360" s="35">
        <v>9</v>
      </c>
      <c r="I360" s="35">
        <v>9</v>
      </c>
      <c r="J360" s="35">
        <v>9</v>
      </c>
      <c r="K360" s="35">
        <v>9</v>
      </c>
      <c r="L360" s="35">
        <v>9</v>
      </c>
      <c r="M360" s="6"/>
      <c r="N360" s="84" t="s">
        <v>168</v>
      </c>
    </row>
    <row r="361" spans="1:14" s="2" customFormat="1" ht="15" x14ac:dyDescent="0.4">
      <c r="A361" s="2" t="s">
        <v>303</v>
      </c>
      <c r="C361" s="2" t="s">
        <v>304</v>
      </c>
    </row>
    <row r="362" spans="1:14" x14ac:dyDescent="0.25">
      <c r="A362" t="str">
        <f t="array" ref="A362:A369">R_CODE&amp;" discontinuity"</f>
        <v>EU discontinuity</v>
      </c>
      <c r="C362" s="39">
        <f t="array" ref="C362:L369">IREFEQDIS*(rgdp_2_per_cap_b/GDP_PER_CAP_FOCUS_0)^IPOWDIS</f>
        <v>14.690809881302748</v>
      </c>
      <c r="D362" s="39">
        <v>14.343366925138895</v>
      </c>
      <c r="E362" s="39">
        <v>14.042560826810288</v>
      </c>
      <c r="F362" s="39">
        <v>13.797465993383881</v>
      </c>
      <c r="G362" s="39">
        <v>13.579998969865533</v>
      </c>
      <c r="H362" s="39">
        <v>13.366598269897468</v>
      </c>
      <c r="I362" s="39">
        <v>12.961773918399929</v>
      </c>
      <c r="J362" s="39">
        <v>12.579658693450888</v>
      </c>
      <c r="K362" s="39">
        <v>10.810268050914669</v>
      </c>
      <c r="L362" s="39">
        <v>10.33055214259314</v>
      </c>
      <c r="M362" s="6"/>
      <c r="N362" s="84" t="s">
        <v>168</v>
      </c>
    </row>
    <row r="363" spans="1:14" x14ac:dyDescent="0.25">
      <c r="A363" t="str">
        <v>US discontinuity</v>
      </c>
      <c r="C363" s="35">
        <v>10.840629252109164</v>
      </c>
      <c r="D363" s="35">
        <v>10.662953945439073</v>
      </c>
      <c r="E363" s="35">
        <v>10.518101025044279</v>
      </c>
      <c r="F363" s="35">
        <v>10.370099685650747</v>
      </c>
      <c r="G363" s="35">
        <v>10.239359727659311</v>
      </c>
      <c r="H363" s="35">
        <v>10.100811354986201</v>
      </c>
      <c r="I363" s="35">
        <v>9.8181400971383272</v>
      </c>
      <c r="J363" s="35">
        <v>9.5328536047119439</v>
      </c>
      <c r="K363" s="35">
        <v>8.3157367194227412</v>
      </c>
      <c r="L363" s="35">
        <v>7.9453746044199161</v>
      </c>
      <c r="M363" s="6"/>
      <c r="N363" s="84" t="s">
        <v>168</v>
      </c>
    </row>
    <row r="364" spans="1:14" x14ac:dyDescent="0.25">
      <c r="A364" t="str">
        <v>OT discontinuity</v>
      </c>
      <c r="C364" s="35">
        <v>11.711056007874948</v>
      </c>
      <c r="D364" s="35">
        <v>11.317121321701347</v>
      </c>
      <c r="E364" s="35">
        <v>10.926870295823829</v>
      </c>
      <c r="F364" s="35">
        <v>10.555504218874363</v>
      </c>
      <c r="G364" s="35">
        <v>10.221842448954924</v>
      </c>
      <c r="H364" s="35">
        <v>9.9119783861130628</v>
      </c>
      <c r="I364" s="35">
        <v>9.3956051910749157</v>
      </c>
      <c r="J364" s="35">
        <v>8.9631361069584319</v>
      </c>
      <c r="K364" s="35">
        <v>7.7273812903417349</v>
      </c>
      <c r="L364" s="35">
        <v>7.3838451408503039</v>
      </c>
      <c r="M364" s="6"/>
      <c r="N364" s="84" t="s">
        <v>168</v>
      </c>
    </row>
    <row r="365" spans="1:14" x14ac:dyDescent="0.25">
      <c r="A365" t="str">
        <v>EE discontinuity</v>
      </c>
      <c r="C365" s="35">
        <v>7.6595422905885933</v>
      </c>
      <c r="D365" s="35">
        <v>7.400194115392182</v>
      </c>
      <c r="E365" s="35">
        <v>7.142853052876009</v>
      </c>
      <c r="F365" s="35">
        <v>6.8984988364194271</v>
      </c>
      <c r="G365" s="35">
        <v>6.6790986722194656</v>
      </c>
      <c r="H365" s="35">
        <v>6.4756229341941118</v>
      </c>
      <c r="I365" s="35">
        <v>6.1366606202164817</v>
      </c>
      <c r="J365" s="35">
        <v>5.8540883854915773</v>
      </c>
      <c r="K365" s="35">
        <v>5.046877280591584</v>
      </c>
      <c r="L365" s="35">
        <v>4.8212920035152251</v>
      </c>
      <c r="M365" s="6"/>
      <c r="N365" s="84" t="s">
        <v>168</v>
      </c>
    </row>
    <row r="366" spans="1:14" x14ac:dyDescent="0.25">
      <c r="A366" t="str">
        <v>CA discontinuity</v>
      </c>
      <c r="C366" s="35">
        <v>15.491395219793944</v>
      </c>
      <c r="D366" s="35">
        <v>14.965714058961694</v>
      </c>
      <c r="E366" s="35">
        <v>14.44075274709364</v>
      </c>
      <c r="F366" s="35">
        <v>13.938476254086712</v>
      </c>
      <c r="G366" s="35">
        <v>13.501469999883309</v>
      </c>
      <c r="H366" s="35">
        <v>13.094900434211297</v>
      </c>
      <c r="I366" s="35">
        <v>12.411019255023811</v>
      </c>
      <c r="J366" s="35">
        <v>11.834520521681814</v>
      </c>
      <c r="K366" s="35">
        <v>10.202615434247278</v>
      </c>
      <c r="L366" s="35">
        <v>9.7495915301411991</v>
      </c>
      <c r="M366" s="6"/>
      <c r="N366" s="84" t="s">
        <v>168</v>
      </c>
    </row>
    <row r="367" spans="1:14" x14ac:dyDescent="0.25">
      <c r="A367" t="str">
        <v>IA discontinuity</v>
      </c>
      <c r="C367" s="35">
        <v>16.81141627082642</v>
      </c>
      <c r="D367" s="35">
        <v>16.240426287152676</v>
      </c>
      <c r="E367" s="35">
        <v>15.670561616210836</v>
      </c>
      <c r="F367" s="35">
        <v>15.118461662089349</v>
      </c>
      <c r="G367" s="35">
        <v>14.658949032408572</v>
      </c>
      <c r="H367" s="35">
        <v>14.227749064593189</v>
      </c>
      <c r="I367" s="35">
        <v>13.495539484341037</v>
      </c>
      <c r="J367" s="35">
        <v>12.864120326634072</v>
      </c>
      <c r="K367" s="35">
        <v>11.085784126036801</v>
      </c>
      <c r="L367" s="35">
        <v>10.596476806707116</v>
      </c>
      <c r="M367" s="6"/>
      <c r="N367" s="84" t="s">
        <v>168</v>
      </c>
    </row>
    <row r="368" spans="1:14" x14ac:dyDescent="0.25">
      <c r="A368" t="str">
        <v>AF discontinuity</v>
      </c>
      <c r="C368" s="35">
        <v>11.698961233610403</v>
      </c>
      <c r="D368" s="35">
        <v>11.302719350789115</v>
      </c>
      <c r="E368" s="35">
        <v>10.906864725040649</v>
      </c>
      <c r="F368" s="35">
        <v>10.523631262774124</v>
      </c>
      <c r="G368" s="35">
        <v>10.201078123311632</v>
      </c>
      <c r="H368" s="35">
        <v>9.9001661221365875</v>
      </c>
      <c r="I368" s="35">
        <v>9.3864792849611565</v>
      </c>
      <c r="J368" s="35">
        <v>8.9449231072924036</v>
      </c>
      <c r="K368" s="35">
        <v>7.7065465466012082</v>
      </c>
      <c r="L368" s="35">
        <v>7.3635833245068509</v>
      </c>
      <c r="M368" s="6"/>
      <c r="N368" s="84" t="s">
        <v>168</v>
      </c>
    </row>
    <row r="369" spans="1:14" x14ac:dyDescent="0.25">
      <c r="A369" t="str">
        <v>LA discontinuity</v>
      </c>
      <c r="C369" s="35">
        <v>10.793840877292739</v>
      </c>
      <c r="D369" s="35">
        <v>10.428769026897857</v>
      </c>
      <c r="E369" s="35">
        <v>10.064104402307063</v>
      </c>
      <c r="F369" s="35">
        <v>9.7127858621123426</v>
      </c>
      <c r="G369" s="35">
        <v>9.4087022283207808</v>
      </c>
      <c r="H369" s="35">
        <v>9.1267544273398045</v>
      </c>
      <c r="I369" s="35">
        <v>8.6513910767633266</v>
      </c>
      <c r="J369" s="35">
        <v>8.2498049454809461</v>
      </c>
      <c r="K369" s="35">
        <v>7.110881266076948</v>
      </c>
      <c r="L369" s="35">
        <v>6.7940039710516311</v>
      </c>
      <c r="M369" s="6"/>
      <c r="N369" s="84" t="s">
        <v>168</v>
      </c>
    </row>
    <row r="370" spans="1:14" s="2" customFormat="1" ht="15" x14ac:dyDescent="0.4">
      <c r="A370" s="2" t="s">
        <v>275</v>
      </c>
      <c r="C370" s="2" t="s">
        <v>305</v>
      </c>
    </row>
    <row r="371" spans="1:14" x14ac:dyDescent="0.25">
      <c r="A371" t="str">
        <f t="array" ref="A371:A378">R_CODE&amp;" discontinuity"</f>
        <v>EU discontinuity</v>
      </c>
      <c r="C371" s="39">
        <f t="array" ref="C371:C378">occur_dis_1_b*(1-EXPFDIS_1)*igdpeqdis_1_b</f>
        <v>0</v>
      </c>
      <c r="D371" s="39">
        <f t="array" ref="D371:L378">igdpdis_b+occur_dis_not_1_b*(1-EXPFDIS_NOT_1)*(igdpeqdis_not_1_b-igdpdis_b)</f>
        <v>0</v>
      </c>
      <c r="E371" s="39">
        <v>0</v>
      </c>
      <c r="F371" s="39">
        <v>0</v>
      </c>
      <c r="G371" s="39">
        <v>0</v>
      </c>
      <c r="H371" s="39">
        <v>0</v>
      </c>
      <c r="I371" s="39">
        <v>0</v>
      </c>
      <c r="J371" s="39">
        <v>0</v>
      </c>
      <c r="K371" s="39">
        <v>0</v>
      </c>
      <c r="L371" s="39">
        <v>0</v>
      </c>
      <c r="M371" s="6"/>
      <c r="N371" s="84" t="s">
        <v>168</v>
      </c>
    </row>
    <row r="372" spans="1:14" x14ac:dyDescent="0.25">
      <c r="A372" t="str">
        <v>US discontinuity</v>
      </c>
      <c r="C372" s="35">
        <v>0</v>
      </c>
      <c r="D372" s="35">
        <v>0</v>
      </c>
      <c r="E372" s="35">
        <v>0</v>
      </c>
      <c r="F372" s="35">
        <v>0</v>
      </c>
      <c r="G372" s="35">
        <v>0</v>
      </c>
      <c r="H372" s="35">
        <v>0</v>
      </c>
      <c r="I372" s="35">
        <v>0</v>
      </c>
      <c r="J372" s="35">
        <v>0</v>
      </c>
      <c r="K372" s="35">
        <v>0</v>
      </c>
      <c r="L372" s="35">
        <v>0</v>
      </c>
      <c r="M372" s="6"/>
      <c r="N372" s="84" t="s">
        <v>168</v>
      </c>
    </row>
    <row r="373" spans="1:14" x14ac:dyDescent="0.25">
      <c r="A373" t="str">
        <v>OT discontinuity</v>
      </c>
      <c r="C373" s="35">
        <v>0</v>
      </c>
      <c r="D373" s="35">
        <v>0</v>
      </c>
      <c r="E373" s="35">
        <v>0</v>
      </c>
      <c r="F373" s="35">
        <v>0</v>
      </c>
      <c r="G373" s="35">
        <v>0</v>
      </c>
      <c r="H373" s="35">
        <v>0</v>
      </c>
      <c r="I373" s="35">
        <v>0</v>
      </c>
      <c r="J373" s="35">
        <v>0</v>
      </c>
      <c r="K373" s="35">
        <v>0</v>
      </c>
      <c r="L373" s="35">
        <v>0</v>
      </c>
      <c r="M373" s="6"/>
      <c r="N373" s="84" t="s">
        <v>168</v>
      </c>
    </row>
    <row r="374" spans="1:14" x14ac:dyDescent="0.25">
      <c r="A374" t="str">
        <v>EE discontinuity</v>
      </c>
      <c r="C374" s="35">
        <v>0</v>
      </c>
      <c r="D374" s="35">
        <v>0</v>
      </c>
      <c r="E374" s="35">
        <v>0</v>
      </c>
      <c r="F374" s="35">
        <v>0</v>
      </c>
      <c r="G374" s="35">
        <v>0</v>
      </c>
      <c r="H374" s="35">
        <v>0</v>
      </c>
      <c r="I374" s="35">
        <v>0</v>
      </c>
      <c r="J374" s="35">
        <v>0</v>
      </c>
      <c r="K374" s="35">
        <v>0</v>
      </c>
      <c r="L374" s="35">
        <v>0</v>
      </c>
      <c r="M374" s="6"/>
      <c r="N374" s="84" t="s">
        <v>168</v>
      </c>
    </row>
    <row r="375" spans="1:14" x14ac:dyDescent="0.25">
      <c r="A375" t="str">
        <v>CA discontinuity</v>
      </c>
      <c r="C375" s="35">
        <v>0</v>
      </c>
      <c r="D375" s="35">
        <v>0</v>
      </c>
      <c r="E375" s="35">
        <v>0</v>
      </c>
      <c r="F375" s="35">
        <v>0</v>
      </c>
      <c r="G375" s="35">
        <v>0</v>
      </c>
      <c r="H375" s="35">
        <v>0</v>
      </c>
      <c r="I375" s="35">
        <v>0</v>
      </c>
      <c r="J375" s="35">
        <v>0</v>
      </c>
      <c r="K375" s="35">
        <v>0</v>
      </c>
      <c r="L375" s="35">
        <v>0</v>
      </c>
      <c r="M375" s="6"/>
      <c r="N375" s="84" t="s">
        <v>168</v>
      </c>
    </row>
    <row r="376" spans="1:14" x14ac:dyDescent="0.25">
      <c r="A376" t="str">
        <v>IA discontinuity</v>
      </c>
      <c r="C376" s="35">
        <v>0</v>
      </c>
      <c r="D376" s="35">
        <v>0</v>
      </c>
      <c r="E376" s="35">
        <v>0</v>
      </c>
      <c r="F376" s="35">
        <v>0</v>
      </c>
      <c r="G376" s="35">
        <v>0</v>
      </c>
      <c r="H376" s="35">
        <v>0</v>
      </c>
      <c r="I376" s="35">
        <v>0</v>
      </c>
      <c r="J376" s="35">
        <v>0</v>
      </c>
      <c r="K376" s="35">
        <v>0</v>
      </c>
      <c r="L376" s="35">
        <v>0</v>
      </c>
      <c r="M376" s="6"/>
      <c r="N376" s="84" t="s">
        <v>168</v>
      </c>
    </row>
    <row r="377" spans="1:14" x14ac:dyDescent="0.25">
      <c r="A377" t="str">
        <v>AF discontinuity</v>
      </c>
      <c r="C377" s="35">
        <v>0</v>
      </c>
      <c r="D377" s="35">
        <v>0</v>
      </c>
      <c r="E377" s="35">
        <v>0</v>
      </c>
      <c r="F377" s="35">
        <v>0</v>
      </c>
      <c r="G377" s="35">
        <v>0</v>
      </c>
      <c r="H377" s="35">
        <v>0</v>
      </c>
      <c r="I377" s="35">
        <v>0</v>
      </c>
      <c r="J377" s="35">
        <v>0</v>
      </c>
      <c r="K377" s="35">
        <v>0</v>
      </c>
      <c r="L377" s="35">
        <v>0</v>
      </c>
      <c r="M377" s="6"/>
      <c r="N377" s="84" t="s">
        <v>168</v>
      </c>
    </row>
    <row r="378" spans="1:14" x14ac:dyDescent="0.25">
      <c r="A378" t="str">
        <v>LA discontinuity</v>
      </c>
      <c r="C378" s="35">
        <v>0</v>
      </c>
      <c r="D378" s="35">
        <v>0</v>
      </c>
      <c r="E378" s="35">
        <v>0</v>
      </c>
      <c r="F378" s="35">
        <v>0</v>
      </c>
      <c r="G378" s="35">
        <v>0</v>
      </c>
      <c r="H378" s="35">
        <v>0</v>
      </c>
      <c r="I378" s="35">
        <v>0</v>
      </c>
      <c r="J378" s="35">
        <v>0</v>
      </c>
      <c r="K378" s="35">
        <v>0</v>
      </c>
      <c r="L378" s="35">
        <v>0</v>
      </c>
      <c r="M378" s="6"/>
      <c r="N378" s="84" t="s">
        <v>168</v>
      </c>
    </row>
    <row r="379" spans="1:14" s="2" customFormat="1" ht="15" x14ac:dyDescent="0.4">
      <c r="A379" s="2" t="s">
        <v>279</v>
      </c>
      <c r="C379" s="2" t="s">
        <v>307</v>
      </c>
    </row>
    <row r="380" spans="1:14" x14ac:dyDescent="0.25">
      <c r="A380" t="str">
        <f t="array" ref="A380:A387">R_CODE&amp;" discontinuity"</f>
        <v>EU discontinuity</v>
      </c>
      <c r="C380" s="39">
        <f t="array" ref="C380:L387">IF(igdpdis_b&lt;ISATG,igdpdis_b,ISATG+(100-SAVE-ISATG)*((igdpdis_b-ISATG)/((100-SAVE-ISATG)+(igdpdis_b-ISATG))))</f>
        <v>0</v>
      </c>
      <c r="D380" s="39">
        <v>0</v>
      </c>
      <c r="E380" s="39">
        <v>0</v>
      </c>
      <c r="F380" s="39">
        <v>0</v>
      </c>
      <c r="G380" s="39">
        <v>0</v>
      </c>
      <c r="H380" s="39">
        <v>0</v>
      </c>
      <c r="I380" s="39">
        <v>0</v>
      </c>
      <c r="J380" s="39">
        <v>0</v>
      </c>
      <c r="K380" s="39">
        <v>0</v>
      </c>
      <c r="L380" s="39">
        <v>0</v>
      </c>
      <c r="M380" s="6"/>
      <c r="N380" s="84" t="s">
        <v>168</v>
      </c>
    </row>
    <row r="381" spans="1:14" x14ac:dyDescent="0.25">
      <c r="A381" t="str">
        <v>US discontinuity</v>
      </c>
      <c r="C381" s="35">
        <v>0</v>
      </c>
      <c r="D381" s="35">
        <v>0</v>
      </c>
      <c r="E381" s="35">
        <v>0</v>
      </c>
      <c r="F381" s="35">
        <v>0</v>
      </c>
      <c r="G381" s="35">
        <v>0</v>
      </c>
      <c r="H381" s="35">
        <v>0</v>
      </c>
      <c r="I381" s="35">
        <v>0</v>
      </c>
      <c r="J381" s="35">
        <v>0</v>
      </c>
      <c r="K381" s="35">
        <v>0</v>
      </c>
      <c r="L381" s="35">
        <v>0</v>
      </c>
      <c r="M381" s="6"/>
      <c r="N381" s="84" t="s">
        <v>168</v>
      </c>
    </row>
    <row r="382" spans="1:14" x14ac:dyDescent="0.25">
      <c r="A382" t="str">
        <v>OT discontinuity</v>
      </c>
      <c r="C382" s="35">
        <v>0</v>
      </c>
      <c r="D382" s="35">
        <v>0</v>
      </c>
      <c r="E382" s="35">
        <v>0</v>
      </c>
      <c r="F382" s="35">
        <v>0</v>
      </c>
      <c r="G382" s="35">
        <v>0</v>
      </c>
      <c r="H382" s="35">
        <v>0</v>
      </c>
      <c r="I382" s="35">
        <v>0</v>
      </c>
      <c r="J382" s="35">
        <v>0</v>
      </c>
      <c r="K382" s="35">
        <v>0</v>
      </c>
      <c r="L382" s="35">
        <v>0</v>
      </c>
      <c r="M382" s="6"/>
      <c r="N382" s="84" t="s">
        <v>168</v>
      </c>
    </row>
    <row r="383" spans="1:14" x14ac:dyDescent="0.25">
      <c r="A383" t="str">
        <v>EE discontinuity</v>
      </c>
      <c r="C383" s="35">
        <v>0</v>
      </c>
      <c r="D383" s="35">
        <v>0</v>
      </c>
      <c r="E383" s="35">
        <v>0</v>
      </c>
      <c r="F383" s="35">
        <v>0</v>
      </c>
      <c r="G383" s="35">
        <v>0</v>
      </c>
      <c r="H383" s="35">
        <v>0</v>
      </c>
      <c r="I383" s="35">
        <v>0</v>
      </c>
      <c r="J383" s="35">
        <v>0</v>
      </c>
      <c r="K383" s="35">
        <v>0</v>
      </c>
      <c r="L383" s="35">
        <v>0</v>
      </c>
      <c r="M383" s="6"/>
      <c r="N383" s="84" t="s">
        <v>168</v>
      </c>
    </row>
    <row r="384" spans="1:14" x14ac:dyDescent="0.25">
      <c r="A384" t="str">
        <v>CA discontinuity</v>
      </c>
      <c r="C384" s="35">
        <v>0</v>
      </c>
      <c r="D384" s="35">
        <v>0</v>
      </c>
      <c r="E384" s="35">
        <v>0</v>
      </c>
      <c r="F384" s="35">
        <v>0</v>
      </c>
      <c r="G384" s="35">
        <v>0</v>
      </c>
      <c r="H384" s="35">
        <v>0</v>
      </c>
      <c r="I384" s="35">
        <v>0</v>
      </c>
      <c r="J384" s="35">
        <v>0</v>
      </c>
      <c r="K384" s="35">
        <v>0</v>
      </c>
      <c r="L384" s="35">
        <v>0</v>
      </c>
      <c r="M384" s="6"/>
      <c r="N384" s="84" t="s">
        <v>168</v>
      </c>
    </row>
    <row r="385" spans="1:15" x14ac:dyDescent="0.25">
      <c r="A385" t="str">
        <v>IA discontinuity</v>
      </c>
      <c r="C385" s="35">
        <v>0</v>
      </c>
      <c r="D385" s="35">
        <v>0</v>
      </c>
      <c r="E385" s="35">
        <v>0</v>
      </c>
      <c r="F385" s="35">
        <v>0</v>
      </c>
      <c r="G385" s="35">
        <v>0</v>
      </c>
      <c r="H385" s="35">
        <v>0</v>
      </c>
      <c r="I385" s="35">
        <v>0</v>
      </c>
      <c r="J385" s="35">
        <v>0</v>
      </c>
      <c r="K385" s="35">
        <v>0</v>
      </c>
      <c r="L385" s="35">
        <v>0</v>
      </c>
      <c r="M385" s="6"/>
      <c r="N385" s="84" t="s">
        <v>168</v>
      </c>
    </row>
    <row r="386" spans="1:15" x14ac:dyDescent="0.25">
      <c r="A386" t="str">
        <v>AF discontinuity</v>
      </c>
      <c r="C386" s="35">
        <v>0</v>
      </c>
      <c r="D386" s="35">
        <v>0</v>
      </c>
      <c r="E386" s="35">
        <v>0</v>
      </c>
      <c r="F386" s="35">
        <v>0</v>
      </c>
      <c r="G386" s="35">
        <v>0</v>
      </c>
      <c r="H386" s="35">
        <v>0</v>
      </c>
      <c r="I386" s="35">
        <v>0</v>
      </c>
      <c r="J386" s="35">
        <v>0</v>
      </c>
      <c r="K386" s="35">
        <v>0</v>
      </c>
      <c r="L386" s="35">
        <v>0</v>
      </c>
      <c r="M386" s="6"/>
      <c r="N386" s="84" t="s">
        <v>168</v>
      </c>
    </row>
    <row r="387" spans="1:15" x14ac:dyDescent="0.25">
      <c r="A387" t="str">
        <v>LA discontinuity</v>
      </c>
      <c r="C387" s="35">
        <v>0</v>
      </c>
      <c r="D387" s="35">
        <v>0</v>
      </c>
      <c r="E387" s="35">
        <v>0</v>
      </c>
      <c r="F387" s="35">
        <v>0</v>
      </c>
      <c r="G387" s="35">
        <v>0</v>
      </c>
      <c r="H387" s="35">
        <v>0</v>
      </c>
      <c r="I387" s="35">
        <v>0</v>
      </c>
      <c r="J387" s="35">
        <v>0</v>
      </c>
      <c r="K387" s="35">
        <v>0</v>
      </c>
      <c r="L387" s="35">
        <v>0</v>
      </c>
      <c r="M387" s="6"/>
      <c r="N387" s="84" t="s">
        <v>168</v>
      </c>
    </row>
    <row r="388" spans="1:15" s="2" customFormat="1" ht="15" x14ac:dyDescent="0.4">
      <c r="A388" s="2" t="s">
        <v>280</v>
      </c>
      <c r="C388" s="2" t="s">
        <v>308</v>
      </c>
    </row>
    <row r="389" spans="1:15" x14ac:dyDescent="0.25">
      <c r="A389" t="str">
        <f t="array" ref="A389:A396">R_CODE&amp;" discontinuity"</f>
        <v>EU discontinuity</v>
      </c>
      <c r="C389" s="39">
        <f t="array" ref="C389:L396">(isatdis_b/100)*rgdp_2_per_cap_b</f>
        <v>0</v>
      </c>
      <c r="D389" s="39">
        <v>0</v>
      </c>
      <c r="E389" s="39">
        <v>0</v>
      </c>
      <c r="F389" s="39">
        <v>0</v>
      </c>
      <c r="G389" s="39">
        <v>0</v>
      </c>
      <c r="H389" s="39">
        <v>0</v>
      </c>
      <c r="I389" s="39">
        <v>0</v>
      </c>
      <c r="J389" s="39">
        <v>0</v>
      </c>
      <c r="K389" s="39">
        <v>0</v>
      </c>
      <c r="L389" s="39">
        <v>0</v>
      </c>
      <c r="M389" s="6"/>
      <c r="N389" s="1" t="str">
        <f t="shared" ref="N389:N396" si="18">CURRENCY_NAME&amp;"/"&amp;POP_UNIT_NAME</f>
        <v>$million/million</v>
      </c>
      <c r="O389" s="1"/>
    </row>
    <row r="390" spans="1:15" x14ac:dyDescent="0.25">
      <c r="A390" t="str">
        <v>US discontinuity</v>
      </c>
      <c r="C390" s="35">
        <v>0</v>
      </c>
      <c r="D390" s="35">
        <v>0</v>
      </c>
      <c r="E390" s="35">
        <v>0</v>
      </c>
      <c r="F390" s="35">
        <v>0</v>
      </c>
      <c r="G390" s="35">
        <v>0</v>
      </c>
      <c r="H390" s="35">
        <v>0</v>
      </c>
      <c r="I390" s="35">
        <v>0</v>
      </c>
      <c r="J390" s="35">
        <v>0</v>
      </c>
      <c r="K390" s="35">
        <v>0</v>
      </c>
      <c r="L390" s="35">
        <v>0</v>
      </c>
      <c r="M390" s="6"/>
      <c r="N390" s="1" t="str">
        <f t="shared" si="18"/>
        <v>$million/million</v>
      </c>
      <c r="O390" s="1"/>
    </row>
    <row r="391" spans="1:15" x14ac:dyDescent="0.25">
      <c r="A391" t="str">
        <v>OT discontinuity</v>
      </c>
      <c r="C391" s="35">
        <v>0</v>
      </c>
      <c r="D391" s="35">
        <v>0</v>
      </c>
      <c r="E391" s="35">
        <v>0</v>
      </c>
      <c r="F391" s="35">
        <v>0</v>
      </c>
      <c r="G391" s="35">
        <v>0</v>
      </c>
      <c r="H391" s="35">
        <v>0</v>
      </c>
      <c r="I391" s="35">
        <v>0</v>
      </c>
      <c r="J391" s="35">
        <v>0</v>
      </c>
      <c r="K391" s="35">
        <v>0</v>
      </c>
      <c r="L391" s="35">
        <v>0</v>
      </c>
      <c r="M391" s="6"/>
      <c r="N391" s="1" t="str">
        <f t="shared" si="18"/>
        <v>$million/million</v>
      </c>
      <c r="O391" s="1"/>
    </row>
    <row r="392" spans="1:15" x14ac:dyDescent="0.25">
      <c r="A392" t="str">
        <v>EE discontinuity</v>
      </c>
      <c r="C392" s="35">
        <v>0</v>
      </c>
      <c r="D392" s="35">
        <v>0</v>
      </c>
      <c r="E392" s="35">
        <v>0</v>
      </c>
      <c r="F392" s="35">
        <v>0</v>
      </c>
      <c r="G392" s="35">
        <v>0</v>
      </c>
      <c r="H392" s="35">
        <v>0</v>
      </c>
      <c r="I392" s="35">
        <v>0</v>
      </c>
      <c r="J392" s="35">
        <v>0</v>
      </c>
      <c r="K392" s="35">
        <v>0</v>
      </c>
      <c r="L392" s="35">
        <v>0</v>
      </c>
      <c r="M392" s="6"/>
      <c r="N392" s="1" t="str">
        <f t="shared" si="18"/>
        <v>$million/million</v>
      </c>
      <c r="O392" s="1"/>
    </row>
    <row r="393" spans="1:15" x14ac:dyDescent="0.25">
      <c r="A393" t="str">
        <v>CA discontinuity</v>
      </c>
      <c r="C393" s="35">
        <v>0</v>
      </c>
      <c r="D393" s="35">
        <v>0</v>
      </c>
      <c r="E393" s="35">
        <v>0</v>
      </c>
      <c r="F393" s="35">
        <v>0</v>
      </c>
      <c r="G393" s="35">
        <v>0</v>
      </c>
      <c r="H393" s="35">
        <v>0</v>
      </c>
      <c r="I393" s="35">
        <v>0</v>
      </c>
      <c r="J393" s="35">
        <v>0</v>
      </c>
      <c r="K393" s="35">
        <v>0</v>
      </c>
      <c r="L393" s="35">
        <v>0</v>
      </c>
      <c r="M393" s="6"/>
      <c r="N393" s="1" t="str">
        <f t="shared" si="18"/>
        <v>$million/million</v>
      </c>
      <c r="O393" s="1"/>
    </row>
    <row r="394" spans="1:15" x14ac:dyDescent="0.25">
      <c r="A394" t="str">
        <v>IA discontinuity</v>
      </c>
      <c r="C394" s="35">
        <v>0</v>
      </c>
      <c r="D394" s="35">
        <v>0</v>
      </c>
      <c r="E394" s="35">
        <v>0</v>
      </c>
      <c r="F394" s="35">
        <v>0</v>
      </c>
      <c r="G394" s="35">
        <v>0</v>
      </c>
      <c r="H394" s="35">
        <v>0</v>
      </c>
      <c r="I394" s="35">
        <v>0</v>
      </c>
      <c r="J394" s="35">
        <v>0</v>
      </c>
      <c r="K394" s="35">
        <v>0</v>
      </c>
      <c r="L394" s="35">
        <v>0</v>
      </c>
      <c r="M394" s="6"/>
      <c r="N394" s="1" t="str">
        <f t="shared" si="18"/>
        <v>$million/million</v>
      </c>
      <c r="O394" s="1"/>
    </row>
    <row r="395" spans="1:15" x14ac:dyDescent="0.25">
      <c r="A395" t="str">
        <v>AF discontinuity</v>
      </c>
      <c r="C395" s="35">
        <v>0</v>
      </c>
      <c r="D395" s="35">
        <v>0</v>
      </c>
      <c r="E395" s="35">
        <v>0</v>
      </c>
      <c r="F395" s="35">
        <v>0</v>
      </c>
      <c r="G395" s="35">
        <v>0</v>
      </c>
      <c r="H395" s="35">
        <v>0</v>
      </c>
      <c r="I395" s="35">
        <v>0</v>
      </c>
      <c r="J395" s="35">
        <v>0</v>
      </c>
      <c r="K395" s="35">
        <v>0</v>
      </c>
      <c r="L395" s="35">
        <v>0</v>
      </c>
      <c r="M395" s="6"/>
      <c r="N395" s="1" t="str">
        <f t="shared" si="18"/>
        <v>$million/million</v>
      </c>
      <c r="O395" s="1"/>
    </row>
    <row r="396" spans="1:15" x14ac:dyDescent="0.25">
      <c r="A396" t="str">
        <v>LA discontinuity</v>
      </c>
      <c r="C396" s="35">
        <v>0</v>
      </c>
      <c r="D396" s="35">
        <v>0</v>
      </c>
      <c r="E396" s="35">
        <v>0</v>
      </c>
      <c r="F396" s="35">
        <v>0</v>
      </c>
      <c r="G396" s="35">
        <v>0</v>
      </c>
      <c r="H396" s="35">
        <v>0</v>
      </c>
      <c r="I396" s="35">
        <v>0</v>
      </c>
      <c r="J396" s="35">
        <v>0</v>
      </c>
      <c r="K396" s="35">
        <v>0</v>
      </c>
      <c r="L396" s="35">
        <v>0</v>
      </c>
      <c r="M396" s="6"/>
      <c r="N396" s="1" t="str">
        <f t="shared" si="18"/>
        <v>$million/million</v>
      </c>
      <c r="O396" s="1"/>
    </row>
    <row r="397" spans="1:15" s="2" customFormat="1" ht="15" x14ac:dyDescent="0.4">
      <c r="A397" s="2" t="s">
        <v>282</v>
      </c>
      <c r="C397" s="2" t="s">
        <v>310</v>
      </c>
    </row>
    <row r="398" spans="1:15" x14ac:dyDescent="0.25">
      <c r="A398" t="str">
        <f t="array" ref="A398:A405">R_CODE&amp;" discontinuity"</f>
        <v>EU discontinuity</v>
      </c>
      <c r="C398" s="39">
        <f t="array" ref="C398:L405">rcons_2_per_cap_b-isatdis_per_cap_b</f>
        <v>18235.493179131096</v>
      </c>
      <c r="D398" s="39">
        <v>21821.130067488106</v>
      </c>
      <c r="E398" s="39">
        <v>25580.745586389403</v>
      </c>
      <c r="F398" s="39">
        <v>29192.114852898903</v>
      </c>
      <c r="G398" s="39">
        <v>32886.111433255443</v>
      </c>
      <c r="H398" s="39">
        <v>37034.273912978439</v>
      </c>
      <c r="I398" s="39">
        <v>46642.007616640833</v>
      </c>
      <c r="J398" s="39">
        <v>58377.31489661806</v>
      </c>
      <c r="K398" s="39">
        <v>181964.67264521372</v>
      </c>
      <c r="L398" s="39">
        <v>255760.83782683694</v>
      </c>
      <c r="M398" s="6"/>
      <c r="N398" s="1" t="str">
        <f t="shared" ref="N398:N405" si="19">CURRENCY_NAME&amp;"/"&amp;POP_UNIT_NAME</f>
        <v>$million/million</v>
      </c>
      <c r="O398" s="1"/>
    </row>
    <row r="399" spans="1:15" x14ac:dyDescent="0.25">
      <c r="A399" t="str">
        <v>US discontinuity</v>
      </c>
      <c r="C399" s="35">
        <v>33421.563664267233</v>
      </c>
      <c r="D399" s="35">
        <v>37831.534147022699</v>
      </c>
      <c r="E399" s="35">
        <v>41918.469752624093</v>
      </c>
      <c r="F399" s="35">
        <v>46619.055456110123</v>
      </c>
      <c r="G399" s="35">
        <v>51273.08487100518</v>
      </c>
      <c r="H399" s="35">
        <v>56788.906020437826</v>
      </c>
      <c r="I399" s="35">
        <v>70261.314026875727</v>
      </c>
      <c r="J399" s="35">
        <v>87652.342436001767</v>
      </c>
      <c r="K399" s="35">
        <v>244163.06753758309</v>
      </c>
      <c r="L399" s="35">
        <v>343619.35623811214</v>
      </c>
      <c r="M399" s="6"/>
      <c r="N399" s="1" t="str">
        <f t="shared" si="19"/>
        <v>$million/million</v>
      </c>
      <c r="O399" s="1"/>
    </row>
    <row r="400" spans="1:15" x14ac:dyDescent="0.25">
      <c r="A400" t="str">
        <v>OT discontinuity</v>
      </c>
      <c r="C400" s="35">
        <v>18726.862383455154</v>
      </c>
      <c r="D400" s="35">
        <v>24205.589659002973</v>
      </c>
      <c r="E400" s="35">
        <v>31493.218361058411</v>
      </c>
      <c r="F400" s="35">
        <v>40817.187508919465</v>
      </c>
      <c r="G400" s="35">
        <v>51935.770965926211</v>
      </c>
      <c r="H400" s="35">
        <v>65423.3617529861</v>
      </c>
      <c r="I400" s="35">
        <v>97723.668155836524</v>
      </c>
      <c r="J400" s="35">
        <v>139150.73968313963</v>
      </c>
      <c r="K400" s="35">
        <v>423343.49295635725</v>
      </c>
      <c r="L400" s="35">
        <v>595409.97462533484</v>
      </c>
      <c r="M400" s="6"/>
      <c r="N400" s="1" t="str">
        <f t="shared" si="19"/>
        <v>$million/million</v>
      </c>
      <c r="O400" s="1"/>
    </row>
    <row r="401" spans="1:15" x14ac:dyDescent="0.25">
      <c r="A401" t="str">
        <v>EE discontinuity</v>
      </c>
      <c r="C401" s="35">
        <v>2498.5574997805988</v>
      </c>
      <c r="D401" s="35">
        <v>3235.0958080571972</v>
      </c>
      <c r="E401" s="35">
        <v>4218.6414837033626</v>
      </c>
      <c r="F401" s="35">
        <v>5477.1044229959862</v>
      </c>
      <c r="G401" s="35">
        <v>6979.5358180073372</v>
      </c>
      <c r="H401" s="35">
        <v>8802.3542475964477</v>
      </c>
      <c r="I401" s="35">
        <v>13174.061677194552</v>
      </c>
      <c r="J401" s="35">
        <v>18761.429370649534</v>
      </c>
      <c r="K401" s="35">
        <v>57087.352445865727</v>
      </c>
      <c r="L401" s="35">
        <v>80442.344625662809</v>
      </c>
      <c r="M401" s="6"/>
      <c r="N401" s="1" t="str">
        <f t="shared" si="19"/>
        <v>$million/million</v>
      </c>
      <c r="O401" s="1"/>
    </row>
    <row r="402" spans="1:15" x14ac:dyDescent="0.25">
      <c r="A402" t="str">
        <v>CA discontinuity</v>
      </c>
      <c r="C402" s="35">
        <v>2297.5049167973011</v>
      </c>
      <c r="D402" s="35">
        <v>2976.4913860122952</v>
      </c>
      <c r="E402" s="35">
        <v>3890.5563768657235</v>
      </c>
      <c r="F402" s="35">
        <v>5073.6523669677863</v>
      </c>
      <c r="G402" s="35">
        <v>6442.8428082789305</v>
      </c>
      <c r="H402" s="35">
        <v>8103.4311941761207</v>
      </c>
      <c r="I402" s="35">
        <v>12116.566867367967</v>
      </c>
      <c r="J402" s="35">
        <v>17310.334128270541</v>
      </c>
      <c r="K402" s="35">
        <v>52674.33668388857</v>
      </c>
      <c r="L402" s="35">
        <v>74052.086168639755</v>
      </c>
      <c r="M402" s="6"/>
      <c r="N402" s="1" t="str">
        <f t="shared" si="19"/>
        <v>$million/million</v>
      </c>
      <c r="O402" s="1"/>
    </row>
    <row r="403" spans="1:15" x14ac:dyDescent="0.25">
      <c r="A403" t="str">
        <v>IA discontinuity</v>
      </c>
      <c r="C403" s="35">
        <v>1244.2372212501532</v>
      </c>
      <c r="D403" s="35">
        <v>1612.3330963899277</v>
      </c>
      <c r="E403" s="35">
        <v>2107.6633476926168</v>
      </c>
      <c r="F403" s="35">
        <v>2758.217004083444</v>
      </c>
      <c r="G403" s="35">
        <v>3476.6757821088995</v>
      </c>
      <c r="H403" s="35">
        <v>4349.2460422164404</v>
      </c>
      <c r="I403" s="35">
        <v>6464.1076085767891</v>
      </c>
      <c r="J403" s="35">
        <v>9259.4406287342081</v>
      </c>
      <c r="K403" s="35">
        <v>28260.986929532308</v>
      </c>
      <c r="L403" s="35">
        <v>39648.272064819015</v>
      </c>
      <c r="M403" s="6"/>
      <c r="N403" s="1" t="str">
        <f t="shared" si="19"/>
        <v>$million/million</v>
      </c>
      <c r="O403" s="1"/>
    </row>
    <row r="404" spans="1:15" x14ac:dyDescent="0.25">
      <c r="A404" t="str">
        <v>AF discontinuity</v>
      </c>
      <c r="C404" s="35">
        <v>2181.6755528704693</v>
      </c>
      <c r="D404" s="35">
        <v>2825.0285969473525</v>
      </c>
      <c r="E404" s="35">
        <v>3691.0121833165058</v>
      </c>
      <c r="F404" s="35">
        <v>4826.7272786420153</v>
      </c>
      <c r="G404" s="35">
        <v>6096.0620316690411</v>
      </c>
      <c r="H404" s="35">
        <v>7630.9096975047551</v>
      </c>
      <c r="I404" s="35">
        <v>11379.534163330638</v>
      </c>
      <c r="J404" s="35">
        <v>16333.164729575754</v>
      </c>
      <c r="K404" s="35">
        <v>49939.752501063034</v>
      </c>
      <c r="L404" s="35">
        <v>70262.870418001723</v>
      </c>
      <c r="M404" s="6"/>
      <c r="N404" s="1" t="str">
        <f t="shared" si="19"/>
        <v>$million/million</v>
      </c>
      <c r="O404" s="1"/>
    </row>
    <row r="405" spans="1:15" x14ac:dyDescent="0.25">
      <c r="A405" t="str">
        <v>LA discontinuity</v>
      </c>
      <c r="C405" s="35">
        <v>3990.9367376347045</v>
      </c>
      <c r="D405" s="35">
        <v>5165.9126937480642</v>
      </c>
      <c r="E405" s="35">
        <v>6746.5451154336397</v>
      </c>
      <c r="F405" s="35">
        <v>8806.7633151830269</v>
      </c>
      <c r="G405" s="35">
        <v>11179.490199943129</v>
      </c>
      <c r="H405" s="35">
        <v>14045.014456730567</v>
      </c>
      <c r="I405" s="35">
        <v>20977.336620836628</v>
      </c>
      <c r="J405" s="35">
        <v>29961.760371902223</v>
      </c>
      <c r="K405" s="35">
        <v>91299.673936013656</v>
      </c>
      <c r="L405" s="35">
        <v>128514.30051088198</v>
      </c>
      <c r="M405" s="6"/>
      <c r="N405" s="1" t="str">
        <f t="shared" si="19"/>
        <v>$million/million</v>
      </c>
      <c r="O405" s="1"/>
    </row>
    <row r="406" spans="1:15" s="2" customFormat="1" ht="15" x14ac:dyDescent="0.4">
      <c r="A406" s="2" t="s">
        <v>284</v>
      </c>
      <c r="C406" s="2" t="s">
        <v>309</v>
      </c>
    </row>
    <row r="407" spans="1:15" x14ac:dyDescent="0.25">
      <c r="A407" t="str">
        <f t="array" ref="A407:A414">R_CODE&amp;" discontinuity"</f>
        <v>EU discontinuity</v>
      </c>
      <c r="C407" s="39">
        <f t="array" ref="C407:L414" xml:space="preserve"> rconsdis_per_cap_b/(1-SAVE/100)</f>
        <v>21453.521387213055</v>
      </c>
      <c r="D407" s="39">
        <v>25671.917726456595</v>
      </c>
      <c r="E407" s="39">
        <v>30094.994807516945</v>
      </c>
      <c r="F407" s="39">
        <v>34343.664532822237</v>
      </c>
      <c r="G407" s="39">
        <v>38689.542862653463</v>
      </c>
      <c r="H407" s="39">
        <v>43569.734015268754</v>
      </c>
      <c r="I407" s="39">
        <v>54872.950137224507</v>
      </c>
      <c r="J407" s="39">
        <v>68679.193996021248</v>
      </c>
      <c r="K407" s="39">
        <v>214076.08546495732</v>
      </c>
      <c r="L407" s="39">
        <v>300895.10332569055</v>
      </c>
      <c r="M407" s="6"/>
      <c r="N407" s="1" t="str">
        <f t="shared" ref="N407:N414" si="20">CURRENCY_NAME&amp;"/"&amp;POP_UNIT_NAME</f>
        <v>$million/million</v>
      </c>
      <c r="O407" s="1"/>
    </row>
    <row r="408" spans="1:15" x14ac:dyDescent="0.25">
      <c r="A408" t="str">
        <v>US discontinuity</v>
      </c>
      <c r="C408" s="35">
        <v>39319.486663843803</v>
      </c>
      <c r="D408" s="35">
        <v>44507.687231791409</v>
      </c>
      <c r="E408" s="35">
        <v>49315.846767793053</v>
      </c>
      <c r="F408" s="35">
        <v>54845.947595423677</v>
      </c>
      <c r="G408" s="35">
        <v>60321.276318829623</v>
      </c>
      <c r="H408" s="35">
        <v>66810.477671103319</v>
      </c>
      <c r="I408" s="35">
        <v>82660.369443383213</v>
      </c>
      <c r="J408" s="35">
        <v>103120.40286588443</v>
      </c>
      <c r="K408" s="35">
        <v>287250.66769127426</v>
      </c>
      <c r="L408" s="35">
        <v>404258.06616248487</v>
      </c>
      <c r="M408" s="6"/>
      <c r="N408" s="1" t="str">
        <f t="shared" si="20"/>
        <v>$million/million</v>
      </c>
      <c r="O408" s="1"/>
    </row>
    <row r="409" spans="1:15" x14ac:dyDescent="0.25">
      <c r="A409" t="str">
        <v>OT discontinuity</v>
      </c>
      <c r="C409" s="35">
        <v>22031.602804064889</v>
      </c>
      <c r="D409" s="35">
        <v>28477.164304709382</v>
      </c>
      <c r="E409" s="35">
        <v>37050.845130656955</v>
      </c>
      <c r="F409" s="35">
        <v>48020.220598728782</v>
      </c>
      <c r="G409" s="35">
        <v>61100.907018736718</v>
      </c>
      <c r="H409" s="35">
        <v>76968.660885866004</v>
      </c>
      <c r="I409" s="35">
        <v>114969.02135980768</v>
      </c>
      <c r="J409" s="35">
        <v>163706.75256839956</v>
      </c>
      <c r="K409" s="35">
        <v>498051.16818394972</v>
      </c>
      <c r="L409" s="35">
        <v>700482.32308862929</v>
      </c>
      <c r="M409" s="6"/>
      <c r="N409" s="1" t="str">
        <f t="shared" si="20"/>
        <v>$million/million</v>
      </c>
      <c r="O409" s="1"/>
    </row>
    <row r="410" spans="1:15" x14ac:dyDescent="0.25">
      <c r="A410" t="str">
        <v>EE discontinuity</v>
      </c>
      <c r="C410" s="35">
        <v>2939.479411506587</v>
      </c>
      <c r="D410" s="35">
        <v>3805.995068302585</v>
      </c>
      <c r="E410" s="35">
        <v>4963.1076278863093</v>
      </c>
      <c r="F410" s="35">
        <v>6443.6522623482188</v>
      </c>
      <c r="G410" s="35">
        <v>8211.2186094203971</v>
      </c>
      <c r="H410" s="35">
        <v>10355.710879525233</v>
      </c>
      <c r="I410" s="35">
        <v>15498.896090817119</v>
      </c>
      <c r="J410" s="35">
        <v>22072.269847822983</v>
      </c>
      <c r="K410" s="35">
        <v>67161.591112783208</v>
      </c>
      <c r="L410" s="35">
        <v>94638.052500779784</v>
      </c>
      <c r="M410" s="6"/>
      <c r="N410" s="1" t="str">
        <f t="shared" si="20"/>
        <v>$million/million</v>
      </c>
      <c r="O410" s="1"/>
    </row>
    <row r="411" spans="1:15" x14ac:dyDescent="0.25">
      <c r="A411" t="str">
        <v>CA discontinuity</v>
      </c>
      <c r="C411" s="35">
        <v>2702.9469609380012</v>
      </c>
      <c r="D411" s="35">
        <v>3501.7545717791709</v>
      </c>
      <c r="E411" s="35">
        <v>4577.1251492537922</v>
      </c>
      <c r="F411" s="35">
        <v>5969.0027846679841</v>
      </c>
      <c r="G411" s="35">
        <v>7579.8150685634482</v>
      </c>
      <c r="H411" s="35">
        <v>9533.4484637366131</v>
      </c>
      <c r="I411" s="35">
        <v>14254.784549844668</v>
      </c>
      <c r="J411" s="35">
        <v>20365.098974435932</v>
      </c>
      <c r="K411" s="35">
        <v>61969.807863398317</v>
      </c>
      <c r="L411" s="35">
        <v>87120.101374870297</v>
      </c>
      <c r="M411" s="6"/>
      <c r="N411" s="1" t="str">
        <f t="shared" si="20"/>
        <v>$million/million</v>
      </c>
      <c r="O411" s="1"/>
    </row>
    <row r="412" spans="1:15" x14ac:dyDescent="0.25">
      <c r="A412" t="str">
        <v>IA discontinuity</v>
      </c>
      <c r="C412" s="35">
        <v>1463.8084955884156</v>
      </c>
      <c r="D412" s="35">
        <v>1896.8624663410915</v>
      </c>
      <c r="E412" s="35">
        <v>2479.6039384619021</v>
      </c>
      <c r="F412" s="35">
        <v>3244.9611812746402</v>
      </c>
      <c r="G412" s="35">
        <v>4090.2068024810583</v>
      </c>
      <c r="H412" s="35">
        <v>5116.7600496664008</v>
      </c>
      <c r="I412" s="35">
        <v>7604.8324806785758</v>
      </c>
      <c r="J412" s="35">
        <v>10893.459563216717</v>
      </c>
      <c r="K412" s="35">
        <v>33248.219917096831</v>
      </c>
      <c r="L412" s="35">
        <v>46645.025958610604</v>
      </c>
      <c r="M412" s="6"/>
      <c r="N412" s="1" t="str">
        <f t="shared" si="20"/>
        <v>$million/million</v>
      </c>
      <c r="O412" s="1"/>
    </row>
    <row r="413" spans="1:15" x14ac:dyDescent="0.25">
      <c r="A413" t="str">
        <v>AF discontinuity</v>
      </c>
      <c r="C413" s="35">
        <v>2566.6771210240818</v>
      </c>
      <c r="D413" s="35">
        <v>3323.5630552321795</v>
      </c>
      <c r="E413" s="35">
        <v>4342.3672744900068</v>
      </c>
      <c r="F413" s="35">
        <v>5678.5026807553122</v>
      </c>
      <c r="G413" s="35">
        <v>7171.8376843165188</v>
      </c>
      <c r="H413" s="35">
        <v>8977.5408205938293</v>
      </c>
      <c r="I413" s="35">
        <v>13387.687250977222</v>
      </c>
      <c r="J413" s="35">
        <v>19215.487917147948</v>
      </c>
      <c r="K413" s="35">
        <v>58752.650001250629</v>
      </c>
      <c r="L413" s="35">
        <v>82662.200491766736</v>
      </c>
      <c r="M413" s="6"/>
      <c r="N413" s="1" t="str">
        <f t="shared" si="20"/>
        <v>$million/million</v>
      </c>
      <c r="O413" s="1"/>
    </row>
    <row r="414" spans="1:15" x14ac:dyDescent="0.25">
      <c r="A414" t="str">
        <v>LA discontinuity</v>
      </c>
      <c r="C414" s="35">
        <v>4695.2196913349462</v>
      </c>
      <c r="D414" s="35">
        <v>6077.5443455859577</v>
      </c>
      <c r="E414" s="35">
        <v>7937.1119005101646</v>
      </c>
      <c r="F414" s="35">
        <v>10360.898017862384</v>
      </c>
      <c r="G414" s="35">
        <v>13152.3414116978</v>
      </c>
      <c r="H414" s="35">
        <v>16523.546419683022</v>
      </c>
      <c r="I414" s="35">
        <v>24679.219553925446</v>
      </c>
      <c r="J414" s="35">
        <v>35249.129849296733</v>
      </c>
      <c r="K414" s="35">
        <v>107411.38110119254</v>
      </c>
      <c r="L414" s="35">
        <v>151193.29471868469</v>
      </c>
      <c r="M414" s="6"/>
      <c r="N414" s="1" t="str">
        <f t="shared" si="20"/>
        <v>$million/million</v>
      </c>
      <c r="O414" s="1"/>
    </row>
    <row r="415" spans="1:15" ht="15" x14ac:dyDescent="0.4">
      <c r="A415" s="2" t="s">
        <v>150</v>
      </c>
      <c r="B415" s="2"/>
      <c r="C415" s="73" t="s">
        <v>311</v>
      </c>
      <c r="D415" s="58"/>
      <c r="E415" s="58"/>
      <c r="F415" s="58"/>
      <c r="G415" s="58"/>
      <c r="H415" s="58"/>
      <c r="I415" s="58"/>
      <c r="J415" s="58"/>
      <c r="K415" s="58"/>
      <c r="L415" s="58"/>
      <c r="M415" s="1"/>
      <c r="N415" s="1"/>
    </row>
    <row r="416" spans="1:15" x14ac:dyDescent="0.25">
      <c r="A416" s="1" t="str">
        <f t="array" ref="A416:A423">R_CODE&amp;" total"</f>
        <v>EU total</v>
      </c>
      <c r="C416" s="38">
        <f t="array" ref="C416:L423" xml:space="preserve"> (((CONS_PER_CAP_FOCUS_0)^EMUC)/(1-EMUC))*( (cons_per_cap_after_costs_b)^(1-EMUC) - (rconsdis_per_cap_b) ^(1-EMUC))*POP</f>
        <v>14695.855808884902</v>
      </c>
      <c r="D416" s="38">
        <v>476.89254854786799</v>
      </c>
      <c r="E416" s="38">
        <v>10476.750330899415</v>
      </c>
      <c r="F416" s="38">
        <v>39339.779308992867</v>
      </c>
      <c r="G416" s="38">
        <v>73041.701816612738</v>
      </c>
      <c r="H416" s="38">
        <v>109781.77444874959</v>
      </c>
      <c r="I416" s="38">
        <v>210487.83586989643</v>
      </c>
      <c r="J416" s="38">
        <v>340475.83857734874</v>
      </c>
      <c r="K416" s="38">
        <v>1475099.9998786789</v>
      </c>
      <c r="L416" s="38">
        <v>2938785.9757935684</v>
      </c>
      <c r="M416" s="1"/>
      <c r="N416" s="1" t="str">
        <f t="array" ref="N416:N424">CURRENCY_NAME</f>
        <v>$million</v>
      </c>
    </row>
    <row r="417" spans="1:14" x14ac:dyDescent="0.25">
      <c r="A417" s="1" t="str">
        <v>US total</v>
      </c>
      <c r="C417" s="38">
        <v>10918.790888044741</v>
      </c>
      <c r="D417" s="38">
        <v>3861.7800356410921</v>
      </c>
      <c r="E417" s="38">
        <v>17803.734770010029</v>
      </c>
      <c r="F417" s="38">
        <v>50779.286230080172</v>
      </c>
      <c r="G417" s="38">
        <v>92013.812729678466</v>
      </c>
      <c r="H417" s="38">
        <v>141022.4548384751</v>
      </c>
      <c r="I417" s="38">
        <v>278088.74356014509</v>
      </c>
      <c r="J417" s="38">
        <v>454821.6991381236</v>
      </c>
      <c r="K417" s="38">
        <v>1885154.5061920551</v>
      </c>
      <c r="L417" s="38">
        <v>3621253.392398153</v>
      </c>
      <c r="M417" s="1"/>
      <c r="N417" s="1" t="str">
        <v>$million</v>
      </c>
    </row>
    <row r="418" spans="1:14" x14ac:dyDescent="0.25">
      <c r="A418" s="1" t="str">
        <v>OT total</v>
      </c>
      <c r="C418" s="38">
        <v>9026.8147352442884</v>
      </c>
      <c r="D418" s="38">
        <v>11326.848425299817</v>
      </c>
      <c r="E418" s="38">
        <v>34016.870150117473</v>
      </c>
      <c r="F418" s="38">
        <v>82883.610821044465</v>
      </c>
      <c r="G418" s="38">
        <v>157040.74214569319</v>
      </c>
      <c r="H418" s="38">
        <v>259413.11520886709</v>
      </c>
      <c r="I418" s="38">
        <v>538856.03883128718</v>
      </c>
      <c r="J418" s="38">
        <v>887396.85754931625</v>
      </c>
      <c r="K418" s="38">
        <v>3271195.0101370132</v>
      </c>
      <c r="L418" s="38">
        <v>5807254.4548075311</v>
      </c>
      <c r="M418" s="1"/>
      <c r="N418" s="1" t="str">
        <v>$million</v>
      </c>
    </row>
    <row r="419" spans="1:14" x14ac:dyDescent="0.25">
      <c r="A419" s="1" t="str">
        <v>EE total</v>
      </c>
      <c r="C419" s="38">
        <v>2578.6493447072075</v>
      </c>
      <c r="D419" s="38">
        <v>799.01468076064225</v>
      </c>
      <c r="E419" s="38">
        <v>3309.9840519326108</v>
      </c>
      <c r="F419" s="38">
        <v>11906.951244899996</v>
      </c>
      <c r="G419" s="38">
        <v>26587.11943000399</v>
      </c>
      <c r="H419" s="38">
        <v>47602.812515851889</v>
      </c>
      <c r="I419" s="38">
        <v>112085.88319770366</v>
      </c>
      <c r="J419" s="38">
        <v>200755.60209630622</v>
      </c>
      <c r="K419" s="38">
        <v>807112.61553213373</v>
      </c>
      <c r="L419" s="38">
        <v>1464561.7427814135</v>
      </c>
      <c r="M419" s="1"/>
      <c r="N419" s="1" t="str">
        <v>$million</v>
      </c>
    </row>
    <row r="420" spans="1:14" x14ac:dyDescent="0.25">
      <c r="A420" s="1" t="str">
        <v>CA total</v>
      </c>
      <c r="C420" s="38">
        <v>17984.64586367863</v>
      </c>
      <c r="D420" s="38">
        <v>17304.230835487422</v>
      </c>
      <c r="E420" s="38">
        <v>12506.923229907843</v>
      </c>
      <c r="F420" s="38">
        <v>25626.019904381679</v>
      </c>
      <c r="G420" s="38">
        <v>39312.470179884214</v>
      </c>
      <c r="H420" s="38">
        <v>55818.771935855628</v>
      </c>
      <c r="I420" s="38">
        <v>119155.51727352916</v>
      </c>
      <c r="J420" s="38">
        <v>259538.50764290575</v>
      </c>
      <c r="K420" s="38">
        <v>1569536.5869515892</v>
      </c>
      <c r="L420" s="38">
        <v>3170151.3455563686</v>
      </c>
      <c r="M420" s="1"/>
      <c r="N420" s="1" t="str">
        <v>$million</v>
      </c>
    </row>
    <row r="421" spans="1:14" x14ac:dyDescent="0.25">
      <c r="A421" s="1" t="str">
        <v>IA total</v>
      </c>
      <c r="C421" s="38">
        <v>15512.541062431657</v>
      </c>
      <c r="D421" s="38">
        <v>14239.70698568538</v>
      </c>
      <c r="E421" s="38">
        <v>9657.1002917089318</v>
      </c>
      <c r="F421" s="38">
        <v>26015.378774973542</v>
      </c>
      <c r="G421" s="38">
        <v>50845.098528376446</v>
      </c>
      <c r="H421" s="38">
        <v>90440.144759662682</v>
      </c>
      <c r="I421" s="38">
        <v>232568.39942254403</v>
      </c>
      <c r="J421" s="38">
        <v>456164.48576021631</v>
      </c>
      <c r="K421" s="38">
        <v>2113748.1886315369</v>
      </c>
      <c r="L421" s="38">
        <v>3992484.677942717</v>
      </c>
      <c r="M421" s="1"/>
      <c r="N421" s="1" t="str">
        <v>$million</v>
      </c>
    </row>
    <row r="422" spans="1:14" x14ac:dyDescent="0.25">
      <c r="A422" s="1" t="str">
        <v>AF total</v>
      </c>
      <c r="C422" s="38">
        <v>7084.3874263090484</v>
      </c>
      <c r="D422" s="38">
        <v>7120.3149342226143</v>
      </c>
      <c r="E422" s="38">
        <v>5604.1890242478185</v>
      </c>
      <c r="F422" s="38">
        <v>13345.305747724969</v>
      </c>
      <c r="G422" s="38">
        <v>23690.887766165255</v>
      </c>
      <c r="H422" s="38">
        <v>38651.592027973718</v>
      </c>
      <c r="I422" s="38">
        <v>94063.898138828634</v>
      </c>
      <c r="J422" s="38">
        <v>190709.33589752996</v>
      </c>
      <c r="K422" s="38">
        <v>922009.68957782083</v>
      </c>
      <c r="L422" s="38">
        <v>1766600.5950825629</v>
      </c>
      <c r="M422" s="1"/>
      <c r="N422" s="1" t="str">
        <v>$million</v>
      </c>
    </row>
    <row r="423" spans="1:14" x14ac:dyDescent="0.25">
      <c r="A423" s="1" t="str">
        <v>LA total</v>
      </c>
      <c r="C423" s="38">
        <v>7246.5673243727251</v>
      </c>
      <c r="D423" s="38">
        <v>8073.7152135884862</v>
      </c>
      <c r="E423" s="38">
        <v>8271.9057209435541</v>
      </c>
      <c r="F423" s="38">
        <v>17817.778290960618</v>
      </c>
      <c r="G423" s="38">
        <v>32197.106785289474</v>
      </c>
      <c r="H423" s="38">
        <v>53201.436739267374</v>
      </c>
      <c r="I423" s="38">
        <v>125241.83989098623</v>
      </c>
      <c r="J423" s="38">
        <v>243082.5053846997</v>
      </c>
      <c r="K423" s="38">
        <v>1100333.4821980449</v>
      </c>
      <c r="L423" s="38">
        <v>2057443.5912511521</v>
      </c>
      <c r="M423" s="1"/>
      <c r="N423" s="1" t="str">
        <v>$million</v>
      </c>
    </row>
    <row r="424" spans="1:14" ht="13" x14ac:dyDescent="0.3">
      <c r="A424" s="2" t="s">
        <v>313</v>
      </c>
      <c r="B424" s="2"/>
      <c r="C424" s="54">
        <f>SUM(C416:C423)</f>
        <v>85048.252453673209</v>
      </c>
      <c r="D424" s="54">
        <f t="shared" ref="D424:L424" si="21">SUM(D416:D423)</f>
        <v>63202.50365923332</v>
      </c>
      <c r="E424" s="54">
        <f t="shared" si="21"/>
        <v>101647.45756976769</v>
      </c>
      <c r="F424" s="54">
        <f t="shared" si="21"/>
        <v>267714.11032305832</v>
      </c>
      <c r="G424" s="54">
        <f t="shared" si="21"/>
        <v>494728.93938170373</v>
      </c>
      <c r="H424" s="54">
        <f t="shared" si="21"/>
        <v>795932.10247470322</v>
      </c>
      <c r="I424" s="54">
        <f t="shared" si="21"/>
        <v>1710548.1561849203</v>
      </c>
      <c r="J424" s="54">
        <f t="shared" si="21"/>
        <v>3032944.8320464464</v>
      </c>
      <c r="K424" s="54">
        <f t="shared" si="21"/>
        <v>13144190.079098873</v>
      </c>
      <c r="L424" s="54">
        <f t="shared" si="21"/>
        <v>24818535.775613464</v>
      </c>
      <c r="M424" s="1"/>
      <c r="N424" s="1" t="str">
        <v>$million</v>
      </c>
    </row>
    <row r="425" spans="1:14" ht="15" x14ac:dyDescent="0.4">
      <c r="A425" s="2" t="s">
        <v>117</v>
      </c>
      <c r="B425" s="2"/>
      <c r="C425" s="73" t="s">
        <v>312</v>
      </c>
      <c r="D425" s="58"/>
      <c r="E425" s="58"/>
      <c r="F425" s="58"/>
      <c r="G425" s="58"/>
      <c r="H425" s="58"/>
      <c r="I425" s="58"/>
      <c r="J425" s="58"/>
      <c r="K425" s="58"/>
      <c r="L425" s="58"/>
      <c r="M425" s="1"/>
      <c r="N425" s="1"/>
    </row>
    <row r="426" spans="1:14" x14ac:dyDescent="0.25">
      <c r="A426" s="1" t="str">
        <f t="array" ref="A426:A433">R_CODE&amp;" total"</f>
        <v>EU total</v>
      </c>
      <c r="C426" s="38">
        <f t="array" ref="C426:L433">wit_b*DF</f>
        <v>10935.096881590947</v>
      </c>
      <c r="D426" s="38">
        <v>264.04384148308418</v>
      </c>
      <c r="E426" s="38">
        <v>4316.2824190844549</v>
      </c>
      <c r="F426" s="38">
        <v>12059.878461703627</v>
      </c>
      <c r="G426" s="38">
        <v>16661.329304261501</v>
      </c>
      <c r="H426" s="38">
        <v>18633.599804671681</v>
      </c>
      <c r="I426" s="38">
        <v>19781.035689978107</v>
      </c>
      <c r="J426" s="38">
        <v>17715.924781560861</v>
      </c>
      <c r="K426" s="38">
        <v>3993.7099650581599</v>
      </c>
      <c r="L426" s="38">
        <v>414.00019637772192</v>
      </c>
      <c r="M426" s="1"/>
      <c r="N426" s="1" t="str">
        <f t="array" ref="N426:N434">CURRENCY_NAME</f>
        <v>$million</v>
      </c>
    </row>
    <row r="427" spans="1:14" x14ac:dyDescent="0.25">
      <c r="A427" s="1" t="str">
        <v>US total</v>
      </c>
      <c r="C427" s="38">
        <v>8124.6058578239017</v>
      </c>
      <c r="D427" s="38">
        <v>2138.1739737353132</v>
      </c>
      <c r="E427" s="38">
        <v>7334.9029951771117</v>
      </c>
      <c r="F427" s="38">
        <v>15566.73756344225</v>
      </c>
      <c r="G427" s="38">
        <v>20989.002122088245</v>
      </c>
      <c r="H427" s="38">
        <v>23936.177021435095</v>
      </c>
      <c r="I427" s="38">
        <v>26133.972723936993</v>
      </c>
      <c r="J427" s="38">
        <v>23665.66463165401</v>
      </c>
      <c r="K427" s="38">
        <v>5103.8982697259271</v>
      </c>
      <c r="L427" s="38">
        <v>510.14249691371077</v>
      </c>
      <c r="M427" s="1"/>
      <c r="N427" s="1" t="str">
        <v>$million</v>
      </c>
    </row>
    <row r="428" spans="1:14" x14ac:dyDescent="0.25">
      <c r="A428" s="1" t="str">
        <v>OT total</v>
      </c>
      <c r="C428" s="38">
        <v>6716.7979153953684</v>
      </c>
      <c r="D428" s="38">
        <v>6271.4013444321763</v>
      </c>
      <c r="E428" s="38">
        <v>14014.50010202028</v>
      </c>
      <c r="F428" s="38">
        <v>25408.537885225101</v>
      </c>
      <c r="G428" s="38">
        <v>35822.105098869819</v>
      </c>
      <c r="H428" s="38">
        <v>44030.989635185972</v>
      </c>
      <c r="I428" s="38">
        <v>50640.126028329651</v>
      </c>
      <c r="J428" s="38">
        <v>46173.778572442468</v>
      </c>
      <c r="K428" s="38">
        <v>8856.4870928799392</v>
      </c>
      <c r="L428" s="38">
        <v>818.09444597492484</v>
      </c>
      <c r="M428" s="1"/>
      <c r="N428" s="1" t="str">
        <v>$million</v>
      </c>
    </row>
    <row r="429" spans="1:14" x14ac:dyDescent="0.25">
      <c r="A429" s="1" t="str">
        <v>EE total</v>
      </c>
      <c r="C429" s="38">
        <v>1918.7572860490609</v>
      </c>
      <c r="D429" s="38">
        <v>442.39505597610224</v>
      </c>
      <c r="E429" s="38">
        <v>1363.6696036050475</v>
      </c>
      <c r="F429" s="38">
        <v>3650.1573568842891</v>
      </c>
      <c r="G429" s="38">
        <v>6064.7101731996381</v>
      </c>
      <c r="H429" s="38">
        <v>8079.7724617877439</v>
      </c>
      <c r="I429" s="38">
        <v>10533.505875593402</v>
      </c>
      <c r="J429" s="38">
        <v>10445.88409290942</v>
      </c>
      <c r="K429" s="38">
        <v>2185.1899504033267</v>
      </c>
      <c r="L429" s="38">
        <v>206.31949863415119</v>
      </c>
      <c r="M429" s="1"/>
      <c r="N429" s="1" t="str">
        <v>$million</v>
      </c>
    </row>
    <row r="430" spans="1:14" x14ac:dyDescent="0.25">
      <c r="A430" s="1" t="str">
        <v>CA total</v>
      </c>
      <c r="C430" s="38">
        <v>13382.265548735826</v>
      </c>
      <c r="D430" s="38">
        <v>9580.9330584529325</v>
      </c>
      <c r="E430" s="38">
        <v>5152.6867730039521</v>
      </c>
      <c r="F430" s="38">
        <v>7855.8317034939391</v>
      </c>
      <c r="G430" s="38">
        <v>8967.4527720551723</v>
      </c>
      <c r="H430" s="38">
        <v>9474.292641594473</v>
      </c>
      <c r="I430" s="38">
        <v>11197.889560242182</v>
      </c>
      <c r="J430" s="38">
        <v>13504.525603145608</v>
      </c>
      <c r="K430" s="38">
        <v>4249.3891318198603</v>
      </c>
      <c r="L430" s="38">
        <v>446.59369223137566</v>
      </c>
      <c r="M430" s="1"/>
      <c r="N430" s="1" t="str">
        <v>$million</v>
      </c>
    </row>
    <row r="431" spans="1:14" x14ac:dyDescent="0.25">
      <c r="A431" s="1" t="str">
        <v>IA total</v>
      </c>
      <c r="C431" s="38">
        <v>11542.787409140976</v>
      </c>
      <c r="D431" s="38">
        <v>7884.1805046917752</v>
      </c>
      <c r="E431" s="38">
        <v>3978.5974555012822</v>
      </c>
      <c r="F431" s="38">
        <v>7975.192328789838</v>
      </c>
      <c r="G431" s="38">
        <v>11598.126946930268</v>
      </c>
      <c r="H431" s="38">
        <v>15350.685231589674</v>
      </c>
      <c r="I431" s="38">
        <v>21856.102944504521</v>
      </c>
      <c r="J431" s="38">
        <v>23735.533632914365</v>
      </c>
      <c r="K431" s="38">
        <v>5722.7965597286284</v>
      </c>
      <c r="L431" s="38">
        <v>562.43954283094615</v>
      </c>
      <c r="M431" s="1"/>
      <c r="N431" s="1" t="str">
        <v>$million</v>
      </c>
    </row>
    <row r="432" spans="1:14" x14ac:dyDescent="0.25">
      <c r="A432" s="1" t="str">
        <v>AF total</v>
      </c>
      <c r="C432" s="38">
        <v>5271.4495746874345</v>
      </c>
      <c r="D432" s="38">
        <v>3942.3457412499301</v>
      </c>
      <c r="E432" s="38">
        <v>2308.851675814471</v>
      </c>
      <c r="F432" s="38">
        <v>4091.0947691830929</v>
      </c>
      <c r="G432" s="38">
        <v>5404.0592259667637</v>
      </c>
      <c r="H432" s="38">
        <v>6560.454148961916</v>
      </c>
      <c r="I432" s="38">
        <v>8839.8520443372836</v>
      </c>
      <c r="J432" s="38">
        <v>9923.148332695926</v>
      </c>
      <c r="K432" s="38">
        <v>2496.2641756151943</v>
      </c>
      <c r="L432" s="38">
        <v>248.86909060728274</v>
      </c>
      <c r="M432" s="1"/>
      <c r="N432" s="1" t="str">
        <v>$million</v>
      </c>
    </row>
    <row r="433" spans="1:16" x14ac:dyDescent="0.25">
      <c r="A433" s="1" t="str">
        <v>LA total</v>
      </c>
      <c r="C433" s="38">
        <v>5392.1266499551875</v>
      </c>
      <c r="D433" s="38">
        <v>4470.2203599692912</v>
      </c>
      <c r="E433" s="38">
        <v>3407.9156329926268</v>
      </c>
      <c r="F433" s="38">
        <v>5462.1618224850063</v>
      </c>
      <c r="G433" s="38">
        <v>7344.3880064712548</v>
      </c>
      <c r="H433" s="38">
        <v>9030.0442510688208</v>
      </c>
      <c r="I433" s="38">
        <v>11769.864488955191</v>
      </c>
      <c r="J433" s="38">
        <v>12648.273073069691</v>
      </c>
      <c r="K433" s="38">
        <v>2979.0609403449939</v>
      </c>
      <c r="L433" s="38">
        <v>289.84147121637648</v>
      </c>
      <c r="M433" s="1"/>
      <c r="N433" s="1" t="str">
        <v>$million</v>
      </c>
    </row>
    <row r="434" spans="1:16" ht="13" x14ac:dyDescent="0.3">
      <c r="A434" s="2" t="s">
        <v>313</v>
      </c>
      <c r="B434" s="2"/>
      <c r="C434" s="54">
        <f>SUM(C426:C433)</f>
        <v>63283.887123378707</v>
      </c>
      <c r="D434" s="54">
        <f t="shared" ref="D434:L434" si="22">SUM(D426:D433)</f>
        <v>34993.693879990606</v>
      </c>
      <c r="E434" s="54">
        <f t="shared" si="22"/>
        <v>41877.406657199223</v>
      </c>
      <c r="F434" s="54">
        <f t="shared" si="22"/>
        <v>82069.59189120715</v>
      </c>
      <c r="G434" s="54">
        <f t="shared" si="22"/>
        <v>112851.17364984265</v>
      </c>
      <c r="H434" s="54">
        <f t="shared" si="22"/>
        <v>135096.01519629537</v>
      </c>
      <c r="I434" s="54">
        <f t="shared" si="22"/>
        <v>160752.34935587732</v>
      </c>
      <c r="J434" s="54">
        <f t="shared" si="22"/>
        <v>157812.73272039232</v>
      </c>
      <c r="K434" s="54">
        <f t="shared" si="22"/>
        <v>35586.796085576032</v>
      </c>
      <c r="L434" s="54">
        <f t="shared" si="22"/>
        <v>3496.3004347864899</v>
      </c>
      <c r="M434" s="1"/>
      <c r="N434" s="1" t="str">
        <v>$million</v>
      </c>
    </row>
    <row r="435" spans="1:16" s="12" customFormat="1" ht="15" x14ac:dyDescent="0.4">
      <c r="A435" s="2" t="s">
        <v>115</v>
      </c>
      <c r="B435" s="57"/>
      <c r="C435" s="2" t="s">
        <v>314</v>
      </c>
      <c r="D435" s="58"/>
      <c r="E435" s="58"/>
      <c r="F435" s="58"/>
      <c r="G435" s="58"/>
      <c r="H435" s="58"/>
      <c r="I435" s="58"/>
      <c r="J435" s="58"/>
      <c r="K435" s="58"/>
      <c r="L435" s="58"/>
      <c r="M435" s="58"/>
      <c r="N435" s="13"/>
    </row>
    <row r="436" spans="1:16" x14ac:dyDescent="0.25">
      <c r="A436" s="1" t="str">
        <f t="array" ref="A436:A443">R_CODE&amp;" total"</f>
        <v>EU total</v>
      </c>
      <c r="B436" s="3"/>
      <c r="C436" s="38">
        <f t="array" ref="C436:L443">widt_b*YAGG</f>
        <v>164026.4532238642</v>
      </c>
      <c r="D436" s="38">
        <v>2640.4384148308418</v>
      </c>
      <c r="E436" s="38">
        <v>43162.824190844549</v>
      </c>
      <c r="F436" s="38">
        <v>120598.78461703628</v>
      </c>
      <c r="G436" s="38">
        <v>166613.293042615</v>
      </c>
      <c r="H436" s="38">
        <v>279503.99707007525</v>
      </c>
      <c r="I436" s="38">
        <v>395620.71379956213</v>
      </c>
      <c r="J436" s="38">
        <v>1062955.4868936518</v>
      </c>
      <c r="K436" s="38">
        <v>399370.996505816</v>
      </c>
      <c r="L436" s="38">
        <v>20700.009818886097</v>
      </c>
      <c r="M436" s="54">
        <f t="shared" ref="M436:M443" si="23">SUM(C436:L436)</f>
        <v>2655192.997577182</v>
      </c>
      <c r="N436" s="1" t="str">
        <f t="array" ref="N436:N444">CURRENCY_NAME</f>
        <v>$million</v>
      </c>
    </row>
    <row r="437" spans="1:16" x14ac:dyDescent="0.25">
      <c r="A437" s="1" t="str">
        <v>US total</v>
      </c>
      <c r="B437" s="3"/>
      <c r="C437" s="38">
        <v>121869.08786735852</v>
      </c>
      <c r="D437" s="38">
        <v>21381.739737353131</v>
      </c>
      <c r="E437" s="38">
        <v>73349.02995177111</v>
      </c>
      <c r="F437" s="38">
        <v>155667.3756344225</v>
      </c>
      <c r="G437" s="38">
        <v>209890.02122088245</v>
      </c>
      <c r="H437" s="38">
        <v>359042.6553215264</v>
      </c>
      <c r="I437" s="38">
        <v>522679.45447873988</v>
      </c>
      <c r="J437" s="38">
        <v>1419939.8778992407</v>
      </c>
      <c r="K437" s="38">
        <v>510389.82697259274</v>
      </c>
      <c r="L437" s="38">
        <v>25507.124845685539</v>
      </c>
      <c r="M437" s="54">
        <f t="shared" si="23"/>
        <v>3419716.1939295726</v>
      </c>
      <c r="N437" s="1" t="str">
        <v>$million</v>
      </c>
    </row>
    <row r="438" spans="1:16" x14ac:dyDescent="0.25">
      <c r="A438" s="1" t="str">
        <v>OT total</v>
      </c>
      <c r="B438" s="3"/>
      <c r="C438" s="38">
        <v>100751.96873093053</v>
      </c>
      <c r="D438" s="38">
        <v>62714.013444321761</v>
      </c>
      <c r="E438" s="38">
        <v>140145.00102020279</v>
      </c>
      <c r="F438" s="38">
        <v>254085.37885225101</v>
      </c>
      <c r="G438" s="38">
        <v>358221.0509886982</v>
      </c>
      <c r="H438" s="38">
        <v>660464.84452778962</v>
      </c>
      <c r="I438" s="38">
        <v>1012802.520566593</v>
      </c>
      <c r="J438" s="38">
        <v>2770426.7143465481</v>
      </c>
      <c r="K438" s="38">
        <v>885648.70928799396</v>
      </c>
      <c r="L438" s="38">
        <v>40904.722298746245</v>
      </c>
      <c r="M438" s="54">
        <f t="shared" si="23"/>
        <v>6286164.9240640746</v>
      </c>
      <c r="N438" s="1" t="str">
        <v>$million</v>
      </c>
    </row>
    <row r="439" spans="1:16" x14ac:dyDescent="0.25">
      <c r="A439" s="1" t="str">
        <v>EE total</v>
      </c>
      <c r="B439" s="3"/>
      <c r="C439" s="38">
        <v>28781.359290735913</v>
      </c>
      <c r="D439" s="38">
        <v>4423.9505597610223</v>
      </c>
      <c r="E439" s="38">
        <v>13636.696036050475</v>
      </c>
      <c r="F439" s="38">
        <v>36501.57356884289</v>
      </c>
      <c r="G439" s="38">
        <v>60647.101731996379</v>
      </c>
      <c r="H439" s="38">
        <v>121196.58692681616</v>
      </c>
      <c r="I439" s="38">
        <v>210670.11751186804</v>
      </c>
      <c r="J439" s="38">
        <v>626753.04557456519</v>
      </c>
      <c r="K439" s="38">
        <v>218518.99504033267</v>
      </c>
      <c r="L439" s="38">
        <v>10315.97493170756</v>
      </c>
      <c r="M439" s="54">
        <f t="shared" si="23"/>
        <v>1331445.4011726764</v>
      </c>
      <c r="N439" s="1" t="str">
        <v>$million</v>
      </c>
    </row>
    <row r="440" spans="1:16" x14ac:dyDescent="0.25">
      <c r="A440" s="1" t="str">
        <v>CA total</v>
      </c>
      <c r="B440" s="3"/>
      <c r="C440" s="38">
        <v>200733.98323103739</v>
      </c>
      <c r="D440" s="38">
        <v>95809.330584529322</v>
      </c>
      <c r="E440" s="38">
        <v>51526.867730039521</v>
      </c>
      <c r="F440" s="38">
        <v>78558.317034939391</v>
      </c>
      <c r="G440" s="38">
        <v>89674.52772055172</v>
      </c>
      <c r="H440" s="38">
        <v>142114.38962391709</v>
      </c>
      <c r="I440" s="38">
        <v>223957.79120484364</v>
      </c>
      <c r="J440" s="38">
        <v>810271.53618873656</v>
      </c>
      <c r="K440" s="38">
        <v>424938.91318198602</v>
      </c>
      <c r="L440" s="38">
        <v>22329.684611568784</v>
      </c>
      <c r="M440" s="54">
        <f t="shared" si="23"/>
        <v>2139915.3411121494</v>
      </c>
      <c r="N440" s="1" t="str">
        <v>$million</v>
      </c>
    </row>
    <row r="441" spans="1:16" x14ac:dyDescent="0.25">
      <c r="A441" s="1" t="str">
        <v>IA total</v>
      </c>
      <c r="B441" s="3"/>
      <c r="C441" s="38">
        <v>173141.81113711465</v>
      </c>
      <c r="D441" s="38">
        <v>78841.805046917754</v>
      </c>
      <c r="E441" s="38">
        <v>39785.974555012821</v>
      </c>
      <c r="F441" s="38">
        <v>79751.923287898375</v>
      </c>
      <c r="G441" s="38">
        <v>115981.26946930267</v>
      </c>
      <c r="H441" s="38">
        <v>230260.2784738451</v>
      </c>
      <c r="I441" s="38">
        <v>437122.05889009044</v>
      </c>
      <c r="J441" s="38">
        <v>1424132.0179748619</v>
      </c>
      <c r="K441" s="38">
        <v>572279.65597286285</v>
      </c>
      <c r="L441" s="38">
        <v>28121.977141547308</v>
      </c>
      <c r="M441" s="54">
        <f t="shared" si="23"/>
        <v>3179418.7719494537</v>
      </c>
      <c r="N441" s="1" t="str">
        <v>$million</v>
      </c>
    </row>
    <row r="442" spans="1:16" x14ac:dyDescent="0.25">
      <c r="A442" s="1" t="str">
        <v>AF total</v>
      </c>
      <c r="B442" s="3"/>
      <c r="C442" s="38">
        <v>79071.743620311521</v>
      </c>
      <c r="D442" s="38">
        <v>39423.457412499301</v>
      </c>
      <c r="E442" s="38">
        <v>23088.516758144709</v>
      </c>
      <c r="F442" s="38">
        <v>40910.94769183093</v>
      </c>
      <c r="G442" s="38">
        <v>54040.592259667639</v>
      </c>
      <c r="H442" s="38">
        <v>98406.81223442874</v>
      </c>
      <c r="I442" s="38">
        <v>176797.04088674567</v>
      </c>
      <c r="J442" s="38">
        <v>595388.89996175561</v>
      </c>
      <c r="K442" s="38">
        <v>249626.41756151943</v>
      </c>
      <c r="L442" s="38">
        <v>12443.454530364137</v>
      </c>
      <c r="M442" s="54">
        <f t="shared" si="23"/>
        <v>1369197.8829172677</v>
      </c>
      <c r="N442" s="1" t="str">
        <v>$million</v>
      </c>
    </row>
    <row r="443" spans="1:16" x14ac:dyDescent="0.25">
      <c r="A443" s="1" t="str">
        <v>LA total</v>
      </c>
      <c r="B443" s="3"/>
      <c r="C443" s="38">
        <v>80881.899749327815</v>
      </c>
      <c r="D443" s="38">
        <v>44702.203599692912</v>
      </c>
      <c r="E443" s="38">
        <v>34079.156329926271</v>
      </c>
      <c r="F443" s="38">
        <v>54621.618224850063</v>
      </c>
      <c r="G443" s="38">
        <v>73443.880064712546</v>
      </c>
      <c r="H443" s="38">
        <v>135450.66376603232</v>
      </c>
      <c r="I443" s="38">
        <v>235397.28977910383</v>
      </c>
      <c r="J443" s="38">
        <v>758896.38438418147</v>
      </c>
      <c r="K443" s="38">
        <v>297906.09403449937</v>
      </c>
      <c r="L443" s="38">
        <v>14492.073560818824</v>
      </c>
      <c r="M443" s="54">
        <f t="shared" si="23"/>
        <v>1729871.2634931456</v>
      </c>
      <c r="N443" s="1" t="str">
        <v>$million</v>
      </c>
    </row>
    <row r="444" spans="1:16" ht="13" x14ac:dyDescent="0.3">
      <c r="A444" s="2" t="s">
        <v>313</v>
      </c>
      <c r="B444" s="2"/>
      <c r="C444" s="54">
        <f t="shared" ref="C444:L444" si="24">SUM(C436:C443)</f>
        <v>949258.3068506805</v>
      </c>
      <c r="D444" s="54">
        <f t="shared" si="24"/>
        <v>349936.938799906</v>
      </c>
      <c r="E444" s="54">
        <f t="shared" si="24"/>
        <v>418774.06657199224</v>
      </c>
      <c r="F444" s="54">
        <f t="shared" si="24"/>
        <v>820695.91891207139</v>
      </c>
      <c r="G444" s="54">
        <f t="shared" si="24"/>
        <v>1128511.7364984266</v>
      </c>
      <c r="H444" s="54">
        <f t="shared" si="24"/>
        <v>2026440.2279444307</v>
      </c>
      <c r="I444" s="54">
        <f t="shared" si="24"/>
        <v>3215046.9871175466</v>
      </c>
      <c r="J444" s="54">
        <f t="shared" si="24"/>
        <v>9468763.963223543</v>
      </c>
      <c r="K444" s="54">
        <f t="shared" si="24"/>
        <v>3558679.6085576029</v>
      </c>
      <c r="L444" s="54">
        <f t="shared" si="24"/>
        <v>174815.0217393245</v>
      </c>
      <c r="M444" s="54">
        <f>SUM(M436:M443)</f>
        <v>22110922.776215523</v>
      </c>
      <c r="N444" s="1" t="str">
        <v>$million</v>
      </c>
    </row>
    <row r="445" spans="1:16" ht="13.5" thickBot="1" x14ac:dyDescent="0.35">
      <c r="A445" s="2" t="s">
        <v>119</v>
      </c>
      <c r="B445" s="2"/>
      <c r="M445" s="56">
        <f>MIN(addt_gt_b,CIV_VALUE)</f>
        <v>22110922.776215523</v>
      </c>
      <c r="N445" s="1" t="str">
        <f>CURRENCY_NAME</f>
        <v>$million</v>
      </c>
      <c r="P445" s="12"/>
    </row>
    <row r="446" spans="1:16" ht="13" thickTop="1" x14ac:dyDescent="0.25"/>
    <row r="447" spans="1:16" ht="13" x14ac:dyDescent="0.3">
      <c r="A447" s="2" t="s">
        <v>483</v>
      </c>
      <c r="B447" s="7"/>
      <c r="C447" s="51">
        <f t="array" ref="C447:L447">DF*((CONS_PER_CAP_FOCUS/CONS_PER_CAP_FOCUS_0)^-EMUC)*OCCUR_SCC</f>
        <v>0</v>
      </c>
      <c r="D447" s="51">
        <v>0.55367575418633497</v>
      </c>
      <c r="E447" s="51">
        <v>0</v>
      </c>
      <c r="F447" s="51">
        <v>0</v>
      </c>
      <c r="G447" s="51">
        <v>0</v>
      </c>
      <c r="H447" s="51">
        <v>0</v>
      </c>
      <c r="I447" s="51">
        <v>0</v>
      </c>
      <c r="J447" s="51">
        <v>0</v>
      </c>
      <c r="K447" s="51">
        <v>0</v>
      </c>
      <c r="L447" s="51">
        <v>0</v>
      </c>
      <c r="M447" s="124">
        <f>SUM(C447:L447)</f>
        <v>0.55367575418633497</v>
      </c>
    </row>
    <row r="449" spans="1:15" ht="13.5" thickBot="1" x14ac:dyDescent="0.35">
      <c r="A449" s="2" t="s">
        <v>484</v>
      </c>
      <c r="M449" s="56">
        <f>td_b/UDFT</f>
        <v>39934786.03503067</v>
      </c>
      <c r="N449" s="1" t="str">
        <f>CURRENCY_NAME</f>
        <v>$million</v>
      </c>
    </row>
    <row r="450" spans="1:15" ht="13.5" thickTop="1" x14ac:dyDescent="0.3">
      <c r="A450" s="2" t="s">
        <v>486</v>
      </c>
      <c r="M450" s="54">
        <f>tdu_b/DROP</f>
        <v>-39934786.03503067</v>
      </c>
      <c r="N450" s="1" t="str">
        <f>CURRENCY_NAME</f>
        <v>$million</v>
      </c>
      <c r="O450" t="s">
        <v>485</v>
      </c>
    </row>
  </sheetData>
  <pageMargins left="0.75" right="0.75" top="1" bottom="1" header="0.5" footer="0.5"/>
  <pageSetup paperSize="9" orientation="portrait" horizontalDpi="360"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451"/>
  <sheetViews>
    <sheetView topLeftCell="I407" workbookViewId="0">
      <selection activeCell="Q424" sqref="Q424"/>
    </sheetView>
  </sheetViews>
  <sheetFormatPr defaultRowHeight="12.5" x14ac:dyDescent="0.25"/>
  <cols>
    <col min="1" max="1" width="17.7265625" bestFit="1" customWidth="1"/>
    <col min="2" max="2" width="9.81640625" customWidth="1"/>
    <col min="3" max="3" width="10.1796875" bestFit="1" customWidth="1"/>
    <col min="4" max="4" width="9.81640625" bestFit="1" customWidth="1"/>
    <col min="5" max="6" width="9.7265625" bestFit="1" customWidth="1"/>
    <col min="7" max="10" width="10.7265625" bestFit="1" customWidth="1"/>
    <col min="11" max="12" width="11.54296875" bestFit="1" customWidth="1"/>
    <col min="13" max="13" width="11.54296875" customWidth="1"/>
    <col min="14" max="14" width="8.81640625" bestFit="1" customWidth="1"/>
  </cols>
  <sheetData>
    <row r="1" spans="1:14" ht="13" x14ac:dyDescent="0.3">
      <c r="A1" s="2" t="str">
        <f>MODEL_NAME</f>
        <v>PAGE09</v>
      </c>
      <c r="B1" s="2"/>
      <c r="C1" t="s">
        <v>44</v>
      </c>
      <c r="D1" s="71">
        <f>VERSION</f>
        <v>1.7</v>
      </c>
    </row>
    <row r="2" spans="1:14" s="3" customFormat="1" x14ac:dyDescent="0.25">
      <c r="A2" s="79"/>
      <c r="C2" s="3" t="s">
        <v>53</v>
      </c>
    </row>
    <row r="3" spans="1:14" s="3" customFormat="1" x14ac:dyDescent="0.25">
      <c r="C3" s="79" t="s">
        <v>272</v>
      </c>
    </row>
    <row r="4" spans="1:14" s="3" customFormat="1" x14ac:dyDescent="0.25">
      <c r="C4" s="79" t="s">
        <v>273</v>
      </c>
    </row>
    <row r="5" spans="1:14" x14ac:dyDescent="0.25">
      <c r="A5" s="1" t="str">
        <f t="array" ref="A5:A12">R_CODE</f>
        <v>EU</v>
      </c>
      <c r="C5" s="45">
        <f>'Impacts A'!C5-'Impacts B'!C5</f>
        <v>0</v>
      </c>
    </row>
    <row r="6" spans="1:14" x14ac:dyDescent="0.25">
      <c r="A6" s="1" t="str">
        <v>US</v>
      </c>
      <c r="C6" s="46">
        <f>'Impacts A'!C6-'Impacts B'!C6</f>
        <v>0</v>
      </c>
    </row>
    <row r="7" spans="1:14" x14ac:dyDescent="0.25">
      <c r="A7" s="1" t="str">
        <v>OT</v>
      </c>
      <c r="C7" s="46">
        <f>'Impacts A'!C7-'Impacts B'!C7</f>
        <v>0</v>
      </c>
    </row>
    <row r="8" spans="1:14" x14ac:dyDescent="0.25">
      <c r="A8" s="1" t="str">
        <v>EE</v>
      </c>
      <c r="C8" s="46">
        <f>'Impacts A'!C8-'Impacts B'!C8</f>
        <v>0</v>
      </c>
    </row>
    <row r="9" spans="1:14" x14ac:dyDescent="0.25">
      <c r="A9" s="1" t="str">
        <v>CA</v>
      </c>
      <c r="C9" s="46">
        <f>'Impacts A'!C9-'Impacts B'!C9</f>
        <v>0</v>
      </c>
    </row>
    <row r="10" spans="1:14" x14ac:dyDescent="0.25">
      <c r="A10" s="1" t="str">
        <v>IA</v>
      </c>
      <c r="C10" s="46">
        <f>'Impacts A'!C10-'Impacts B'!C10</f>
        <v>0</v>
      </c>
    </row>
    <row r="11" spans="1:14" x14ac:dyDescent="0.25">
      <c r="A11" s="1" t="str">
        <v>AF</v>
      </c>
      <c r="C11" s="46">
        <f>'Impacts A'!C11-'Impacts B'!C11</f>
        <v>0</v>
      </c>
    </row>
    <row r="12" spans="1:14" ht="13" thickBot="1" x14ac:dyDescent="0.3">
      <c r="A12" s="1" t="str">
        <v>LA</v>
      </c>
      <c r="C12" s="47">
        <f>'Impacts A'!C12-'Impacts B'!C12</f>
        <v>0</v>
      </c>
    </row>
    <row r="13" spans="1:14" ht="13.5" thickTop="1" thickBot="1" x14ac:dyDescent="0.3">
      <c r="A13" t="s">
        <v>316</v>
      </c>
      <c r="C13" s="47">
        <f>'Impacts A'!C13-'Impacts B'!C13</f>
        <v>0</v>
      </c>
      <c r="D13" t="s">
        <v>168</v>
      </c>
    </row>
    <row r="14" spans="1:14" ht="13" thickTop="1" x14ac:dyDescent="0.25"/>
    <row r="15" spans="1:14" x14ac:dyDescent="0.25">
      <c r="B15">
        <f>Y_0</f>
        <v>2000</v>
      </c>
      <c r="C15">
        <f t="array" ref="C15:L15">Y</f>
        <v>2010</v>
      </c>
      <c r="D15">
        <v>2020</v>
      </c>
      <c r="E15">
        <v>2030</v>
      </c>
      <c r="F15">
        <v>2040</v>
      </c>
      <c r="G15">
        <v>2050</v>
      </c>
      <c r="H15">
        <v>2060</v>
      </c>
      <c r="I15">
        <v>2080</v>
      </c>
      <c r="J15">
        <v>2100</v>
      </c>
      <c r="K15">
        <v>2200</v>
      </c>
      <c r="L15">
        <v>2300</v>
      </c>
    </row>
    <row r="16" spans="1:14" s="4" customFormat="1" x14ac:dyDescent="0.25">
      <c r="A16" s="4" t="s">
        <v>71</v>
      </c>
      <c r="C16" s="20">
        <f>'Impacts A'!C16-'Impacts B'!C16</f>
        <v>0</v>
      </c>
      <c r="D16" s="20">
        <f>'Impacts A'!D16-'Impacts B'!D16</f>
        <v>0</v>
      </c>
      <c r="E16" s="20">
        <f>'Impacts A'!E16-'Impacts B'!E16</f>
        <v>0</v>
      </c>
      <c r="F16" s="20">
        <f>'Impacts A'!F16-'Impacts B'!F16</f>
        <v>0</v>
      </c>
      <c r="G16" s="20">
        <f>'Impacts A'!G16-'Impacts B'!G16</f>
        <v>0</v>
      </c>
      <c r="H16" s="20">
        <f>'Impacts A'!H16-'Impacts B'!H16</f>
        <v>0</v>
      </c>
      <c r="I16" s="20">
        <f>'Impacts A'!I16-'Impacts B'!I16</f>
        <v>0</v>
      </c>
      <c r="J16" s="20">
        <f>'Impacts A'!J16-'Impacts B'!J16</f>
        <v>0</v>
      </c>
      <c r="K16" s="20">
        <f>'Impacts A'!K16-'Impacts B'!K16</f>
        <v>0</v>
      </c>
      <c r="L16" s="20">
        <f>'Impacts A'!L16-'Impacts B'!L16</f>
        <v>0</v>
      </c>
      <c r="N16" s="4" t="s">
        <v>47</v>
      </c>
    </row>
    <row r="17" spans="1:14" s="4" customFormat="1" x14ac:dyDescent="0.25">
      <c r="A17" s="4" t="s">
        <v>113</v>
      </c>
      <c r="C17" s="22">
        <f>'Impacts A'!C17-'Impacts B'!C17</f>
        <v>0</v>
      </c>
      <c r="D17" s="22">
        <f>'Impacts A'!D17-'Impacts B'!D17</f>
        <v>0</v>
      </c>
      <c r="E17" s="22">
        <f>'Impacts A'!E17-'Impacts B'!E17</f>
        <v>0</v>
      </c>
      <c r="F17" s="22">
        <f>'Impacts A'!F17-'Impacts B'!F17</f>
        <v>0</v>
      </c>
      <c r="G17" s="22">
        <f>'Impacts A'!G17-'Impacts B'!G17</f>
        <v>0</v>
      </c>
      <c r="H17" s="22">
        <f>'Impacts A'!H17-'Impacts B'!H17</f>
        <v>0</v>
      </c>
      <c r="I17" s="22">
        <f>'Impacts A'!I17-'Impacts B'!I17</f>
        <v>0</v>
      </c>
      <c r="J17" s="22">
        <f>'Impacts A'!J17-'Impacts B'!J17</f>
        <v>0</v>
      </c>
      <c r="K17" s="22">
        <f>'Impacts A'!K17-'Impacts B'!K17</f>
        <v>0</v>
      </c>
      <c r="L17" s="22">
        <f>'Impacts A'!L17-'Impacts B'!L17</f>
        <v>0</v>
      </c>
    </row>
    <row r="18" spans="1:14" s="4" customFormat="1" x14ac:dyDescent="0.25">
      <c r="A18" s="4" t="s">
        <v>114</v>
      </c>
      <c r="C18" s="22">
        <f>'Impacts A'!C18-'Impacts B'!C18</f>
        <v>0</v>
      </c>
      <c r="D18" s="22">
        <f>'Impacts A'!D18-'Impacts B'!D18</f>
        <v>0</v>
      </c>
      <c r="E18" s="22">
        <f>'Impacts A'!E18-'Impacts B'!E18</f>
        <v>0</v>
      </c>
      <c r="F18" s="22">
        <f>'Impacts A'!F18-'Impacts B'!F18</f>
        <v>0</v>
      </c>
      <c r="G18" s="22">
        <f>'Impacts A'!G18-'Impacts B'!G18</f>
        <v>0</v>
      </c>
      <c r="H18" s="22">
        <f>'Impacts A'!H18-'Impacts B'!H18</f>
        <v>0</v>
      </c>
      <c r="I18" s="22">
        <f>'Impacts A'!I18-'Impacts B'!I18</f>
        <v>0</v>
      </c>
      <c r="J18" s="22">
        <f>'Impacts A'!J18-'Impacts B'!J18</f>
        <v>0</v>
      </c>
      <c r="K18" s="22">
        <f>'Impacts A'!K18-'Impacts B'!K18</f>
        <v>0</v>
      </c>
      <c r="L18" s="22">
        <f>'Impacts A'!L18-'Impacts B'!L18</f>
        <v>0</v>
      </c>
    </row>
    <row r="19" spans="1:14" s="4" customFormat="1" ht="13" thickBot="1" x14ac:dyDescent="0.3">
      <c r="A19" s="4" t="s">
        <v>112</v>
      </c>
      <c r="C19" s="49">
        <f>'Impacts A'!C19-'Impacts B'!C19</f>
        <v>0</v>
      </c>
      <c r="D19" s="49">
        <f>'Impacts A'!D19-'Impacts B'!D19</f>
        <v>0</v>
      </c>
      <c r="E19" s="49">
        <f>'Impacts A'!E19-'Impacts B'!E19</f>
        <v>0</v>
      </c>
      <c r="F19" s="49">
        <f>'Impacts A'!F19-'Impacts B'!F19</f>
        <v>0</v>
      </c>
      <c r="G19" s="49">
        <f>'Impacts A'!G19-'Impacts B'!G19</f>
        <v>0</v>
      </c>
      <c r="H19" s="49">
        <f>'Impacts A'!H19-'Impacts B'!H19</f>
        <v>0</v>
      </c>
      <c r="I19" s="49">
        <f>'Impacts A'!I19-'Impacts B'!I19</f>
        <v>0</v>
      </c>
      <c r="J19" s="49">
        <f>'Impacts A'!J19-'Impacts B'!J19</f>
        <v>0</v>
      </c>
      <c r="K19" s="49">
        <f>'Impacts A'!K19-'Impacts B'!K19</f>
        <v>0</v>
      </c>
      <c r="L19" s="49">
        <f>'Impacts A'!L19-'Impacts B'!L19</f>
        <v>0</v>
      </c>
      <c r="N19" s="4" t="s">
        <v>47</v>
      </c>
    </row>
    <row r="20" spans="1:14" s="4" customFormat="1" ht="13" thickTop="1" x14ac:dyDescent="0.25"/>
    <row r="21" spans="1:14" ht="13" x14ac:dyDescent="0.3">
      <c r="A21" s="2" t="s">
        <v>106</v>
      </c>
      <c r="B21" s="2"/>
    </row>
    <row r="22" spans="1:14" ht="15.5" x14ac:dyDescent="0.4">
      <c r="C22" s="3" t="s">
        <v>253</v>
      </c>
      <c r="D22" s="9"/>
      <c r="E22" s="9"/>
      <c r="F22" s="9"/>
      <c r="G22" s="9"/>
      <c r="H22" s="9"/>
      <c r="I22" s="9"/>
      <c r="J22" s="9"/>
      <c r="K22" s="9"/>
      <c r="L22" s="9"/>
    </row>
    <row r="23" spans="1:14" x14ac:dyDescent="0.25">
      <c r="A23" t="str">
        <f t="array" ref="A23:A30">R_CODE&amp;" sea level"</f>
        <v>EU sea level</v>
      </c>
      <c r="C23" s="21">
        <f>'Impacts A'!C23-'Impacts B'!C23</f>
        <v>0</v>
      </c>
      <c r="D23" s="21">
        <f>'Impacts A'!D23-'Impacts B'!D23</f>
        <v>0</v>
      </c>
      <c r="E23" s="21">
        <f>'Impacts A'!E23-'Impacts B'!E23</f>
        <v>0</v>
      </c>
      <c r="F23" s="21">
        <f>'Impacts A'!F23-'Impacts B'!F23</f>
        <v>0</v>
      </c>
      <c r="G23" s="21">
        <f>'Impacts A'!G23-'Impacts B'!G23</f>
        <v>0</v>
      </c>
      <c r="H23" s="21">
        <f>'Impacts A'!H23-'Impacts B'!H23</f>
        <v>0</v>
      </c>
      <c r="I23" s="21">
        <f>'Impacts A'!I23-'Impacts B'!I23</f>
        <v>0</v>
      </c>
      <c r="J23" s="21">
        <f>'Impacts A'!J23-'Impacts B'!J23</f>
        <v>0</v>
      </c>
      <c r="K23" s="21">
        <f>'Impacts A'!K23-'Impacts B'!K23</f>
        <v>0</v>
      </c>
      <c r="L23" s="21">
        <f>'Impacts A'!L23-'Impacts B'!L23</f>
        <v>0</v>
      </c>
      <c r="N23" s="84" t="s">
        <v>228</v>
      </c>
    </row>
    <row r="24" spans="1:14" x14ac:dyDescent="0.25">
      <c r="A24" t="str">
        <v>US sea level</v>
      </c>
      <c r="C24" s="21">
        <f>'Impacts A'!C24-'Impacts B'!C24</f>
        <v>0</v>
      </c>
      <c r="D24" s="21">
        <f>'Impacts A'!D24-'Impacts B'!D24</f>
        <v>0</v>
      </c>
      <c r="E24" s="21">
        <f>'Impacts A'!E24-'Impacts B'!E24</f>
        <v>0</v>
      </c>
      <c r="F24" s="21">
        <f>'Impacts A'!F24-'Impacts B'!F24</f>
        <v>0</v>
      </c>
      <c r="G24" s="21">
        <f>'Impacts A'!G24-'Impacts B'!G24</f>
        <v>0</v>
      </c>
      <c r="H24" s="21">
        <f>'Impacts A'!H24-'Impacts B'!H24</f>
        <v>0</v>
      </c>
      <c r="I24" s="21">
        <f>'Impacts A'!I24-'Impacts B'!I24</f>
        <v>0</v>
      </c>
      <c r="J24" s="21">
        <f>'Impacts A'!J24-'Impacts B'!J24</f>
        <v>0</v>
      </c>
      <c r="K24" s="21">
        <f>'Impacts A'!K24-'Impacts B'!K24</f>
        <v>0</v>
      </c>
      <c r="L24" s="21">
        <f>'Impacts A'!L24-'Impacts B'!L24</f>
        <v>0</v>
      </c>
      <c r="N24" s="84" t="s">
        <v>228</v>
      </c>
    </row>
    <row r="25" spans="1:14" x14ac:dyDescent="0.25">
      <c r="A25" t="str">
        <v>OT sea level</v>
      </c>
      <c r="C25" s="21">
        <f>'Impacts A'!C25-'Impacts B'!C25</f>
        <v>0</v>
      </c>
      <c r="D25" s="21">
        <f>'Impacts A'!D25-'Impacts B'!D25</f>
        <v>0</v>
      </c>
      <c r="E25" s="21">
        <f>'Impacts A'!E25-'Impacts B'!E25</f>
        <v>0</v>
      </c>
      <c r="F25" s="21">
        <f>'Impacts A'!F25-'Impacts B'!F25</f>
        <v>0</v>
      </c>
      <c r="G25" s="21">
        <f>'Impacts A'!G25-'Impacts B'!G25</f>
        <v>0</v>
      </c>
      <c r="H25" s="21">
        <f>'Impacts A'!H25-'Impacts B'!H25</f>
        <v>0</v>
      </c>
      <c r="I25" s="21">
        <f>'Impacts A'!I25-'Impacts B'!I25</f>
        <v>0</v>
      </c>
      <c r="J25" s="21">
        <f>'Impacts A'!J25-'Impacts B'!J25</f>
        <v>0</v>
      </c>
      <c r="K25" s="21">
        <f>'Impacts A'!K25-'Impacts B'!K25</f>
        <v>0</v>
      </c>
      <c r="L25" s="21">
        <f>'Impacts A'!L25-'Impacts B'!L25</f>
        <v>0</v>
      </c>
      <c r="N25" s="84" t="s">
        <v>228</v>
      </c>
    </row>
    <row r="26" spans="1:14" x14ac:dyDescent="0.25">
      <c r="A26" t="str">
        <v>EE sea level</v>
      </c>
      <c r="C26" s="21">
        <f>'Impacts A'!C26-'Impacts B'!C26</f>
        <v>0</v>
      </c>
      <c r="D26" s="21">
        <f>'Impacts A'!D26-'Impacts B'!D26</f>
        <v>0</v>
      </c>
      <c r="E26" s="21">
        <f>'Impacts A'!E26-'Impacts B'!E26</f>
        <v>0</v>
      </c>
      <c r="F26" s="21">
        <f>'Impacts A'!F26-'Impacts B'!F26</f>
        <v>0</v>
      </c>
      <c r="G26" s="21">
        <f>'Impacts A'!G26-'Impacts B'!G26</f>
        <v>0</v>
      </c>
      <c r="H26" s="21">
        <f>'Impacts A'!H26-'Impacts B'!H26</f>
        <v>0</v>
      </c>
      <c r="I26" s="21">
        <f>'Impacts A'!I26-'Impacts B'!I26</f>
        <v>0</v>
      </c>
      <c r="J26" s="21">
        <f>'Impacts A'!J26-'Impacts B'!J26</f>
        <v>0</v>
      </c>
      <c r="K26" s="21">
        <f>'Impacts A'!K26-'Impacts B'!K26</f>
        <v>0</v>
      </c>
      <c r="L26" s="21">
        <f>'Impacts A'!L26-'Impacts B'!L26</f>
        <v>0</v>
      </c>
      <c r="N26" s="84" t="s">
        <v>228</v>
      </c>
    </row>
    <row r="27" spans="1:14" x14ac:dyDescent="0.25">
      <c r="A27" t="str">
        <v>CA sea level</v>
      </c>
      <c r="C27" s="21">
        <f>'Impacts A'!C27-'Impacts B'!C27</f>
        <v>0</v>
      </c>
      <c r="D27" s="21">
        <f>'Impacts A'!D27-'Impacts B'!D27</f>
        <v>0</v>
      </c>
      <c r="E27" s="21">
        <f>'Impacts A'!E27-'Impacts B'!E27</f>
        <v>0</v>
      </c>
      <c r="F27" s="21">
        <f>'Impacts A'!F27-'Impacts B'!F27</f>
        <v>0</v>
      </c>
      <c r="G27" s="21">
        <f>'Impacts A'!G27-'Impacts B'!G27</f>
        <v>0</v>
      </c>
      <c r="H27" s="21">
        <f>'Impacts A'!H27-'Impacts B'!H27</f>
        <v>0</v>
      </c>
      <c r="I27" s="21">
        <f>'Impacts A'!I27-'Impacts B'!I27</f>
        <v>0</v>
      </c>
      <c r="J27" s="21">
        <f>'Impacts A'!J27-'Impacts B'!J27</f>
        <v>0</v>
      </c>
      <c r="K27" s="21">
        <f>'Impacts A'!K27-'Impacts B'!K27</f>
        <v>0</v>
      </c>
      <c r="L27" s="21">
        <f>'Impacts A'!L27-'Impacts B'!L27</f>
        <v>0</v>
      </c>
      <c r="N27" s="84" t="s">
        <v>228</v>
      </c>
    </row>
    <row r="28" spans="1:14" x14ac:dyDescent="0.25">
      <c r="A28" t="str">
        <v>IA sea level</v>
      </c>
      <c r="C28" s="21">
        <f>'Impacts A'!C28-'Impacts B'!C28</f>
        <v>0</v>
      </c>
      <c r="D28" s="21">
        <f>'Impacts A'!D28-'Impacts B'!D28</f>
        <v>0</v>
      </c>
      <c r="E28" s="21">
        <f>'Impacts A'!E28-'Impacts B'!E28</f>
        <v>0</v>
      </c>
      <c r="F28" s="21">
        <f>'Impacts A'!F28-'Impacts B'!F28</f>
        <v>0</v>
      </c>
      <c r="G28" s="21">
        <f>'Impacts A'!G28-'Impacts B'!G28</f>
        <v>0</v>
      </c>
      <c r="H28" s="21">
        <f>'Impacts A'!H28-'Impacts B'!H28</f>
        <v>0</v>
      </c>
      <c r="I28" s="21">
        <f>'Impacts A'!I28-'Impacts B'!I28</f>
        <v>0</v>
      </c>
      <c r="J28" s="21">
        <f>'Impacts A'!J28-'Impacts B'!J28</f>
        <v>0</v>
      </c>
      <c r="K28" s="21">
        <f>'Impacts A'!K28-'Impacts B'!K28</f>
        <v>0</v>
      </c>
      <c r="L28" s="21">
        <f>'Impacts A'!L28-'Impacts B'!L28</f>
        <v>0</v>
      </c>
      <c r="N28" s="84" t="s">
        <v>228</v>
      </c>
    </row>
    <row r="29" spans="1:14" x14ac:dyDescent="0.25">
      <c r="A29" t="str">
        <v>AF sea level</v>
      </c>
      <c r="C29" s="21">
        <f>'Impacts A'!C29-'Impacts B'!C29</f>
        <v>0</v>
      </c>
      <c r="D29" s="21">
        <f>'Impacts A'!D29-'Impacts B'!D29</f>
        <v>0</v>
      </c>
      <c r="E29" s="21">
        <f>'Impacts A'!E29-'Impacts B'!E29</f>
        <v>0</v>
      </c>
      <c r="F29" s="21">
        <f>'Impacts A'!F29-'Impacts B'!F29</f>
        <v>0</v>
      </c>
      <c r="G29" s="21">
        <f>'Impacts A'!G29-'Impacts B'!G29</f>
        <v>0</v>
      </c>
      <c r="H29" s="21">
        <f>'Impacts A'!H29-'Impacts B'!H29</f>
        <v>0</v>
      </c>
      <c r="I29" s="21">
        <f>'Impacts A'!I29-'Impacts B'!I29</f>
        <v>0</v>
      </c>
      <c r="J29" s="21">
        <f>'Impacts A'!J29-'Impacts B'!J29</f>
        <v>0</v>
      </c>
      <c r="K29" s="21">
        <f>'Impacts A'!K29-'Impacts B'!K29</f>
        <v>0</v>
      </c>
      <c r="L29" s="21">
        <f>'Impacts A'!L29-'Impacts B'!L29</f>
        <v>0</v>
      </c>
      <c r="N29" s="84" t="s">
        <v>228</v>
      </c>
    </row>
    <row r="30" spans="1:14" x14ac:dyDescent="0.25">
      <c r="A30" t="str">
        <v>LA sea level</v>
      </c>
      <c r="C30" s="21">
        <f>'Impacts A'!C30-'Impacts B'!C30</f>
        <v>0</v>
      </c>
      <c r="D30" s="21">
        <f>'Impacts A'!D30-'Impacts B'!D30</f>
        <v>0</v>
      </c>
      <c r="E30" s="21">
        <f>'Impacts A'!E30-'Impacts B'!E30</f>
        <v>0</v>
      </c>
      <c r="F30" s="21">
        <f>'Impacts A'!F30-'Impacts B'!F30</f>
        <v>0</v>
      </c>
      <c r="G30" s="21">
        <f>'Impacts A'!G30-'Impacts B'!G30</f>
        <v>0</v>
      </c>
      <c r="H30" s="21">
        <f>'Impacts A'!H30-'Impacts B'!H30</f>
        <v>0</v>
      </c>
      <c r="I30" s="21">
        <f>'Impacts A'!I30-'Impacts B'!I30</f>
        <v>0</v>
      </c>
      <c r="J30" s="21">
        <f>'Impacts A'!J30-'Impacts B'!J30</f>
        <v>0</v>
      </c>
      <c r="K30" s="21">
        <f>'Impacts A'!K30-'Impacts B'!K30</f>
        <v>0</v>
      </c>
      <c r="L30" s="21">
        <f>'Impacts A'!L30-'Impacts B'!L30</f>
        <v>0</v>
      </c>
      <c r="N30" s="84" t="s">
        <v>228</v>
      </c>
    </row>
    <row r="31" spans="1:14" ht="15.5" x14ac:dyDescent="0.4">
      <c r="C31" t="s">
        <v>107</v>
      </c>
      <c r="D31" s="9"/>
      <c r="E31" s="9"/>
      <c r="F31" s="9"/>
      <c r="G31" s="9"/>
      <c r="H31" s="9"/>
      <c r="I31" s="9"/>
      <c r="J31" s="9"/>
      <c r="K31" s="9"/>
      <c r="L31" s="9"/>
    </row>
    <row r="32" spans="1:14" x14ac:dyDescent="0.25">
      <c r="A32" t="str">
        <f t="array" ref="A32:A39">R_CODE&amp;" "&amp;I_1_NAME</f>
        <v>EU Economic</v>
      </c>
      <c r="C32" s="21">
        <f>'Impacts A'!C32-'Impacts B'!C32</f>
        <v>0</v>
      </c>
      <c r="D32" s="21">
        <f>'Impacts A'!D32-'Impacts B'!D32</f>
        <v>0</v>
      </c>
      <c r="E32" s="21">
        <f>'Impacts A'!E32-'Impacts B'!E32</f>
        <v>0</v>
      </c>
      <c r="F32" s="21">
        <f>'Impacts A'!F32-'Impacts B'!F32</f>
        <v>0</v>
      </c>
      <c r="G32" s="21">
        <f>'Impacts A'!G32-'Impacts B'!G32</f>
        <v>0</v>
      </c>
      <c r="H32" s="21">
        <f>'Impacts A'!H32-'Impacts B'!H32</f>
        <v>0</v>
      </c>
      <c r="I32" s="21">
        <f>'Impacts A'!I32-'Impacts B'!I32</f>
        <v>0</v>
      </c>
      <c r="J32" s="21">
        <f>'Impacts A'!J32-'Impacts B'!J32</f>
        <v>0</v>
      </c>
      <c r="K32" s="21">
        <f>'Impacts A'!K32-'Impacts B'!K32</f>
        <v>0</v>
      </c>
      <c r="L32" s="21">
        <f>'Impacts A'!L32-'Impacts B'!L32</f>
        <v>0</v>
      </c>
      <c r="N32" s="84" t="s">
        <v>49</v>
      </c>
    </row>
    <row r="33" spans="1:14" x14ac:dyDescent="0.25">
      <c r="A33" t="str">
        <v>US Economic</v>
      </c>
      <c r="C33" s="21">
        <f>'Impacts A'!C33-'Impacts B'!C33</f>
        <v>0</v>
      </c>
      <c r="D33" s="21">
        <f>'Impacts A'!D33-'Impacts B'!D33</f>
        <v>0</v>
      </c>
      <c r="E33" s="21">
        <f>'Impacts A'!E33-'Impacts B'!E33</f>
        <v>0</v>
      </c>
      <c r="F33" s="21">
        <f>'Impacts A'!F33-'Impacts B'!F33</f>
        <v>0</v>
      </c>
      <c r="G33" s="21">
        <f>'Impacts A'!G33-'Impacts B'!G33</f>
        <v>0</v>
      </c>
      <c r="H33" s="21">
        <f>'Impacts A'!H33-'Impacts B'!H33</f>
        <v>0</v>
      </c>
      <c r="I33" s="21">
        <f>'Impacts A'!I33-'Impacts B'!I33</f>
        <v>0</v>
      </c>
      <c r="J33" s="21">
        <f>'Impacts A'!J33-'Impacts B'!J33</f>
        <v>0</v>
      </c>
      <c r="K33" s="21">
        <f>'Impacts A'!K33-'Impacts B'!K33</f>
        <v>0</v>
      </c>
      <c r="L33" s="21">
        <f>'Impacts A'!L33-'Impacts B'!L33</f>
        <v>0</v>
      </c>
      <c r="N33" s="84" t="s">
        <v>49</v>
      </c>
    </row>
    <row r="34" spans="1:14" x14ac:dyDescent="0.25">
      <c r="A34" t="str">
        <v>OT Economic</v>
      </c>
      <c r="C34" s="21">
        <f>'Impacts A'!C34-'Impacts B'!C34</f>
        <v>0</v>
      </c>
      <c r="D34" s="21">
        <f>'Impacts A'!D34-'Impacts B'!D34</f>
        <v>0</v>
      </c>
      <c r="E34" s="21">
        <f>'Impacts A'!E34-'Impacts B'!E34</f>
        <v>0</v>
      </c>
      <c r="F34" s="21">
        <f>'Impacts A'!F34-'Impacts B'!F34</f>
        <v>0</v>
      </c>
      <c r="G34" s="21">
        <f>'Impacts A'!G34-'Impacts B'!G34</f>
        <v>0</v>
      </c>
      <c r="H34" s="21">
        <f>'Impacts A'!H34-'Impacts B'!H34</f>
        <v>0</v>
      </c>
      <c r="I34" s="21">
        <f>'Impacts A'!I34-'Impacts B'!I34</f>
        <v>0</v>
      </c>
      <c r="J34" s="21">
        <f>'Impacts A'!J34-'Impacts B'!J34</f>
        <v>0</v>
      </c>
      <c r="K34" s="21">
        <f>'Impacts A'!K34-'Impacts B'!K34</f>
        <v>0</v>
      </c>
      <c r="L34" s="21">
        <f>'Impacts A'!L34-'Impacts B'!L34</f>
        <v>0</v>
      </c>
      <c r="N34" s="84" t="s">
        <v>49</v>
      </c>
    </row>
    <row r="35" spans="1:14" x14ac:dyDescent="0.25">
      <c r="A35" t="str">
        <v>EE Economic</v>
      </c>
      <c r="C35" s="21">
        <f>'Impacts A'!C35-'Impacts B'!C35</f>
        <v>0</v>
      </c>
      <c r="D35" s="21">
        <f>'Impacts A'!D35-'Impacts B'!D35</f>
        <v>0</v>
      </c>
      <c r="E35" s="21">
        <f>'Impacts A'!E35-'Impacts B'!E35</f>
        <v>0</v>
      </c>
      <c r="F35" s="21">
        <f>'Impacts A'!F35-'Impacts B'!F35</f>
        <v>0</v>
      </c>
      <c r="G35" s="21">
        <f>'Impacts A'!G35-'Impacts B'!G35</f>
        <v>0</v>
      </c>
      <c r="H35" s="21">
        <f>'Impacts A'!H35-'Impacts B'!H35</f>
        <v>0</v>
      </c>
      <c r="I35" s="21">
        <f>'Impacts A'!I35-'Impacts B'!I35</f>
        <v>0</v>
      </c>
      <c r="J35" s="21">
        <f>'Impacts A'!J35-'Impacts B'!J35</f>
        <v>0</v>
      </c>
      <c r="K35" s="21">
        <f>'Impacts A'!K35-'Impacts B'!K35</f>
        <v>0</v>
      </c>
      <c r="L35" s="21">
        <f>'Impacts A'!L35-'Impacts B'!L35</f>
        <v>0</v>
      </c>
      <c r="N35" s="84" t="s">
        <v>49</v>
      </c>
    </row>
    <row r="36" spans="1:14" x14ac:dyDescent="0.25">
      <c r="A36" t="str">
        <v>CA Economic</v>
      </c>
      <c r="C36" s="21">
        <f>'Impacts A'!C36-'Impacts B'!C36</f>
        <v>0</v>
      </c>
      <c r="D36" s="21">
        <f>'Impacts A'!D36-'Impacts B'!D36</f>
        <v>0</v>
      </c>
      <c r="E36" s="21">
        <f>'Impacts A'!E36-'Impacts B'!E36</f>
        <v>0</v>
      </c>
      <c r="F36" s="21">
        <f>'Impacts A'!F36-'Impacts B'!F36</f>
        <v>0</v>
      </c>
      <c r="G36" s="21">
        <f>'Impacts A'!G36-'Impacts B'!G36</f>
        <v>0</v>
      </c>
      <c r="H36" s="21">
        <f>'Impacts A'!H36-'Impacts B'!H36</f>
        <v>0</v>
      </c>
      <c r="I36" s="21">
        <f>'Impacts A'!I36-'Impacts B'!I36</f>
        <v>0</v>
      </c>
      <c r="J36" s="21">
        <f>'Impacts A'!J36-'Impacts B'!J36</f>
        <v>0</v>
      </c>
      <c r="K36" s="21">
        <f>'Impacts A'!K36-'Impacts B'!K36</f>
        <v>0</v>
      </c>
      <c r="L36" s="21">
        <f>'Impacts A'!L36-'Impacts B'!L36</f>
        <v>0</v>
      </c>
      <c r="N36" s="84" t="s">
        <v>49</v>
      </c>
    </row>
    <row r="37" spans="1:14" x14ac:dyDescent="0.25">
      <c r="A37" t="str">
        <v>IA Economic</v>
      </c>
      <c r="C37" s="21">
        <f>'Impacts A'!C37-'Impacts B'!C37</f>
        <v>0</v>
      </c>
      <c r="D37" s="21">
        <f>'Impacts A'!D37-'Impacts B'!D37</f>
        <v>0</v>
      </c>
      <c r="E37" s="21">
        <f>'Impacts A'!E37-'Impacts B'!E37</f>
        <v>0</v>
      </c>
      <c r="F37" s="21">
        <f>'Impacts A'!F37-'Impacts B'!F37</f>
        <v>0</v>
      </c>
      <c r="G37" s="21">
        <f>'Impacts A'!G37-'Impacts B'!G37</f>
        <v>0</v>
      </c>
      <c r="H37" s="21">
        <f>'Impacts A'!H37-'Impacts B'!H37</f>
        <v>0</v>
      </c>
      <c r="I37" s="21">
        <f>'Impacts A'!I37-'Impacts B'!I37</f>
        <v>0</v>
      </c>
      <c r="J37" s="21">
        <f>'Impacts A'!J37-'Impacts B'!J37</f>
        <v>0</v>
      </c>
      <c r="K37" s="21">
        <f>'Impacts A'!K37-'Impacts B'!K37</f>
        <v>0</v>
      </c>
      <c r="L37" s="21">
        <f>'Impacts A'!L37-'Impacts B'!L37</f>
        <v>0</v>
      </c>
      <c r="N37" s="84" t="s">
        <v>49</v>
      </c>
    </row>
    <row r="38" spans="1:14" x14ac:dyDescent="0.25">
      <c r="A38" t="str">
        <v>AF Economic</v>
      </c>
      <c r="C38" s="21">
        <f>'Impacts A'!C38-'Impacts B'!C38</f>
        <v>0</v>
      </c>
      <c r="D38" s="21">
        <f>'Impacts A'!D38-'Impacts B'!D38</f>
        <v>0</v>
      </c>
      <c r="E38" s="21">
        <f>'Impacts A'!E38-'Impacts B'!E38</f>
        <v>0</v>
      </c>
      <c r="F38" s="21">
        <f>'Impacts A'!F38-'Impacts B'!F38</f>
        <v>0</v>
      </c>
      <c r="G38" s="21">
        <f>'Impacts A'!G38-'Impacts B'!G38</f>
        <v>0</v>
      </c>
      <c r="H38" s="21">
        <f>'Impacts A'!H38-'Impacts B'!H38</f>
        <v>0</v>
      </c>
      <c r="I38" s="21">
        <f>'Impacts A'!I38-'Impacts B'!I38</f>
        <v>0</v>
      </c>
      <c r="J38" s="21">
        <f>'Impacts A'!J38-'Impacts B'!J38</f>
        <v>0</v>
      </c>
      <c r="K38" s="21">
        <f>'Impacts A'!K38-'Impacts B'!K38</f>
        <v>0</v>
      </c>
      <c r="L38" s="21">
        <f>'Impacts A'!L38-'Impacts B'!L38</f>
        <v>0</v>
      </c>
      <c r="N38" s="84" t="s">
        <v>49</v>
      </c>
    </row>
    <row r="39" spans="1:14" x14ac:dyDescent="0.25">
      <c r="A39" t="str">
        <v>LA Economic</v>
      </c>
      <c r="C39" s="21">
        <f>'Impacts A'!C39-'Impacts B'!C39</f>
        <v>0</v>
      </c>
      <c r="D39" s="21">
        <f>'Impacts A'!D39-'Impacts B'!D39</f>
        <v>0</v>
      </c>
      <c r="E39" s="21">
        <f>'Impacts A'!E39-'Impacts B'!E39</f>
        <v>0</v>
      </c>
      <c r="F39" s="21">
        <f>'Impacts A'!F39-'Impacts B'!F39</f>
        <v>0</v>
      </c>
      <c r="G39" s="21">
        <f>'Impacts A'!G39-'Impacts B'!G39</f>
        <v>0</v>
      </c>
      <c r="H39" s="21">
        <f>'Impacts A'!H39-'Impacts B'!H39</f>
        <v>0</v>
      </c>
      <c r="I39" s="21">
        <f>'Impacts A'!I39-'Impacts B'!I39</f>
        <v>0</v>
      </c>
      <c r="J39" s="21">
        <f>'Impacts A'!J39-'Impacts B'!J39</f>
        <v>0</v>
      </c>
      <c r="K39" s="21">
        <f>'Impacts A'!K39-'Impacts B'!K39</f>
        <v>0</v>
      </c>
      <c r="L39" s="21">
        <f>'Impacts A'!L39-'Impacts B'!L39</f>
        <v>0</v>
      </c>
      <c r="N39" s="84" t="s">
        <v>49</v>
      </c>
    </row>
    <row r="40" spans="1:14" ht="15.5" x14ac:dyDescent="0.4">
      <c r="C40" t="s">
        <v>110</v>
      </c>
      <c r="D40" s="9"/>
      <c r="E40" s="9"/>
      <c r="F40" s="9"/>
      <c r="G40" s="9"/>
      <c r="H40" s="9"/>
      <c r="I40" s="9"/>
      <c r="J40" s="9"/>
      <c r="K40" s="9"/>
      <c r="L40" s="9"/>
      <c r="N40" s="1"/>
    </row>
    <row r="41" spans="1:14" x14ac:dyDescent="0.25">
      <c r="A41" t="str">
        <f t="array" ref="A41:A48">R_CODE&amp;" "&amp;I_2_NAME</f>
        <v>EU Non-econ</v>
      </c>
      <c r="C41" s="21">
        <f>'Impacts A'!C41-'Impacts B'!C41</f>
        <v>0</v>
      </c>
      <c r="D41" s="21">
        <f>'Impacts A'!D41-'Impacts B'!D41</f>
        <v>0</v>
      </c>
      <c r="E41" s="21">
        <f>'Impacts A'!E41-'Impacts B'!E41</f>
        <v>0</v>
      </c>
      <c r="F41" s="21">
        <f>'Impacts A'!F41-'Impacts B'!F41</f>
        <v>0</v>
      </c>
      <c r="G41" s="21">
        <f>'Impacts A'!G41-'Impacts B'!G41</f>
        <v>0</v>
      </c>
      <c r="H41" s="21">
        <f>'Impacts A'!H41-'Impacts B'!H41</f>
        <v>0</v>
      </c>
      <c r="I41" s="21">
        <f>'Impacts A'!I41-'Impacts B'!I41</f>
        <v>0</v>
      </c>
      <c r="J41" s="21">
        <f>'Impacts A'!J41-'Impacts B'!J41</f>
        <v>0</v>
      </c>
      <c r="K41" s="21">
        <f>'Impacts A'!K41-'Impacts B'!K41</f>
        <v>0</v>
      </c>
      <c r="L41" s="21">
        <f>'Impacts A'!L41-'Impacts B'!L41</f>
        <v>0</v>
      </c>
      <c r="N41" s="84" t="s">
        <v>49</v>
      </c>
    </row>
    <row r="42" spans="1:14" x14ac:dyDescent="0.25">
      <c r="A42" t="str">
        <v>US Non-econ</v>
      </c>
      <c r="C42" s="21">
        <f>'Impacts A'!C42-'Impacts B'!C42</f>
        <v>0</v>
      </c>
      <c r="D42" s="21">
        <f>'Impacts A'!D42-'Impacts B'!D42</f>
        <v>0</v>
      </c>
      <c r="E42" s="21">
        <f>'Impacts A'!E42-'Impacts B'!E42</f>
        <v>0</v>
      </c>
      <c r="F42" s="21">
        <f>'Impacts A'!F42-'Impacts B'!F42</f>
        <v>0</v>
      </c>
      <c r="G42" s="21">
        <f>'Impacts A'!G42-'Impacts B'!G42</f>
        <v>0</v>
      </c>
      <c r="H42" s="21">
        <f>'Impacts A'!H42-'Impacts B'!H42</f>
        <v>0</v>
      </c>
      <c r="I42" s="21">
        <f>'Impacts A'!I42-'Impacts B'!I42</f>
        <v>0</v>
      </c>
      <c r="J42" s="21">
        <f>'Impacts A'!J42-'Impacts B'!J42</f>
        <v>0</v>
      </c>
      <c r="K42" s="21">
        <f>'Impacts A'!K42-'Impacts B'!K42</f>
        <v>0</v>
      </c>
      <c r="L42" s="21">
        <f>'Impacts A'!L42-'Impacts B'!L42</f>
        <v>0</v>
      </c>
      <c r="N42" s="84" t="s">
        <v>49</v>
      </c>
    </row>
    <row r="43" spans="1:14" x14ac:dyDescent="0.25">
      <c r="A43" t="str">
        <v>OT Non-econ</v>
      </c>
      <c r="C43" s="21">
        <f>'Impacts A'!C43-'Impacts B'!C43</f>
        <v>0</v>
      </c>
      <c r="D43" s="21">
        <f>'Impacts A'!D43-'Impacts B'!D43</f>
        <v>0</v>
      </c>
      <c r="E43" s="21">
        <f>'Impacts A'!E43-'Impacts B'!E43</f>
        <v>0</v>
      </c>
      <c r="F43" s="21">
        <f>'Impacts A'!F43-'Impacts B'!F43</f>
        <v>0</v>
      </c>
      <c r="G43" s="21">
        <f>'Impacts A'!G43-'Impacts B'!G43</f>
        <v>0</v>
      </c>
      <c r="H43" s="21">
        <f>'Impacts A'!H43-'Impacts B'!H43</f>
        <v>0</v>
      </c>
      <c r="I43" s="21">
        <f>'Impacts A'!I43-'Impacts B'!I43</f>
        <v>0</v>
      </c>
      <c r="J43" s="21">
        <f>'Impacts A'!J43-'Impacts B'!J43</f>
        <v>0</v>
      </c>
      <c r="K43" s="21">
        <f>'Impacts A'!K43-'Impacts B'!K43</f>
        <v>0</v>
      </c>
      <c r="L43" s="21">
        <f>'Impacts A'!L43-'Impacts B'!L43</f>
        <v>0</v>
      </c>
      <c r="N43" s="84" t="s">
        <v>49</v>
      </c>
    </row>
    <row r="44" spans="1:14" x14ac:dyDescent="0.25">
      <c r="A44" t="str">
        <v>EE Non-econ</v>
      </c>
      <c r="C44" s="21">
        <f>'Impacts A'!C44-'Impacts B'!C44</f>
        <v>0</v>
      </c>
      <c r="D44" s="21">
        <f>'Impacts A'!D44-'Impacts B'!D44</f>
        <v>0</v>
      </c>
      <c r="E44" s="21">
        <f>'Impacts A'!E44-'Impacts B'!E44</f>
        <v>0</v>
      </c>
      <c r="F44" s="21">
        <f>'Impacts A'!F44-'Impacts B'!F44</f>
        <v>0</v>
      </c>
      <c r="G44" s="21">
        <f>'Impacts A'!G44-'Impacts B'!G44</f>
        <v>0</v>
      </c>
      <c r="H44" s="21">
        <f>'Impacts A'!H44-'Impacts B'!H44</f>
        <v>0</v>
      </c>
      <c r="I44" s="21">
        <f>'Impacts A'!I44-'Impacts B'!I44</f>
        <v>0</v>
      </c>
      <c r="J44" s="21">
        <f>'Impacts A'!J44-'Impacts B'!J44</f>
        <v>0</v>
      </c>
      <c r="K44" s="21">
        <f>'Impacts A'!K44-'Impacts B'!K44</f>
        <v>0</v>
      </c>
      <c r="L44" s="21">
        <f>'Impacts A'!L44-'Impacts B'!L44</f>
        <v>0</v>
      </c>
      <c r="N44" s="84" t="s">
        <v>49</v>
      </c>
    </row>
    <row r="45" spans="1:14" x14ac:dyDescent="0.25">
      <c r="A45" t="str">
        <v>CA Non-econ</v>
      </c>
      <c r="C45" s="21">
        <f>'Impacts A'!C45-'Impacts B'!C45</f>
        <v>0</v>
      </c>
      <c r="D45" s="21">
        <f>'Impacts A'!D45-'Impacts B'!D45</f>
        <v>0</v>
      </c>
      <c r="E45" s="21">
        <f>'Impacts A'!E45-'Impacts B'!E45</f>
        <v>0</v>
      </c>
      <c r="F45" s="21">
        <f>'Impacts A'!F45-'Impacts B'!F45</f>
        <v>0</v>
      </c>
      <c r="G45" s="21">
        <f>'Impacts A'!G45-'Impacts B'!G45</f>
        <v>0</v>
      </c>
      <c r="H45" s="21">
        <f>'Impacts A'!H45-'Impacts B'!H45</f>
        <v>0</v>
      </c>
      <c r="I45" s="21">
        <f>'Impacts A'!I45-'Impacts B'!I45</f>
        <v>0</v>
      </c>
      <c r="J45" s="21">
        <f>'Impacts A'!J45-'Impacts B'!J45</f>
        <v>0</v>
      </c>
      <c r="K45" s="21">
        <f>'Impacts A'!K45-'Impacts B'!K45</f>
        <v>0</v>
      </c>
      <c r="L45" s="21">
        <f>'Impacts A'!L45-'Impacts B'!L45</f>
        <v>0</v>
      </c>
      <c r="N45" s="84" t="s">
        <v>49</v>
      </c>
    </row>
    <row r="46" spans="1:14" x14ac:dyDescent="0.25">
      <c r="A46" t="str">
        <v>IA Non-econ</v>
      </c>
      <c r="C46" s="21">
        <f>'Impacts A'!C46-'Impacts B'!C46</f>
        <v>0</v>
      </c>
      <c r="D46" s="21">
        <f>'Impacts A'!D46-'Impacts B'!D46</f>
        <v>0</v>
      </c>
      <c r="E46" s="21">
        <f>'Impacts A'!E46-'Impacts B'!E46</f>
        <v>0</v>
      </c>
      <c r="F46" s="21">
        <f>'Impacts A'!F46-'Impacts B'!F46</f>
        <v>0</v>
      </c>
      <c r="G46" s="21">
        <f>'Impacts A'!G46-'Impacts B'!G46</f>
        <v>0</v>
      </c>
      <c r="H46" s="21">
        <f>'Impacts A'!H46-'Impacts B'!H46</f>
        <v>0</v>
      </c>
      <c r="I46" s="21">
        <f>'Impacts A'!I46-'Impacts B'!I46</f>
        <v>0</v>
      </c>
      <c r="J46" s="21">
        <f>'Impacts A'!J46-'Impacts B'!J46</f>
        <v>0</v>
      </c>
      <c r="K46" s="21">
        <f>'Impacts A'!K46-'Impacts B'!K46</f>
        <v>0</v>
      </c>
      <c r="L46" s="21">
        <f>'Impacts A'!L46-'Impacts B'!L46</f>
        <v>0</v>
      </c>
      <c r="N46" s="84" t="s">
        <v>49</v>
      </c>
    </row>
    <row r="47" spans="1:14" x14ac:dyDescent="0.25">
      <c r="A47" t="str">
        <v>AF Non-econ</v>
      </c>
      <c r="C47" s="21">
        <f>'Impacts A'!C47-'Impacts B'!C47</f>
        <v>0</v>
      </c>
      <c r="D47" s="21">
        <f>'Impacts A'!D47-'Impacts B'!D47</f>
        <v>0</v>
      </c>
      <c r="E47" s="21">
        <f>'Impacts A'!E47-'Impacts B'!E47</f>
        <v>0</v>
      </c>
      <c r="F47" s="21">
        <f>'Impacts A'!F47-'Impacts B'!F47</f>
        <v>0</v>
      </c>
      <c r="G47" s="21">
        <f>'Impacts A'!G47-'Impacts B'!G47</f>
        <v>0</v>
      </c>
      <c r="H47" s="21">
        <f>'Impacts A'!H47-'Impacts B'!H47</f>
        <v>0</v>
      </c>
      <c r="I47" s="21">
        <f>'Impacts A'!I47-'Impacts B'!I47</f>
        <v>0</v>
      </c>
      <c r="J47" s="21">
        <f>'Impacts A'!J47-'Impacts B'!J47</f>
        <v>0</v>
      </c>
      <c r="K47" s="21">
        <f>'Impacts A'!K47-'Impacts B'!K47</f>
        <v>0</v>
      </c>
      <c r="L47" s="21">
        <f>'Impacts A'!L47-'Impacts B'!L47</f>
        <v>0</v>
      </c>
      <c r="N47" s="84" t="s">
        <v>49</v>
      </c>
    </row>
    <row r="48" spans="1:14" x14ac:dyDescent="0.25">
      <c r="A48" t="str">
        <v>LA Non-econ</v>
      </c>
      <c r="C48" s="21">
        <f>'Impacts A'!C48-'Impacts B'!C48</f>
        <v>0</v>
      </c>
      <c r="D48" s="21">
        <f>'Impacts A'!D48-'Impacts B'!D48</f>
        <v>0</v>
      </c>
      <c r="E48" s="21">
        <f>'Impacts A'!E48-'Impacts B'!E48</f>
        <v>0</v>
      </c>
      <c r="F48" s="21">
        <f>'Impacts A'!F48-'Impacts B'!F48</f>
        <v>0</v>
      </c>
      <c r="G48" s="21">
        <f>'Impacts A'!G48-'Impacts B'!G48</f>
        <v>0</v>
      </c>
      <c r="H48" s="21">
        <f>'Impacts A'!H48-'Impacts B'!H48</f>
        <v>0</v>
      </c>
      <c r="I48" s="21">
        <f>'Impacts A'!I48-'Impacts B'!I48</f>
        <v>0</v>
      </c>
      <c r="J48" s="21">
        <f>'Impacts A'!J48-'Impacts B'!J48</f>
        <v>0</v>
      </c>
      <c r="K48" s="21">
        <f>'Impacts A'!K48-'Impacts B'!K48</f>
        <v>0</v>
      </c>
      <c r="L48" s="21">
        <f>'Impacts A'!L48-'Impacts B'!L48</f>
        <v>0</v>
      </c>
      <c r="N48" s="84" t="s">
        <v>49</v>
      </c>
    </row>
    <row r="49" spans="1:14" ht="15.5" x14ac:dyDescent="0.4">
      <c r="C49" s="89" t="s">
        <v>286</v>
      </c>
      <c r="D49" s="9"/>
      <c r="E49" s="9"/>
      <c r="F49" s="9"/>
      <c r="G49" s="9"/>
      <c r="H49" s="9"/>
      <c r="I49" s="9"/>
      <c r="J49" s="9"/>
      <c r="K49" s="9"/>
      <c r="L49" s="9"/>
    </row>
    <row r="50" spans="1:14" x14ac:dyDescent="0.25">
      <c r="A50" t="str">
        <f t="array" ref="A50:A57">R_CODE&amp;" sea level"</f>
        <v>EU sea level</v>
      </c>
      <c r="C50" s="21">
        <f>'Impacts A'!C50-'Impacts B'!C50</f>
        <v>0</v>
      </c>
      <c r="D50" s="21">
        <f>'Impacts A'!D50-'Impacts B'!D50</f>
        <v>0</v>
      </c>
      <c r="E50" s="21">
        <f>'Impacts A'!E50-'Impacts B'!E50</f>
        <v>0</v>
      </c>
      <c r="F50" s="21">
        <f>'Impacts A'!F50-'Impacts B'!F50</f>
        <v>0</v>
      </c>
      <c r="G50" s="21">
        <f>'Impacts A'!G50-'Impacts B'!G50</f>
        <v>0</v>
      </c>
      <c r="H50" s="21">
        <f>'Impacts A'!H50-'Impacts B'!H50</f>
        <v>0</v>
      </c>
      <c r="I50" s="21">
        <f>'Impacts A'!I50-'Impacts B'!I50</f>
        <v>0</v>
      </c>
      <c r="J50" s="21">
        <f>'Impacts A'!J50-'Impacts B'!J50</f>
        <v>0</v>
      </c>
      <c r="K50" s="21">
        <f>'Impacts A'!K50-'Impacts B'!K50</f>
        <v>0</v>
      </c>
      <c r="L50" s="21">
        <f>'Impacts A'!L50-'Impacts B'!L50</f>
        <v>0</v>
      </c>
      <c r="N50" s="84" t="s">
        <v>46</v>
      </c>
    </row>
    <row r="51" spans="1:14" x14ac:dyDescent="0.25">
      <c r="A51" t="str">
        <v>US sea level</v>
      </c>
      <c r="C51" s="21">
        <f>'Impacts A'!C51-'Impacts B'!C51</f>
        <v>0</v>
      </c>
      <c r="D51" s="21">
        <f>'Impacts A'!D51-'Impacts B'!D51</f>
        <v>0</v>
      </c>
      <c r="E51" s="21">
        <f>'Impacts A'!E51-'Impacts B'!E51</f>
        <v>0</v>
      </c>
      <c r="F51" s="21">
        <f>'Impacts A'!F51-'Impacts B'!F51</f>
        <v>0</v>
      </c>
      <c r="G51" s="21">
        <f>'Impacts A'!G51-'Impacts B'!G51</f>
        <v>0</v>
      </c>
      <c r="H51" s="21">
        <f>'Impacts A'!H51-'Impacts B'!H51</f>
        <v>0</v>
      </c>
      <c r="I51" s="21">
        <f>'Impacts A'!I51-'Impacts B'!I51</f>
        <v>0</v>
      </c>
      <c r="J51" s="21">
        <f>'Impacts A'!J51-'Impacts B'!J51</f>
        <v>0</v>
      </c>
      <c r="K51" s="21">
        <f>'Impacts A'!K51-'Impacts B'!K51</f>
        <v>0</v>
      </c>
      <c r="L51" s="21">
        <f>'Impacts A'!L51-'Impacts B'!L51</f>
        <v>0</v>
      </c>
      <c r="N51" s="84" t="s">
        <v>46</v>
      </c>
    </row>
    <row r="52" spans="1:14" x14ac:dyDescent="0.25">
      <c r="A52" t="str">
        <v>OT sea level</v>
      </c>
      <c r="C52" s="21">
        <f>'Impacts A'!C52-'Impacts B'!C52</f>
        <v>0</v>
      </c>
      <c r="D52" s="21">
        <f>'Impacts A'!D52-'Impacts B'!D52</f>
        <v>0</v>
      </c>
      <c r="E52" s="21">
        <f>'Impacts A'!E52-'Impacts B'!E52</f>
        <v>0</v>
      </c>
      <c r="F52" s="21">
        <f>'Impacts A'!F52-'Impacts B'!F52</f>
        <v>0</v>
      </c>
      <c r="G52" s="21">
        <f>'Impacts A'!G52-'Impacts B'!G52</f>
        <v>0</v>
      </c>
      <c r="H52" s="21">
        <f>'Impacts A'!H52-'Impacts B'!H52</f>
        <v>0</v>
      </c>
      <c r="I52" s="21">
        <f>'Impacts A'!I52-'Impacts B'!I52</f>
        <v>0</v>
      </c>
      <c r="J52" s="21">
        <f>'Impacts A'!J52-'Impacts B'!J52</f>
        <v>0</v>
      </c>
      <c r="K52" s="21">
        <f>'Impacts A'!K52-'Impacts B'!K52</f>
        <v>0</v>
      </c>
      <c r="L52" s="21">
        <f>'Impacts A'!L52-'Impacts B'!L52</f>
        <v>0</v>
      </c>
      <c r="N52" s="84" t="s">
        <v>46</v>
      </c>
    </row>
    <row r="53" spans="1:14" x14ac:dyDescent="0.25">
      <c r="A53" t="str">
        <v>EE sea level</v>
      </c>
      <c r="C53" s="21">
        <f>'Impacts A'!C53-'Impacts B'!C53</f>
        <v>0</v>
      </c>
      <c r="D53" s="21">
        <f>'Impacts A'!D53-'Impacts B'!D53</f>
        <v>0</v>
      </c>
      <c r="E53" s="21">
        <f>'Impacts A'!E53-'Impacts B'!E53</f>
        <v>0</v>
      </c>
      <c r="F53" s="21">
        <f>'Impacts A'!F53-'Impacts B'!F53</f>
        <v>0</v>
      </c>
      <c r="G53" s="21">
        <f>'Impacts A'!G53-'Impacts B'!G53</f>
        <v>0</v>
      </c>
      <c r="H53" s="21">
        <f>'Impacts A'!H53-'Impacts B'!H53</f>
        <v>0</v>
      </c>
      <c r="I53" s="21">
        <f>'Impacts A'!I53-'Impacts B'!I53</f>
        <v>0</v>
      </c>
      <c r="J53" s="21">
        <f>'Impacts A'!J53-'Impacts B'!J53</f>
        <v>0</v>
      </c>
      <c r="K53" s="21">
        <f>'Impacts A'!K53-'Impacts B'!K53</f>
        <v>0</v>
      </c>
      <c r="L53" s="21">
        <f>'Impacts A'!L53-'Impacts B'!L53</f>
        <v>0</v>
      </c>
      <c r="N53" s="84" t="s">
        <v>46</v>
      </c>
    </row>
    <row r="54" spans="1:14" x14ac:dyDescent="0.25">
      <c r="A54" t="str">
        <v>CA sea level</v>
      </c>
      <c r="C54" s="21">
        <f>'Impacts A'!C54-'Impacts B'!C54</f>
        <v>0</v>
      </c>
      <c r="D54" s="21">
        <f>'Impacts A'!D54-'Impacts B'!D54</f>
        <v>0</v>
      </c>
      <c r="E54" s="21">
        <f>'Impacts A'!E54-'Impacts B'!E54</f>
        <v>0</v>
      </c>
      <c r="F54" s="21">
        <f>'Impacts A'!F54-'Impacts B'!F54</f>
        <v>0</v>
      </c>
      <c r="G54" s="21">
        <f>'Impacts A'!G54-'Impacts B'!G54</f>
        <v>0</v>
      </c>
      <c r="H54" s="21">
        <f>'Impacts A'!H54-'Impacts B'!H54</f>
        <v>0</v>
      </c>
      <c r="I54" s="21">
        <f>'Impacts A'!I54-'Impacts B'!I54</f>
        <v>0</v>
      </c>
      <c r="J54" s="21">
        <f>'Impacts A'!J54-'Impacts B'!J54</f>
        <v>0</v>
      </c>
      <c r="K54" s="21">
        <f>'Impacts A'!K54-'Impacts B'!K54</f>
        <v>0</v>
      </c>
      <c r="L54" s="21">
        <f>'Impacts A'!L54-'Impacts B'!L54</f>
        <v>0</v>
      </c>
      <c r="N54" s="84" t="s">
        <v>46</v>
      </c>
    </row>
    <row r="55" spans="1:14" x14ac:dyDescent="0.25">
      <c r="A55" t="str">
        <v>IA sea level</v>
      </c>
      <c r="C55" s="21">
        <f>'Impacts A'!C55-'Impacts B'!C55</f>
        <v>0</v>
      </c>
      <c r="D55" s="21">
        <f>'Impacts A'!D55-'Impacts B'!D55</f>
        <v>0</v>
      </c>
      <c r="E55" s="21">
        <f>'Impacts A'!E55-'Impacts B'!E55</f>
        <v>0</v>
      </c>
      <c r="F55" s="21">
        <f>'Impacts A'!F55-'Impacts B'!F55</f>
        <v>0</v>
      </c>
      <c r="G55" s="21">
        <f>'Impacts A'!G55-'Impacts B'!G55</f>
        <v>0</v>
      </c>
      <c r="H55" s="21">
        <f>'Impacts A'!H55-'Impacts B'!H55</f>
        <v>0</v>
      </c>
      <c r="I55" s="21">
        <f>'Impacts A'!I55-'Impacts B'!I55</f>
        <v>0</v>
      </c>
      <c r="J55" s="21">
        <f>'Impacts A'!J55-'Impacts B'!J55</f>
        <v>0</v>
      </c>
      <c r="K55" s="21">
        <f>'Impacts A'!K55-'Impacts B'!K55</f>
        <v>0</v>
      </c>
      <c r="L55" s="21">
        <f>'Impacts A'!L55-'Impacts B'!L55</f>
        <v>0</v>
      </c>
      <c r="N55" s="84" t="s">
        <v>46</v>
      </c>
    </row>
    <row r="56" spans="1:14" x14ac:dyDescent="0.25">
      <c r="A56" t="str">
        <v>AF sea level</v>
      </c>
      <c r="C56" s="21">
        <f>'Impacts A'!C56-'Impacts B'!C56</f>
        <v>0</v>
      </c>
      <c r="D56" s="21">
        <f>'Impacts A'!D56-'Impacts B'!D56</f>
        <v>0</v>
      </c>
      <c r="E56" s="21">
        <f>'Impacts A'!E56-'Impacts B'!E56</f>
        <v>0</v>
      </c>
      <c r="F56" s="21">
        <f>'Impacts A'!F56-'Impacts B'!F56</f>
        <v>0</v>
      </c>
      <c r="G56" s="21">
        <f>'Impacts A'!G56-'Impacts B'!G56</f>
        <v>0</v>
      </c>
      <c r="H56" s="21">
        <f>'Impacts A'!H56-'Impacts B'!H56</f>
        <v>0</v>
      </c>
      <c r="I56" s="21">
        <f>'Impacts A'!I56-'Impacts B'!I56</f>
        <v>0</v>
      </c>
      <c r="J56" s="21">
        <f>'Impacts A'!J56-'Impacts B'!J56</f>
        <v>0</v>
      </c>
      <c r="K56" s="21">
        <f>'Impacts A'!K56-'Impacts B'!K56</f>
        <v>0</v>
      </c>
      <c r="L56" s="21">
        <f>'Impacts A'!L56-'Impacts B'!L56</f>
        <v>0</v>
      </c>
      <c r="N56" s="84" t="s">
        <v>46</v>
      </c>
    </row>
    <row r="57" spans="1:14" x14ac:dyDescent="0.25">
      <c r="A57" t="str">
        <v>LA sea level</v>
      </c>
      <c r="C57" s="21">
        <f>'Impacts A'!C57-'Impacts B'!C57</f>
        <v>0</v>
      </c>
      <c r="D57" s="21">
        <f>'Impacts A'!D57-'Impacts B'!D57</f>
        <v>0</v>
      </c>
      <c r="E57" s="21">
        <f>'Impacts A'!E57-'Impacts B'!E57</f>
        <v>0</v>
      </c>
      <c r="F57" s="21">
        <f>'Impacts A'!F57-'Impacts B'!F57</f>
        <v>0</v>
      </c>
      <c r="G57" s="21">
        <f>'Impacts A'!G57-'Impacts B'!G57</f>
        <v>0</v>
      </c>
      <c r="H57" s="21">
        <f>'Impacts A'!H57-'Impacts B'!H57</f>
        <v>0</v>
      </c>
      <c r="I57" s="21">
        <f>'Impacts A'!I57-'Impacts B'!I57</f>
        <v>0</v>
      </c>
      <c r="J57" s="21">
        <f>'Impacts A'!J57-'Impacts B'!J57</f>
        <v>0</v>
      </c>
      <c r="K57" s="21">
        <f>'Impacts A'!K57-'Impacts B'!K57</f>
        <v>0</v>
      </c>
      <c r="L57" s="21">
        <f>'Impacts A'!L57-'Impacts B'!L57</f>
        <v>0</v>
      </c>
      <c r="N57" s="84" t="s">
        <v>46</v>
      </c>
    </row>
    <row r="58" spans="1:14" ht="15.5" x14ac:dyDescent="0.4">
      <c r="C58" s="89" t="s">
        <v>287</v>
      </c>
      <c r="D58" s="9"/>
      <c r="E58" s="9"/>
      <c r="F58" s="9"/>
      <c r="G58" s="9"/>
      <c r="H58" s="9"/>
      <c r="I58" s="9"/>
      <c r="J58" s="9"/>
      <c r="K58" s="9"/>
      <c r="L58" s="9"/>
    </row>
    <row r="59" spans="1:14" x14ac:dyDescent="0.25">
      <c r="A59" t="str">
        <f t="array" ref="A59:A66">R_CODE&amp;" "&amp;I_1_NAME</f>
        <v>EU Economic</v>
      </c>
      <c r="C59" s="21">
        <f>'Impacts A'!C59-'Impacts B'!C59</f>
        <v>0</v>
      </c>
      <c r="D59" s="21">
        <f>'Impacts A'!D59-'Impacts B'!D59</f>
        <v>0</v>
      </c>
      <c r="E59" s="21">
        <f>'Impacts A'!E59-'Impacts B'!E59</f>
        <v>0</v>
      </c>
      <c r="F59" s="21">
        <f>'Impacts A'!F59-'Impacts B'!F59</f>
        <v>0</v>
      </c>
      <c r="G59" s="21">
        <f>'Impacts A'!G59-'Impacts B'!G59</f>
        <v>0</v>
      </c>
      <c r="H59" s="21">
        <f>'Impacts A'!H59-'Impacts B'!H59</f>
        <v>0</v>
      </c>
      <c r="I59" s="21">
        <f>'Impacts A'!I59-'Impacts B'!I59</f>
        <v>0</v>
      </c>
      <c r="J59" s="21">
        <f>'Impacts A'!J59-'Impacts B'!J59</f>
        <v>0</v>
      </c>
      <c r="K59" s="21">
        <f>'Impacts A'!K59-'Impacts B'!K59</f>
        <v>0</v>
      </c>
      <c r="L59" s="21">
        <f>'Impacts A'!L59-'Impacts B'!L59</f>
        <v>0</v>
      </c>
      <c r="N59" s="84" t="s">
        <v>46</v>
      </c>
    </row>
    <row r="60" spans="1:14" x14ac:dyDescent="0.25">
      <c r="A60" t="str">
        <v>US Economic</v>
      </c>
      <c r="C60" s="21">
        <f>'Impacts A'!C60-'Impacts B'!C60</f>
        <v>0</v>
      </c>
      <c r="D60" s="21">
        <f>'Impacts A'!D60-'Impacts B'!D60</f>
        <v>0</v>
      </c>
      <c r="E60" s="21">
        <f>'Impacts A'!E60-'Impacts B'!E60</f>
        <v>0</v>
      </c>
      <c r="F60" s="21">
        <f>'Impacts A'!F60-'Impacts B'!F60</f>
        <v>0</v>
      </c>
      <c r="G60" s="21">
        <f>'Impacts A'!G60-'Impacts B'!G60</f>
        <v>0</v>
      </c>
      <c r="H60" s="21">
        <f>'Impacts A'!H60-'Impacts B'!H60</f>
        <v>0</v>
      </c>
      <c r="I60" s="21">
        <f>'Impacts A'!I60-'Impacts B'!I60</f>
        <v>0</v>
      </c>
      <c r="J60" s="21">
        <f>'Impacts A'!J60-'Impacts B'!J60</f>
        <v>0</v>
      </c>
      <c r="K60" s="21">
        <f>'Impacts A'!K60-'Impacts B'!K60</f>
        <v>0</v>
      </c>
      <c r="L60" s="21">
        <f>'Impacts A'!L60-'Impacts B'!L60</f>
        <v>0</v>
      </c>
      <c r="N60" s="84" t="s">
        <v>46</v>
      </c>
    </row>
    <row r="61" spans="1:14" x14ac:dyDescent="0.25">
      <c r="A61" t="str">
        <v>OT Economic</v>
      </c>
      <c r="C61" s="21">
        <f>'Impacts A'!C61-'Impacts B'!C61</f>
        <v>0</v>
      </c>
      <c r="D61" s="21">
        <f>'Impacts A'!D61-'Impacts B'!D61</f>
        <v>0</v>
      </c>
      <c r="E61" s="21">
        <f>'Impacts A'!E61-'Impacts B'!E61</f>
        <v>0</v>
      </c>
      <c r="F61" s="21">
        <f>'Impacts A'!F61-'Impacts B'!F61</f>
        <v>0</v>
      </c>
      <c r="G61" s="21">
        <f>'Impacts A'!G61-'Impacts B'!G61</f>
        <v>0</v>
      </c>
      <c r="H61" s="21">
        <f>'Impacts A'!H61-'Impacts B'!H61</f>
        <v>0</v>
      </c>
      <c r="I61" s="21">
        <f>'Impacts A'!I61-'Impacts B'!I61</f>
        <v>0</v>
      </c>
      <c r="J61" s="21">
        <f>'Impacts A'!J61-'Impacts B'!J61</f>
        <v>0</v>
      </c>
      <c r="K61" s="21">
        <f>'Impacts A'!K61-'Impacts B'!K61</f>
        <v>0</v>
      </c>
      <c r="L61" s="21">
        <f>'Impacts A'!L61-'Impacts B'!L61</f>
        <v>0</v>
      </c>
      <c r="N61" s="84" t="s">
        <v>46</v>
      </c>
    </row>
    <row r="62" spans="1:14" x14ac:dyDescent="0.25">
      <c r="A62" t="str">
        <v>EE Economic</v>
      </c>
      <c r="C62" s="21">
        <f>'Impacts A'!C62-'Impacts B'!C62</f>
        <v>0</v>
      </c>
      <c r="D62" s="21">
        <f>'Impacts A'!D62-'Impacts B'!D62</f>
        <v>0</v>
      </c>
      <c r="E62" s="21">
        <f>'Impacts A'!E62-'Impacts B'!E62</f>
        <v>0</v>
      </c>
      <c r="F62" s="21">
        <f>'Impacts A'!F62-'Impacts B'!F62</f>
        <v>0</v>
      </c>
      <c r="G62" s="21">
        <f>'Impacts A'!G62-'Impacts B'!G62</f>
        <v>0</v>
      </c>
      <c r="H62" s="21">
        <f>'Impacts A'!H62-'Impacts B'!H62</f>
        <v>0</v>
      </c>
      <c r="I62" s="21">
        <f>'Impacts A'!I62-'Impacts B'!I62</f>
        <v>0</v>
      </c>
      <c r="J62" s="21">
        <f>'Impacts A'!J62-'Impacts B'!J62</f>
        <v>0</v>
      </c>
      <c r="K62" s="21">
        <f>'Impacts A'!K62-'Impacts B'!K62</f>
        <v>0</v>
      </c>
      <c r="L62" s="21">
        <f>'Impacts A'!L62-'Impacts B'!L62</f>
        <v>0</v>
      </c>
      <c r="N62" s="84" t="s">
        <v>46</v>
      </c>
    </row>
    <row r="63" spans="1:14" x14ac:dyDescent="0.25">
      <c r="A63" t="str">
        <v>CA Economic</v>
      </c>
      <c r="C63" s="21">
        <f>'Impacts A'!C63-'Impacts B'!C63</f>
        <v>0</v>
      </c>
      <c r="D63" s="21">
        <f>'Impacts A'!D63-'Impacts B'!D63</f>
        <v>0</v>
      </c>
      <c r="E63" s="21">
        <f>'Impacts A'!E63-'Impacts B'!E63</f>
        <v>0</v>
      </c>
      <c r="F63" s="21">
        <f>'Impacts A'!F63-'Impacts B'!F63</f>
        <v>0</v>
      </c>
      <c r="G63" s="21">
        <f>'Impacts A'!G63-'Impacts B'!G63</f>
        <v>0</v>
      </c>
      <c r="H63" s="21">
        <f>'Impacts A'!H63-'Impacts B'!H63</f>
        <v>0</v>
      </c>
      <c r="I63" s="21">
        <f>'Impacts A'!I63-'Impacts B'!I63</f>
        <v>0</v>
      </c>
      <c r="J63" s="21">
        <f>'Impacts A'!J63-'Impacts B'!J63</f>
        <v>0</v>
      </c>
      <c r="K63" s="21">
        <f>'Impacts A'!K63-'Impacts B'!K63</f>
        <v>0</v>
      </c>
      <c r="L63" s="21">
        <f>'Impacts A'!L63-'Impacts B'!L63</f>
        <v>0</v>
      </c>
      <c r="N63" s="84" t="s">
        <v>46</v>
      </c>
    </row>
    <row r="64" spans="1:14" x14ac:dyDescent="0.25">
      <c r="A64" t="str">
        <v>IA Economic</v>
      </c>
      <c r="C64" s="21">
        <f>'Impacts A'!C64-'Impacts B'!C64</f>
        <v>0</v>
      </c>
      <c r="D64" s="21">
        <f>'Impacts A'!D64-'Impacts B'!D64</f>
        <v>0</v>
      </c>
      <c r="E64" s="21">
        <f>'Impacts A'!E64-'Impacts B'!E64</f>
        <v>0</v>
      </c>
      <c r="F64" s="21">
        <f>'Impacts A'!F64-'Impacts B'!F64</f>
        <v>0</v>
      </c>
      <c r="G64" s="21">
        <f>'Impacts A'!G64-'Impacts B'!G64</f>
        <v>0</v>
      </c>
      <c r="H64" s="21">
        <f>'Impacts A'!H64-'Impacts B'!H64</f>
        <v>0</v>
      </c>
      <c r="I64" s="21">
        <f>'Impacts A'!I64-'Impacts B'!I64</f>
        <v>0</v>
      </c>
      <c r="J64" s="21">
        <f>'Impacts A'!J64-'Impacts B'!J64</f>
        <v>0</v>
      </c>
      <c r="K64" s="21">
        <f>'Impacts A'!K64-'Impacts B'!K64</f>
        <v>0</v>
      </c>
      <c r="L64" s="21">
        <f>'Impacts A'!L64-'Impacts B'!L64</f>
        <v>0</v>
      </c>
      <c r="N64" s="84" t="s">
        <v>46</v>
      </c>
    </row>
    <row r="65" spans="1:14" x14ac:dyDescent="0.25">
      <c r="A65" t="str">
        <v>AF Economic</v>
      </c>
      <c r="C65" s="21">
        <f>'Impacts A'!C65-'Impacts B'!C65</f>
        <v>0</v>
      </c>
      <c r="D65" s="21">
        <f>'Impacts A'!D65-'Impacts B'!D65</f>
        <v>0</v>
      </c>
      <c r="E65" s="21">
        <f>'Impacts A'!E65-'Impacts B'!E65</f>
        <v>0</v>
      </c>
      <c r="F65" s="21">
        <f>'Impacts A'!F65-'Impacts B'!F65</f>
        <v>0</v>
      </c>
      <c r="G65" s="21">
        <f>'Impacts A'!G65-'Impacts B'!G65</f>
        <v>0</v>
      </c>
      <c r="H65" s="21">
        <f>'Impacts A'!H65-'Impacts B'!H65</f>
        <v>0</v>
      </c>
      <c r="I65" s="21">
        <f>'Impacts A'!I65-'Impacts B'!I65</f>
        <v>0</v>
      </c>
      <c r="J65" s="21">
        <f>'Impacts A'!J65-'Impacts B'!J65</f>
        <v>0</v>
      </c>
      <c r="K65" s="21">
        <f>'Impacts A'!K65-'Impacts B'!K65</f>
        <v>0</v>
      </c>
      <c r="L65" s="21">
        <f>'Impacts A'!L65-'Impacts B'!L65</f>
        <v>0</v>
      </c>
      <c r="N65" s="84" t="s">
        <v>46</v>
      </c>
    </row>
    <row r="66" spans="1:14" x14ac:dyDescent="0.25">
      <c r="A66" t="str">
        <v>LA Economic</v>
      </c>
      <c r="C66" s="21">
        <f>'Impacts A'!C66-'Impacts B'!C66</f>
        <v>0</v>
      </c>
      <c r="D66" s="21">
        <f>'Impacts A'!D66-'Impacts B'!D66</f>
        <v>0</v>
      </c>
      <c r="E66" s="21">
        <f>'Impacts A'!E66-'Impacts B'!E66</f>
        <v>0</v>
      </c>
      <c r="F66" s="21">
        <f>'Impacts A'!F66-'Impacts B'!F66</f>
        <v>0</v>
      </c>
      <c r="G66" s="21">
        <f>'Impacts A'!G66-'Impacts B'!G66</f>
        <v>0</v>
      </c>
      <c r="H66" s="21">
        <f>'Impacts A'!H66-'Impacts B'!H66</f>
        <v>0</v>
      </c>
      <c r="I66" s="21">
        <f>'Impacts A'!I66-'Impacts B'!I66</f>
        <v>0</v>
      </c>
      <c r="J66" s="21">
        <f>'Impacts A'!J66-'Impacts B'!J66</f>
        <v>0</v>
      </c>
      <c r="K66" s="21">
        <f>'Impacts A'!K66-'Impacts B'!K66</f>
        <v>0</v>
      </c>
      <c r="L66" s="21">
        <f>'Impacts A'!L66-'Impacts B'!L66</f>
        <v>0</v>
      </c>
      <c r="N66" s="84" t="s">
        <v>46</v>
      </c>
    </row>
    <row r="67" spans="1:14" ht="15.5" x14ac:dyDescent="0.4">
      <c r="C67" s="89" t="s">
        <v>288</v>
      </c>
      <c r="D67" s="9"/>
      <c r="E67" s="9"/>
      <c r="F67" s="9"/>
      <c r="G67" s="9"/>
      <c r="H67" s="9"/>
      <c r="I67" s="9"/>
      <c r="J67" s="9"/>
      <c r="K67" s="9"/>
      <c r="L67" s="9"/>
    </row>
    <row r="68" spans="1:14" x14ac:dyDescent="0.25">
      <c r="A68" t="str">
        <f t="array" ref="A68:A75">R_CODE&amp;" "&amp;I_2_NAME</f>
        <v>EU Non-econ</v>
      </c>
      <c r="C68" s="21">
        <f>'Impacts A'!C68-'Impacts B'!C68</f>
        <v>0</v>
      </c>
      <c r="D68" s="21">
        <f>'Impacts A'!D68-'Impacts B'!D68</f>
        <v>0</v>
      </c>
      <c r="E68" s="21">
        <f>'Impacts A'!E68-'Impacts B'!E68</f>
        <v>0</v>
      </c>
      <c r="F68" s="21">
        <f>'Impacts A'!F68-'Impacts B'!F68</f>
        <v>0</v>
      </c>
      <c r="G68" s="21">
        <f>'Impacts A'!G68-'Impacts B'!G68</f>
        <v>0</v>
      </c>
      <c r="H68" s="21">
        <f>'Impacts A'!H68-'Impacts B'!H68</f>
        <v>0</v>
      </c>
      <c r="I68" s="21">
        <f>'Impacts A'!I68-'Impacts B'!I68</f>
        <v>0</v>
      </c>
      <c r="J68" s="21">
        <f>'Impacts A'!J68-'Impacts B'!J68</f>
        <v>0</v>
      </c>
      <c r="K68" s="21">
        <f>'Impacts A'!K68-'Impacts B'!K68</f>
        <v>0</v>
      </c>
      <c r="L68" s="21">
        <f>'Impacts A'!L68-'Impacts B'!L68</f>
        <v>0</v>
      </c>
      <c r="N68" s="84" t="s">
        <v>46</v>
      </c>
    </row>
    <row r="69" spans="1:14" x14ac:dyDescent="0.25">
      <c r="A69" t="str">
        <v>US Non-econ</v>
      </c>
      <c r="C69" s="21">
        <f>'Impacts A'!C69-'Impacts B'!C69</f>
        <v>0</v>
      </c>
      <c r="D69" s="21">
        <f>'Impacts A'!D69-'Impacts B'!D69</f>
        <v>0</v>
      </c>
      <c r="E69" s="21">
        <f>'Impacts A'!E69-'Impacts B'!E69</f>
        <v>0</v>
      </c>
      <c r="F69" s="21">
        <f>'Impacts A'!F69-'Impacts B'!F69</f>
        <v>0</v>
      </c>
      <c r="G69" s="21">
        <f>'Impacts A'!G69-'Impacts B'!G69</f>
        <v>0</v>
      </c>
      <c r="H69" s="21">
        <f>'Impacts A'!H69-'Impacts B'!H69</f>
        <v>0</v>
      </c>
      <c r="I69" s="21">
        <f>'Impacts A'!I69-'Impacts B'!I69</f>
        <v>0</v>
      </c>
      <c r="J69" s="21">
        <f>'Impacts A'!J69-'Impacts B'!J69</f>
        <v>0</v>
      </c>
      <c r="K69" s="21">
        <f>'Impacts A'!K69-'Impacts B'!K69</f>
        <v>0</v>
      </c>
      <c r="L69" s="21">
        <f>'Impacts A'!L69-'Impacts B'!L69</f>
        <v>0</v>
      </c>
      <c r="N69" s="84" t="s">
        <v>46</v>
      </c>
    </row>
    <row r="70" spans="1:14" x14ac:dyDescent="0.25">
      <c r="A70" t="str">
        <v>OT Non-econ</v>
      </c>
      <c r="C70" s="21">
        <f>'Impacts A'!C70-'Impacts B'!C70</f>
        <v>0</v>
      </c>
      <c r="D70" s="21">
        <f>'Impacts A'!D70-'Impacts B'!D70</f>
        <v>0</v>
      </c>
      <c r="E70" s="21">
        <f>'Impacts A'!E70-'Impacts B'!E70</f>
        <v>0</v>
      </c>
      <c r="F70" s="21">
        <f>'Impacts A'!F70-'Impacts B'!F70</f>
        <v>0</v>
      </c>
      <c r="G70" s="21">
        <f>'Impacts A'!G70-'Impacts B'!G70</f>
        <v>0</v>
      </c>
      <c r="H70" s="21">
        <f>'Impacts A'!H70-'Impacts B'!H70</f>
        <v>0</v>
      </c>
      <c r="I70" s="21">
        <f>'Impacts A'!I70-'Impacts B'!I70</f>
        <v>0</v>
      </c>
      <c r="J70" s="21">
        <f>'Impacts A'!J70-'Impacts B'!J70</f>
        <v>0</v>
      </c>
      <c r="K70" s="21">
        <f>'Impacts A'!K70-'Impacts B'!K70</f>
        <v>0</v>
      </c>
      <c r="L70" s="21">
        <f>'Impacts A'!L70-'Impacts B'!L70</f>
        <v>0</v>
      </c>
      <c r="N70" s="84" t="s">
        <v>46</v>
      </c>
    </row>
    <row r="71" spans="1:14" x14ac:dyDescent="0.25">
      <c r="A71" t="str">
        <v>EE Non-econ</v>
      </c>
      <c r="C71" s="21">
        <f>'Impacts A'!C71-'Impacts B'!C71</f>
        <v>0</v>
      </c>
      <c r="D71" s="21">
        <f>'Impacts A'!D71-'Impacts B'!D71</f>
        <v>0</v>
      </c>
      <c r="E71" s="21">
        <f>'Impacts A'!E71-'Impacts B'!E71</f>
        <v>0</v>
      </c>
      <c r="F71" s="21">
        <f>'Impacts A'!F71-'Impacts B'!F71</f>
        <v>0</v>
      </c>
      <c r="G71" s="21">
        <f>'Impacts A'!G71-'Impacts B'!G71</f>
        <v>0</v>
      </c>
      <c r="H71" s="21">
        <f>'Impacts A'!H71-'Impacts B'!H71</f>
        <v>0</v>
      </c>
      <c r="I71" s="21">
        <f>'Impacts A'!I71-'Impacts B'!I71</f>
        <v>0</v>
      </c>
      <c r="J71" s="21">
        <f>'Impacts A'!J71-'Impacts B'!J71</f>
        <v>0</v>
      </c>
      <c r="K71" s="21">
        <f>'Impacts A'!K71-'Impacts B'!K71</f>
        <v>0</v>
      </c>
      <c r="L71" s="21">
        <f>'Impacts A'!L71-'Impacts B'!L71</f>
        <v>0</v>
      </c>
      <c r="N71" s="84" t="s">
        <v>46</v>
      </c>
    </row>
    <row r="72" spans="1:14" x14ac:dyDescent="0.25">
      <c r="A72" t="str">
        <v>CA Non-econ</v>
      </c>
      <c r="C72" s="21">
        <f>'Impacts A'!C72-'Impacts B'!C72</f>
        <v>0</v>
      </c>
      <c r="D72" s="21">
        <f>'Impacts A'!D72-'Impacts B'!D72</f>
        <v>0</v>
      </c>
      <c r="E72" s="21">
        <f>'Impacts A'!E72-'Impacts B'!E72</f>
        <v>0</v>
      </c>
      <c r="F72" s="21">
        <f>'Impacts A'!F72-'Impacts B'!F72</f>
        <v>0</v>
      </c>
      <c r="G72" s="21">
        <f>'Impacts A'!G72-'Impacts B'!G72</f>
        <v>0</v>
      </c>
      <c r="H72" s="21">
        <f>'Impacts A'!H72-'Impacts B'!H72</f>
        <v>0</v>
      </c>
      <c r="I72" s="21">
        <f>'Impacts A'!I72-'Impacts B'!I72</f>
        <v>0</v>
      </c>
      <c r="J72" s="21">
        <f>'Impacts A'!J72-'Impacts B'!J72</f>
        <v>0</v>
      </c>
      <c r="K72" s="21">
        <f>'Impacts A'!K72-'Impacts B'!K72</f>
        <v>0</v>
      </c>
      <c r="L72" s="21">
        <f>'Impacts A'!L72-'Impacts B'!L72</f>
        <v>0</v>
      </c>
      <c r="N72" s="84" t="s">
        <v>46</v>
      </c>
    </row>
    <row r="73" spans="1:14" x14ac:dyDescent="0.25">
      <c r="A73" t="str">
        <v>IA Non-econ</v>
      </c>
      <c r="C73" s="21">
        <f>'Impacts A'!C73-'Impacts B'!C73</f>
        <v>0</v>
      </c>
      <c r="D73" s="21">
        <f>'Impacts A'!D73-'Impacts B'!D73</f>
        <v>0</v>
      </c>
      <c r="E73" s="21">
        <f>'Impacts A'!E73-'Impacts B'!E73</f>
        <v>0</v>
      </c>
      <c r="F73" s="21">
        <f>'Impacts A'!F73-'Impacts B'!F73</f>
        <v>0</v>
      </c>
      <c r="G73" s="21">
        <f>'Impacts A'!G73-'Impacts B'!G73</f>
        <v>0</v>
      </c>
      <c r="H73" s="21">
        <f>'Impacts A'!H73-'Impacts B'!H73</f>
        <v>0</v>
      </c>
      <c r="I73" s="21">
        <f>'Impacts A'!I73-'Impacts B'!I73</f>
        <v>0</v>
      </c>
      <c r="J73" s="21">
        <f>'Impacts A'!J73-'Impacts B'!J73</f>
        <v>0</v>
      </c>
      <c r="K73" s="21">
        <f>'Impacts A'!K73-'Impacts B'!K73</f>
        <v>0</v>
      </c>
      <c r="L73" s="21">
        <f>'Impacts A'!L73-'Impacts B'!L73</f>
        <v>0</v>
      </c>
      <c r="N73" s="84" t="s">
        <v>46</v>
      </c>
    </row>
    <row r="74" spans="1:14" x14ac:dyDescent="0.25">
      <c r="A74" t="str">
        <v>AF Non-econ</v>
      </c>
      <c r="C74" s="21">
        <f>'Impacts A'!C74-'Impacts B'!C74</f>
        <v>0</v>
      </c>
      <c r="D74" s="21">
        <f>'Impacts A'!D74-'Impacts B'!D74</f>
        <v>0</v>
      </c>
      <c r="E74" s="21">
        <f>'Impacts A'!E74-'Impacts B'!E74</f>
        <v>0</v>
      </c>
      <c r="F74" s="21">
        <f>'Impacts A'!F74-'Impacts B'!F74</f>
        <v>0</v>
      </c>
      <c r="G74" s="21">
        <f>'Impacts A'!G74-'Impacts B'!G74</f>
        <v>0</v>
      </c>
      <c r="H74" s="21">
        <f>'Impacts A'!H74-'Impacts B'!H74</f>
        <v>0</v>
      </c>
      <c r="I74" s="21">
        <f>'Impacts A'!I74-'Impacts B'!I74</f>
        <v>0</v>
      </c>
      <c r="J74" s="21">
        <f>'Impacts A'!J74-'Impacts B'!J74</f>
        <v>0</v>
      </c>
      <c r="K74" s="21">
        <f>'Impacts A'!K74-'Impacts B'!K74</f>
        <v>0</v>
      </c>
      <c r="L74" s="21">
        <f>'Impacts A'!L74-'Impacts B'!L74</f>
        <v>0</v>
      </c>
      <c r="N74" s="84" t="s">
        <v>46</v>
      </c>
    </row>
    <row r="75" spans="1:14" x14ac:dyDescent="0.25">
      <c r="A75" t="str">
        <v>LA Non-econ</v>
      </c>
      <c r="C75" s="21">
        <f>'Impacts A'!C75-'Impacts B'!C75</f>
        <v>0</v>
      </c>
      <c r="D75" s="21">
        <f>'Impacts A'!D75-'Impacts B'!D75</f>
        <v>0</v>
      </c>
      <c r="E75" s="21">
        <f>'Impacts A'!E75-'Impacts B'!E75</f>
        <v>0</v>
      </c>
      <c r="F75" s="21">
        <f>'Impacts A'!F75-'Impacts B'!F75</f>
        <v>0</v>
      </c>
      <c r="G75" s="21">
        <f>'Impacts A'!G75-'Impacts B'!G75</f>
        <v>0</v>
      </c>
      <c r="H75" s="21">
        <f>'Impacts A'!H75-'Impacts B'!H75</f>
        <v>0</v>
      </c>
      <c r="I75" s="21">
        <f>'Impacts A'!I75-'Impacts B'!I75</f>
        <v>0</v>
      </c>
      <c r="J75" s="21">
        <f>'Impacts A'!J75-'Impacts B'!J75</f>
        <v>0</v>
      </c>
      <c r="K75" s="21">
        <f>'Impacts A'!K75-'Impacts B'!K75</f>
        <v>0</v>
      </c>
      <c r="L75" s="21">
        <f>'Impacts A'!L75-'Impacts B'!L75</f>
        <v>0</v>
      </c>
      <c r="N75" s="84" t="s">
        <v>46</v>
      </c>
    </row>
    <row r="76" spans="1:14" s="2" customFormat="1" ht="15" x14ac:dyDescent="0.4">
      <c r="A76" s="2" t="s">
        <v>108</v>
      </c>
      <c r="C76" s="2" t="s">
        <v>254</v>
      </c>
    </row>
    <row r="77" spans="1:14" x14ac:dyDescent="0.25">
      <c r="A77" t="str">
        <f t="array" ref="A77:A84">R_CODE&amp;" sea level"</f>
        <v>EU sea level</v>
      </c>
      <c r="C77" s="39">
        <f>'Impacts A'!C77-'Impacts B'!C77</f>
        <v>0</v>
      </c>
      <c r="D77" s="39">
        <f>'Impacts A'!D77-'Impacts B'!D77</f>
        <v>0</v>
      </c>
      <c r="E77" s="39">
        <f>'Impacts A'!E77-'Impacts B'!E77</f>
        <v>0</v>
      </c>
      <c r="F77" s="39">
        <f>'Impacts A'!F77-'Impacts B'!F77</f>
        <v>-7.1167369186664331E-6</v>
      </c>
      <c r="G77" s="39">
        <f>'Impacts A'!G77-'Impacts B'!G77</f>
        <v>-1.0789835046320917E-5</v>
      </c>
      <c r="H77" s="39">
        <f>'Impacts A'!H77-'Impacts B'!H77</f>
        <v>-1.4653447620860405E-5</v>
      </c>
      <c r="I77" s="39">
        <f>'Impacts A'!I77-'Impacts B'!I77</f>
        <v>-2.229304482542771E-5</v>
      </c>
      <c r="J77" s="39">
        <f>'Impacts A'!J77-'Impacts B'!J77</f>
        <v>-2.8645697346840748E-5</v>
      </c>
      <c r="K77" s="39">
        <f>'Impacts A'!K77-'Impacts B'!K77</f>
        <v>-4.0370472605966157E-5</v>
      </c>
      <c r="L77" s="39">
        <f>'Impacts A'!L77-'Impacts B'!L77</f>
        <v>-4.4348646554226434E-5</v>
      </c>
      <c r="M77" s="6"/>
      <c r="N77" s="84" t="s">
        <v>228</v>
      </c>
    </row>
    <row r="78" spans="1:14" x14ac:dyDescent="0.25">
      <c r="A78" t="str">
        <v>US sea level</v>
      </c>
      <c r="C78" s="35">
        <f>'Impacts A'!C78-'Impacts B'!C78</f>
        <v>0</v>
      </c>
      <c r="D78" s="35">
        <f>'Impacts A'!D78-'Impacts B'!D78</f>
        <v>0</v>
      </c>
      <c r="E78" s="35">
        <f>'Impacts A'!E78-'Impacts B'!E78</f>
        <v>0</v>
      </c>
      <c r="F78" s="35">
        <f>'Impacts A'!F78-'Impacts B'!F78</f>
        <v>-7.1167369186664331E-6</v>
      </c>
      <c r="G78" s="35">
        <f>'Impacts A'!G78-'Impacts B'!G78</f>
        <v>-1.0789835046320917E-5</v>
      </c>
      <c r="H78" s="35">
        <f>'Impacts A'!H78-'Impacts B'!H78</f>
        <v>-1.4653447620860405E-5</v>
      </c>
      <c r="I78" s="35">
        <f>'Impacts A'!I78-'Impacts B'!I78</f>
        <v>-2.229304482542771E-5</v>
      </c>
      <c r="J78" s="35">
        <f>'Impacts A'!J78-'Impacts B'!J78</f>
        <v>-2.8645697346840748E-5</v>
      </c>
      <c r="K78" s="35">
        <f>'Impacts A'!K78-'Impacts B'!K78</f>
        <v>-4.0370472605966157E-5</v>
      </c>
      <c r="L78" s="35">
        <f>'Impacts A'!L78-'Impacts B'!L78</f>
        <v>-4.4348646554226434E-5</v>
      </c>
      <c r="M78" s="6"/>
      <c r="N78" s="84" t="s">
        <v>228</v>
      </c>
    </row>
    <row r="79" spans="1:14" x14ac:dyDescent="0.25">
      <c r="A79" t="str">
        <v>OT sea level</v>
      </c>
      <c r="C79" s="35">
        <f>'Impacts A'!C79-'Impacts B'!C79</f>
        <v>0</v>
      </c>
      <c r="D79" s="35">
        <f>'Impacts A'!D79-'Impacts B'!D79</f>
        <v>0</v>
      </c>
      <c r="E79" s="35">
        <f>'Impacts A'!E79-'Impacts B'!E79</f>
        <v>0</v>
      </c>
      <c r="F79" s="35">
        <f>'Impacts A'!F79-'Impacts B'!F79</f>
        <v>-7.1167369186664331E-6</v>
      </c>
      <c r="G79" s="35">
        <f>'Impacts A'!G79-'Impacts B'!G79</f>
        <v>-1.0789835046320917E-5</v>
      </c>
      <c r="H79" s="35">
        <f>'Impacts A'!H79-'Impacts B'!H79</f>
        <v>-1.4653447620860405E-5</v>
      </c>
      <c r="I79" s="35">
        <f>'Impacts A'!I79-'Impacts B'!I79</f>
        <v>-2.229304482542771E-5</v>
      </c>
      <c r="J79" s="35">
        <f>'Impacts A'!J79-'Impacts B'!J79</f>
        <v>-2.8645697346840748E-5</v>
      </c>
      <c r="K79" s="35">
        <f>'Impacts A'!K79-'Impacts B'!K79</f>
        <v>-4.0370472605966157E-5</v>
      </c>
      <c r="L79" s="35">
        <f>'Impacts A'!L79-'Impacts B'!L79</f>
        <v>-4.4348646554226434E-5</v>
      </c>
      <c r="M79" s="6"/>
      <c r="N79" s="84" t="s">
        <v>228</v>
      </c>
    </row>
    <row r="80" spans="1:14" x14ac:dyDescent="0.25">
      <c r="A80" t="str">
        <v>EE sea level</v>
      </c>
      <c r="C80" s="35">
        <f>'Impacts A'!C80-'Impacts B'!C80</f>
        <v>0</v>
      </c>
      <c r="D80" s="35">
        <f>'Impacts A'!D80-'Impacts B'!D80</f>
        <v>0</v>
      </c>
      <c r="E80" s="35">
        <f>'Impacts A'!E80-'Impacts B'!E80</f>
        <v>0</v>
      </c>
      <c r="F80" s="35">
        <f>'Impacts A'!F80-'Impacts B'!F80</f>
        <v>-7.1167369186664331E-6</v>
      </c>
      <c r="G80" s="35">
        <f>'Impacts A'!G80-'Impacts B'!G80</f>
        <v>-1.0789835046320917E-5</v>
      </c>
      <c r="H80" s="35">
        <f>'Impacts A'!H80-'Impacts B'!H80</f>
        <v>-1.4653447620860405E-5</v>
      </c>
      <c r="I80" s="35">
        <f>'Impacts A'!I80-'Impacts B'!I80</f>
        <v>-2.229304482542771E-5</v>
      </c>
      <c r="J80" s="35">
        <f>'Impacts A'!J80-'Impacts B'!J80</f>
        <v>-2.8645697346840748E-5</v>
      </c>
      <c r="K80" s="35">
        <f>'Impacts A'!K80-'Impacts B'!K80</f>
        <v>-4.0370472605966157E-5</v>
      </c>
      <c r="L80" s="35">
        <f>'Impacts A'!L80-'Impacts B'!L80</f>
        <v>-4.4348646554226434E-5</v>
      </c>
      <c r="M80" s="6"/>
      <c r="N80" s="84" t="s">
        <v>228</v>
      </c>
    </row>
    <row r="81" spans="1:14" x14ac:dyDescent="0.25">
      <c r="A81" t="str">
        <v>CA sea level</v>
      </c>
      <c r="C81" s="35">
        <f>'Impacts A'!C81-'Impacts B'!C81</f>
        <v>0</v>
      </c>
      <c r="D81" s="35">
        <f>'Impacts A'!D81-'Impacts B'!D81</f>
        <v>-1.3948443946254496E-6</v>
      </c>
      <c r="E81" s="35">
        <f>'Impacts A'!E81-'Impacts B'!E81</f>
        <v>-3.8916349491546764E-6</v>
      </c>
      <c r="F81" s="35">
        <f>'Impacts A'!F81-'Impacts B'!F81</f>
        <v>-7.1167369186664331E-6</v>
      </c>
      <c r="G81" s="35">
        <f>'Impacts A'!G81-'Impacts B'!G81</f>
        <v>-1.0789835046320917E-5</v>
      </c>
      <c r="H81" s="35">
        <f>'Impacts A'!H81-'Impacts B'!H81</f>
        <v>-1.4653447620860405E-5</v>
      </c>
      <c r="I81" s="35">
        <f>'Impacts A'!I81-'Impacts B'!I81</f>
        <v>-2.229304482542771E-5</v>
      </c>
      <c r="J81" s="35">
        <f>'Impacts A'!J81-'Impacts B'!J81</f>
        <v>-2.8645697346840748E-5</v>
      </c>
      <c r="K81" s="35">
        <f>'Impacts A'!K81-'Impacts B'!K81</f>
        <v>-4.0370472605966157E-5</v>
      </c>
      <c r="L81" s="35">
        <f>'Impacts A'!L81-'Impacts B'!L81</f>
        <v>-4.4348646554226434E-5</v>
      </c>
      <c r="M81" s="6"/>
      <c r="N81" s="84" t="s">
        <v>228</v>
      </c>
    </row>
    <row r="82" spans="1:14" x14ac:dyDescent="0.25">
      <c r="A82" t="str">
        <v>IA sea level</v>
      </c>
      <c r="C82" s="35">
        <f>'Impacts A'!C82-'Impacts B'!C82</f>
        <v>0</v>
      </c>
      <c r="D82" s="35">
        <f>'Impacts A'!D82-'Impacts B'!D82</f>
        <v>-1.3948443946254496E-6</v>
      </c>
      <c r="E82" s="35">
        <f>'Impacts A'!E82-'Impacts B'!E82</f>
        <v>-3.8916349491546764E-6</v>
      </c>
      <c r="F82" s="35">
        <f>'Impacts A'!F82-'Impacts B'!F82</f>
        <v>-7.1167369186664331E-6</v>
      </c>
      <c r="G82" s="35">
        <f>'Impacts A'!G82-'Impacts B'!G82</f>
        <v>-1.0789835046320917E-5</v>
      </c>
      <c r="H82" s="35">
        <f>'Impacts A'!H82-'Impacts B'!H82</f>
        <v>-1.4653447620860405E-5</v>
      </c>
      <c r="I82" s="35">
        <f>'Impacts A'!I82-'Impacts B'!I82</f>
        <v>-2.229304482542771E-5</v>
      </c>
      <c r="J82" s="35">
        <f>'Impacts A'!J82-'Impacts B'!J82</f>
        <v>-2.8645697346840748E-5</v>
      </c>
      <c r="K82" s="35">
        <f>'Impacts A'!K82-'Impacts B'!K82</f>
        <v>-4.0370472605966157E-5</v>
      </c>
      <c r="L82" s="35">
        <f>'Impacts A'!L82-'Impacts B'!L82</f>
        <v>-4.4348646554226434E-5</v>
      </c>
      <c r="M82" s="6"/>
      <c r="N82" s="84" t="s">
        <v>228</v>
      </c>
    </row>
    <row r="83" spans="1:14" x14ac:dyDescent="0.25">
      <c r="A83" t="str">
        <v>AF sea level</v>
      </c>
      <c r="C83" s="35">
        <f>'Impacts A'!C83-'Impacts B'!C83</f>
        <v>0</v>
      </c>
      <c r="D83" s="35">
        <f>'Impacts A'!D83-'Impacts B'!D83</f>
        <v>-1.3948443946254496E-6</v>
      </c>
      <c r="E83" s="35">
        <f>'Impacts A'!E83-'Impacts B'!E83</f>
        <v>-3.8916349491546764E-6</v>
      </c>
      <c r="F83" s="35">
        <f>'Impacts A'!F83-'Impacts B'!F83</f>
        <v>-7.1167369186664331E-6</v>
      </c>
      <c r="G83" s="35">
        <f>'Impacts A'!G83-'Impacts B'!G83</f>
        <v>-1.0789835046320917E-5</v>
      </c>
      <c r="H83" s="35">
        <f>'Impacts A'!H83-'Impacts B'!H83</f>
        <v>-1.4653447620860405E-5</v>
      </c>
      <c r="I83" s="35">
        <f>'Impacts A'!I83-'Impacts B'!I83</f>
        <v>-2.229304482542771E-5</v>
      </c>
      <c r="J83" s="35">
        <f>'Impacts A'!J83-'Impacts B'!J83</f>
        <v>-2.8645697346840748E-5</v>
      </c>
      <c r="K83" s="35">
        <f>'Impacts A'!K83-'Impacts B'!K83</f>
        <v>-4.0370472605966157E-5</v>
      </c>
      <c r="L83" s="35">
        <f>'Impacts A'!L83-'Impacts B'!L83</f>
        <v>-4.4348646554226434E-5</v>
      </c>
      <c r="M83" s="6"/>
      <c r="N83" s="84" t="s">
        <v>228</v>
      </c>
    </row>
    <row r="84" spans="1:14" x14ac:dyDescent="0.25">
      <c r="A84" t="str">
        <v>LA sea level</v>
      </c>
      <c r="C84" s="35">
        <f>'Impacts A'!C84-'Impacts B'!C84</f>
        <v>0</v>
      </c>
      <c r="D84" s="35">
        <f>'Impacts A'!D84-'Impacts B'!D84</f>
        <v>-1.3948443946254496E-6</v>
      </c>
      <c r="E84" s="35">
        <f>'Impacts A'!E84-'Impacts B'!E84</f>
        <v>-3.8916349491546764E-6</v>
      </c>
      <c r="F84" s="35">
        <f>'Impacts A'!F84-'Impacts B'!F84</f>
        <v>-7.1167369186664331E-6</v>
      </c>
      <c r="G84" s="35">
        <f>'Impacts A'!G84-'Impacts B'!G84</f>
        <v>-1.0789835046320917E-5</v>
      </c>
      <c r="H84" s="35">
        <f>'Impacts A'!H84-'Impacts B'!H84</f>
        <v>-1.4653447620860405E-5</v>
      </c>
      <c r="I84" s="35">
        <f>'Impacts A'!I84-'Impacts B'!I84</f>
        <v>-2.229304482542771E-5</v>
      </c>
      <c r="J84" s="35">
        <f>'Impacts A'!J84-'Impacts B'!J84</f>
        <v>-2.8645697346840748E-5</v>
      </c>
      <c r="K84" s="35">
        <f>'Impacts A'!K84-'Impacts B'!K84</f>
        <v>-4.0370472605966157E-5</v>
      </c>
      <c r="L84" s="35">
        <f>'Impacts A'!L84-'Impacts B'!L84</f>
        <v>-4.4348646554226434E-5</v>
      </c>
      <c r="M84" s="6"/>
      <c r="N84" s="84" t="s">
        <v>228</v>
      </c>
    </row>
    <row r="85" spans="1:14" s="2" customFormat="1" ht="15" x14ac:dyDescent="0.4">
      <c r="A85" s="2" t="s">
        <v>108</v>
      </c>
      <c r="C85" s="2" t="s">
        <v>109</v>
      </c>
    </row>
    <row r="86" spans="1:14" x14ac:dyDescent="0.25">
      <c r="A86" t="str">
        <f t="array" ref="A86:A93">R_CODE&amp;" "&amp;I_1_NAME</f>
        <v>EU Economic</v>
      </c>
      <c r="C86" s="39">
        <f>'Impacts A'!C86-'Impacts B'!C86</f>
        <v>0</v>
      </c>
      <c r="D86" s="39">
        <f>'Impacts A'!D86-'Impacts B'!D86</f>
        <v>-1.018292935248688E-4</v>
      </c>
      <c r="E86" s="39">
        <f>'Impacts A'!E86-'Impacts B'!E86</f>
        <v>-1.8328904732101137E-4</v>
      </c>
      <c r="F86" s="39">
        <f>'Impacts A'!F86-'Impacts B'!F86</f>
        <v>-2.3827240695606378E-4</v>
      </c>
      <c r="G86" s="39">
        <f>'Impacts A'!G86-'Impacts B'!G86</f>
        <v>-2.7332066404550659E-4</v>
      </c>
      <c r="H86" s="39">
        <f>'Impacts A'!H86-'Impacts B'!H86</f>
        <v>-2.8989713825833263E-4</v>
      </c>
      <c r="I86" s="39">
        <f>'Impacts A'!I86-'Impacts B'!I86</f>
        <v>-2.9089937067716676E-4</v>
      </c>
      <c r="J86" s="39">
        <f>'Impacts A'!J86-'Impacts B'!J86</f>
        <v>-2.4923782573793574E-4</v>
      </c>
      <c r="K86" s="39">
        <f>'Impacts A'!K86-'Impacts B'!K86</f>
        <v>-1.1030677613899087E-4</v>
      </c>
      <c r="L86" s="39">
        <f>'Impacts A'!L86-'Impacts B'!L86</f>
        <v>-5.9691718999665966E-5</v>
      </c>
      <c r="M86" s="6"/>
      <c r="N86" s="84" t="s">
        <v>49</v>
      </c>
    </row>
    <row r="87" spans="1:14" x14ac:dyDescent="0.25">
      <c r="A87" t="str">
        <v>US Economic</v>
      </c>
      <c r="C87" s="35">
        <f>'Impacts A'!C87-'Impacts B'!C87</f>
        <v>0</v>
      </c>
      <c r="D87" s="35">
        <f>'Impacts A'!D87-'Impacts B'!D87</f>
        <v>-1.018292935248688E-4</v>
      </c>
      <c r="E87" s="35">
        <f>'Impacts A'!E87-'Impacts B'!E87</f>
        <v>-1.8328904732101137E-4</v>
      </c>
      <c r="F87" s="35">
        <f>'Impacts A'!F87-'Impacts B'!F87</f>
        <v>-2.3827240695606378E-4</v>
      </c>
      <c r="G87" s="35">
        <f>'Impacts A'!G87-'Impacts B'!G87</f>
        <v>-2.733206640450625E-4</v>
      </c>
      <c r="H87" s="35">
        <f>'Impacts A'!H87-'Impacts B'!H87</f>
        <v>-2.8989713825833263E-4</v>
      </c>
      <c r="I87" s="35">
        <f>'Impacts A'!I87-'Impacts B'!I87</f>
        <v>-2.9089937067716676E-4</v>
      </c>
      <c r="J87" s="35">
        <f>'Impacts A'!J87-'Impacts B'!J87</f>
        <v>-2.4923782573749165E-4</v>
      </c>
      <c r="K87" s="35">
        <f>'Impacts A'!K87-'Impacts B'!K87</f>
        <v>-1.1030677613899087E-4</v>
      </c>
      <c r="L87" s="35">
        <f>'Impacts A'!L87-'Impacts B'!L87</f>
        <v>-5.9691719000554144E-5</v>
      </c>
      <c r="M87" s="6"/>
      <c r="N87" s="84" t="s">
        <v>49</v>
      </c>
    </row>
    <row r="88" spans="1:14" x14ac:dyDescent="0.25">
      <c r="A88" t="str">
        <v>OT Economic</v>
      </c>
      <c r="C88" s="35">
        <f>'Impacts A'!C88-'Impacts B'!C88</f>
        <v>0</v>
      </c>
      <c r="D88" s="35">
        <f>'Impacts A'!D88-'Impacts B'!D88</f>
        <v>-1.018292935248688E-4</v>
      </c>
      <c r="E88" s="35">
        <f>'Impacts A'!E88-'Impacts B'!E88</f>
        <v>-1.8328904732101137E-4</v>
      </c>
      <c r="F88" s="35">
        <f>'Impacts A'!F88-'Impacts B'!F88</f>
        <v>-2.3827240695650787E-4</v>
      </c>
      <c r="G88" s="35">
        <f>'Impacts A'!G88-'Impacts B'!G88</f>
        <v>-2.7332066404595068E-4</v>
      </c>
      <c r="H88" s="35">
        <f>'Impacts A'!H88-'Impacts B'!H88</f>
        <v>-2.8989713825833263E-4</v>
      </c>
      <c r="I88" s="35">
        <f>'Impacts A'!I88-'Impacts B'!I88</f>
        <v>-2.9089937067716676E-4</v>
      </c>
      <c r="J88" s="35">
        <f>'Impacts A'!J88-'Impacts B'!J88</f>
        <v>-2.4923782573704756E-4</v>
      </c>
      <c r="K88" s="35">
        <f>'Impacts A'!K88-'Impacts B'!K88</f>
        <v>-1.1030677613810269E-4</v>
      </c>
      <c r="L88" s="35">
        <f>'Impacts A'!L88-'Impacts B'!L88</f>
        <v>-5.9691719002330501E-5</v>
      </c>
      <c r="M88" s="6"/>
      <c r="N88" s="84" t="s">
        <v>49</v>
      </c>
    </row>
    <row r="89" spans="1:14" x14ac:dyDescent="0.25">
      <c r="A89" t="str">
        <v>EE Economic</v>
      </c>
      <c r="C89" s="35">
        <f>'Impacts A'!C89-'Impacts B'!C89</f>
        <v>0</v>
      </c>
      <c r="D89" s="35">
        <f>'Impacts A'!D89-'Impacts B'!D89</f>
        <v>-1.018292935248688E-4</v>
      </c>
      <c r="E89" s="35">
        <f>'Impacts A'!E89-'Impacts B'!E89</f>
        <v>-1.8328904732056728E-4</v>
      </c>
      <c r="F89" s="35">
        <f>'Impacts A'!F89-'Impacts B'!F89</f>
        <v>-2.3827240695606378E-4</v>
      </c>
      <c r="G89" s="35">
        <f>'Impacts A'!G89-'Impacts B'!G89</f>
        <v>-2.7332066404550659E-4</v>
      </c>
      <c r="H89" s="35">
        <f>'Impacts A'!H89-'Impacts B'!H89</f>
        <v>-2.8989713825833263E-4</v>
      </c>
      <c r="I89" s="35">
        <f>'Impacts A'!I89-'Impacts B'!I89</f>
        <v>-2.9089937067805494E-4</v>
      </c>
      <c r="J89" s="35">
        <f>'Impacts A'!J89-'Impacts B'!J89</f>
        <v>-2.4923782573793574E-4</v>
      </c>
      <c r="K89" s="35">
        <f>'Impacts A'!K89-'Impacts B'!K89</f>
        <v>-1.1030677613899087E-4</v>
      </c>
      <c r="L89" s="35">
        <f>'Impacts A'!L89-'Impacts B'!L89</f>
        <v>-5.9691719000554144E-5</v>
      </c>
      <c r="M89" s="6"/>
      <c r="N89" s="84" t="s">
        <v>49</v>
      </c>
    </row>
    <row r="90" spans="1:14" x14ac:dyDescent="0.25">
      <c r="A90" t="str">
        <v>CA Economic</v>
      </c>
      <c r="C90" s="35">
        <f>'Impacts A'!C90-'Impacts B'!C90</f>
        <v>0</v>
      </c>
      <c r="D90" s="35">
        <f>'Impacts A'!D90-'Impacts B'!D90</f>
        <v>0</v>
      </c>
      <c r="E90" s="35">
        <f>'Impacts A'!E90-'Impacts B'!E90</f>
        <v>0</v>
      </c>
      <c r="F90" s="35">
        <f>'Impacts A'!F90-'Impacts B'!F90</f>
        <v>0</v>
      </c>
      <c r="G90" s="35">
        <f>'Impacts A'!G90-'Impacts B'!G90</f>
        <v>0</v>
      </c>
      <c r="H90" s="35">
        <f>'Impacts A'!H90-'Impacts B'!H90</f>
        <v>0</v>
      </c>
      <c r="I90" s="35">
        <f>'Impacts A'!I90-'Impacts B'!I90</f>
        <v>-2.9089937067716676E-4</v>
      </c>
      <c r="J90" s="35">
        <f>'Impacts A'!J90-'Impacts B'!J90</f>
        <v>-2.4923782573793574E-4</v>
      </c>
      <c r="K90" s="35">
        <f>'Impacts A'!K90-'Impacts B'!K90</f>
        <v>-1.1030677613899087E-4</v>
      </c>
      <c r="L90" s="35">
        <f>'Impacts A'!L90-'Impacts B'!L90</f>
        <v>-5.9691719001442323E-5</v>
      </c>
      <c r="M90" s="6"/>
      <c r="N90" s="84" t="s">
        <v>49</v>
      </c>
    </row>
    <row r="91" spans="1:14" x14ac:dyDescent="0.25">
      <c r="A91" t="str">
        <v>IA Economic</v>
      </c>
      <c r="C91" s="35">
        <f>'Impacts A'!C91-'Impacts B'!C91</f>
        <v>0</v>
      </c>
      <c r="D91" s="35">
        <f>'Impacts A'!D91-'Impacts B'!D91</f>
        <v>-1.0182929352464676E-4</v>
      </c>
      <c r="E91" s="35">
        <f>'Impacts A'!E91-'Impacts B'!E91</f>
        <v>-1.8328904732078932E-4</v>
      </c>
      <c r="F91" s="35">
        <f>'Impacts A'!F91-'Impacts B'!F91</f>
        <v>-2.3827240695584173E-4</v>
      </c>
      <c r="G91" s="35">
        <f>'Impacts A'!G91-'Impacts B'!G91</f>
        <v>-2.733206640450625E-4</v>
      </c>
      <c r="H91" s="35">
        <f>'Impacts A'!H91-'Impacts B'!H91</f>
        <v>-2.8989713825833263E-4</v>
      </c>
      <c r="I91" s="35">
        <f>'Impacts A'!I91-'Impacts B'!I91</f>
        <v>-2.9089937067761085E-4</v>
      </c>
      <c r="J91" s="35">
        <f>'Impacts A'!J91-'Impacts B'!J91</f>
        <v>-2.4923782573749165E-4</v>
      </c>
      <c r="K91" s="35">
        <f>'Impacts A'!K91-'Impacts B'!K91</f>
        <v>-1.1030677613810269E-4</v>
      </c>
      <c r="L91" s="35">
        <f>'Impacts A'!L91-'Impacts B'!L91</f>
        <v>-5.9691719000554144E-5</v>
      </c>
      <c r="M91" s="6"/>
      <c r="N91" s="84" t="s">
        <v>49</v>
      </c>
    </row>
    <row r="92" spans="1:14" x14ac:dyDescent="0.25">
      <c r="A92" t="str">
        <v>AF Economic</v>
      </c>
      <c r="C92" s="35">
        <f>'Impacts A'!C92-'Impacts B'!C92</f>
        <v>0</v>
      </c>
      <c r="D92" s="35">
        <f>'Impacts A'!D92-'Impacts B'!D92</f>
        <v>-1.0182929352509085E-4</v>
      </c>
      <c r="E92" s="35">
        <f>'Impacts A'!E92-'Impacts B'!E92</f>
        <v>-1.8328904732101137E-4</v>
      </c>
      <c r="F92" s="35">
        <f>'Impacts A'!F92-'Impacts B'!F92</f>
        <v>-2.3827240695606378E-4</v>
      </c>
      <c r="G92" s="35">
        <f>'Impacts A'!G92-'Impacts B'!G92</f>
        <v>-2.733206640450625E-4</v>
      </c>
      <c r="H92" s="35">
        <f>'Impacts A'!H92-'Impacts B'!H92</f>
        <v>-2.8989713825788854E-4</v>
      </c>
      <c r="I92" s="35">
        <f>'Impacts A'!I92-'Impacts B'!I92</f>
        <v>-2.9089937067761085E-4</v>
      </c>
      <c r="J92" s="35">
        <f>'Impacts A'!J92-'Impacts B'!J92</f>
        <v>-2.4923782573793574E-4</v>
      </c>
      <c r="K92" s="35">
        <f>'Impacts A'!K92-'Impacts B'!K92</f>
        <v>-1.1030677613810269E-4</v>
      </c>
      <c r="L92" s="35">
        <f>'Impacts A'!L92-'Impacts B'!L92</f>
        <v>-5.9691719001442323E-5</v>
      </c>
      <c r="M92" s="6"/>
      <c r="N92" s="84" t="s">
        <v>49</v>
      </c>
    </row>
    <row r="93" spans="1:14" x14ac:dyDescent="0.25">
      <c r="A93" t="str">
        <v>LA Economic</v>
      </c>
      <c r="C93" s="35">
        <f>'Impacts A'!C93-'Impacts B'!C93</f>
        <v>0</v>
      </c>
      <c r="D93" s="35">
        <f>'Impacts A'!D93-'Impacts B'!D93</f>
        <v>-1.018292935248688E-4</v>
      </c>
      <c r="E93" s="35">
        <f>'Impacts A'!E93-'Impacts B'!E93</f>
        <v>-1.8328904732056728E-4</v>
      </c>
      <c r="F93" s="35">
        <f>'Impacts A'!F93-'Impacts B'!F93</f>
        <v>-2.3827240695561969E-4</v>
      </c>
      <c r="G93" s="35">
        <f>'Impacts A'!G93-'Impacts B'!G93</f>
        <v>-2.7332066404461841E-4</v>
      </c>
      <c r="H93" s="35">
        <f>'Impacts A'!H93-'Impacts B'!H93</f>
        <v>-2.8989713825788854E-4</v>
      </c>
      <c r="I93" s="35">
        <f>'Impacts A'!I93-'Impacts B'!I93</f>
        <v>-2.9089937067761085E-4</v>
      </c>
      <c r="J93" s="35">
        <f>'Impacts A'!J93-'Impacts B'!J93</f>
        <v>-2.4923782573749165E-4</v>
      </c>
      <c r="K93" s="35">
        <f>'Impacts A'!K93-'Impacts B'!K93</f>
        <v>-1.1030677613810269E-4</v>
      </c>
      <c r="L93" s="35">
        <f>'Impacts A'!L93-'Impacts B'!L93</f>
        <v>-5.9691718999665966E-5</v>
      </c>
      <c r="M93" s="6"/>
      <c r="N93" s="84" t="s">
        <v>49</v>
      </c>
    </row>
    <row r="94" spans="1:14" s="2" customFormat="1" ht="15" x14ac:dyDescent="0.4">
      <c r="A94" s="2" t="s">
        <v>108</v>
      </c>
      <c r="C94" s="2" t="s">
        <v>111</v>
      </c>
      <c r="D94" s="18"/>
      <c r="E94" s="18"/>
      <c r="F94" s="18"/>
      <c r="G94" s="18"/>
      <c r="H94" s="18"/>
      <c r="I94" s="18"/>
      <c r="J94" s="18"/>
      <c r="K94" s="18"/>
      <c r="L94" s="18"/>
    </row>
    <row r="95" spans="1:14" x14ac:dyDescent="0.25">
      <c r="A95" t="str">
        <f t="array" ref="A95:A102">R_CODE&amp;" "&amp;I_2_NAME</f>
        <v>EU Non-econ</v>
      </c>
      <c r="C95" s="39">
        <f>'Impacts A'!C95-'Impacts B'!C95</f>
        <v>0</v>
      </c>
      <c r="D95" s="39">
        <f>'Impacts A'!D95-'Impacts B'!D95</f>
        <v>-1.018292935248688E-4</v>
      </c>
      <c r="E95" s="39">
        <f>'Impacts A'!E95-'Impacts B'!E95</f>
        <v>-1.8328904732101137E-4</v>
      </c>
      <c r="F95" s="39">
        <f>'Impacts A'!F95-'Impacts B'!F95</f>
        <v>-2.3827240695606378E-4</v>
      </c>
      <c r="G95" s="39">
        <f>'Impacts A'!G95-'Impacts B'!G95</f>
        <v>-2.7332066404550659E-4</v>
      </c>
      <c r="H95" s="39">
        <f>'Impacts A'!H95-'Impacts B'!H95</f>
        <v>-2.8989713825833263E-4</v>
      </c>
      <c r="I95" s="39">
        <f>'Impacts A'!I95-'Impacts B'!I95</f>
        <v>-2.9089937067716676E-4</v>
      </c>
      <c r="J95" s="39">
        <f>'Impacts A'!J95-'Impacts B'!J95</f>
        <v>-2.4923782573793574E-4</v>
      </c>
      <c r="K95" s="39">
        <f>'Impacts A'!K95-'Impacts B'!K95</f>
        <v>-1.1030677613899087E-4</v>
      </c>
      <c r="L95" s="39">
        <f>'Impacts A'!L95-'Impacts B'!L95</f>
        <v>-5.9691718999665966E-5</v>
      </c>
      <c r="M95" s="6"/>
      <c r="N95" s="84" t="s">
        <v>49</v>
      </c>
    </row>
    <row r="96" spans="1:14" x14ac:dyDescent="0.25">
      <c r="A96" t="str">
        <v>US Non-econ</v>
      </c>
      <c r="C96" s="35">
        <f>'Impacts A'!C96-'Impacts B'!C96</f>
        <v>0</v>
      </c>
      <c r="D96" s="35">
        <f>'Impacts A'!D96-'Impacts B'!D96</f>
        <v>-1.018292935248688E-4</v>
      </c>
      <c r="E96" s="35">
        <f>'Impacts A'!E96-'Impacts B'!E96</f>
        <v>-1.8328904732101137E-4</v>
      </c>
      <c r="F96" s="35">
        <f>'Impacts A'!F96-'Impacts B'!F96</f>
        <v>-2.3827240695606378E-4</v>
      </c>
      <c r="G96" s="35">
        <f>'Impacts A'!G96-'Impacts B'!G96</f>
        <v>-2.733206640450625E-4</v>
      </c>
      <c r="H96" s="35">
        <f>'Impacts A'!H96-'Impacts B'!H96</f>
        <v>-2.8989713825833263E-4</v>
      </c>
      <c r="I96" s="35">
        <f>'Impacts A'!I96-'Impacts B'!I96</f>
        <v>-2.9089937067716676E-4</v>
      </c>
      <c r="J96" s="35">
        <f>'Impacts A'!J96-'Impacts B'!J96</f>
        <v>-2.4923782573749165E-4</v>
      </c>
      <c r="K96" s="35">
        <f>'Impacts A'!K96-'Impacts B'!K96</f>
        <v>-1.1030677613899087E-4</v>
      </c>
      <c r="L96" s="35">
        <f>'Impacts A'!L96-'Impacts B'!L96</f>
        <v>-5.9691719000554144E-5</v>
      </c>
      <c r="M96" s="6"/>
      <c r="N96" s="84" t="s">
        <v>49</v>
      </c>
    </row>
    <row r="97" spans="1:16" x14ac:dyDescent="0.25">
      <c r="A97" t="str">
        <v>OT Non-econ</v>
      </c>
      <c r="C97" s="35">
        <f>'Impacts A'!C97-'Impacts B'!C97</f>
        <v>0</v>
      </c>
      <c r="D97" s="35">
        <f>'Impacts A'!D97-'Impacts B'!D97</f>
        <v>-1.018292935248688E-4</v>
      </c>
      <c r="E97" s="35">
        <f>'Impacts A'!E97-'Impacts B'!E97</f>
        <v>-1.8328904732101137E-4</v>
      </c>
      <c r="F97" s="35">
        <f>'Impacts A'!F97-'Impacts B'!F97</f>
        <v>-2.3827240695650787E-4</v>
      </c>
      <c r="G97" s="35">
        <f>'Impacts A'!G97-'Impacts B'!G97</f>
        <v>-2.7332066404595068E-4</v>
      </c>
      <c r="H97" s="35">
        <f>'Impacts A'!H97-'Impacts B'!H97</f>
        <v>-2.8989713825833263E-4</v>
      </c>
      <c r="I97" s="35">
        <f>'Impacts A'!I97-'Impacts B'!I97</f>
        <v>-2.9089937067716676E-4</v>
      </c>
      <c r="J97" s="35">
        <f>'Impacts A'!J97-'Impacts B'!J97</f>
        <v>-2.4923782573704756E-4</v>
      </c>
      <c r="K97" s="35">
        <f>'Impacts A'!K97-'Impacts B'!K97</f>
        <v>-1.1030677613810269E-4</v>
      </c>
      <c r="L97" s="35">
        <f>'Impacts A'!L97-'Impacts B'!L97</f>
        <v>-5.9691719002330501E-5</v>
      </c>
      <c r="M97" s="6"/>
      <c r="N97" s="84" t="s">
        <v>49</v>
      </c>
    </row>
    <row r="98" spans="1:16" x14ac:dyDescent="0.25">
      <c r="A98" t="str">
        <v>EE Non-econ</v>
      </c>
      <c r="C98" s="35">
        <f>'Impacts A'!C98-'Impacts B'!C98</f>
        <v>0</v>
      </c>
      <c r="D98" s="35">
        <f>'Impacts A'!D98-'Impacts B'!D98</f>
        <v>-1.018292935248688E-4</v>
      </c>
      <c r="E98" s="35">
        <f>'Impacts A'!E98-'Impacts B'!E98</f>
        <v>-1.8328904732056728E-4</v>
      </c>
      <c r="F98" s="35">
        <f>'Impacts A'!F98-'Impacts B'!F98</f>
        <v>-2.3827240695606378E-4</v>
      </c>
      <c r="G98" s="35">
        <f>'Impacts A'!G98-'Impacts B'!G98</f>
        <v>-2.7332066404550659E-4</v>
      </c>
      <c r="H98" s="35">
        <f>'Impacts A'!H98-'Impacts B'!H98</f>
        <v>-2.8989713825833263E-4</v>
      </c>
      <c r="I98" s="35">
        <f>'Impacts A'!I98-'Impacts B'!I98</f>
        <v>-2.9089937067805494E-4</v>
      </c>
      <c r="J98" s="35">
        <f>'Impacts A'!J98-'Impacts B'!J98</f>
        <v>-2.4923782573793574E-4</v>
      </c>
      <c r="K98" s="35">
        <f>'Impacts A'!K98-'Impacts B'!K98</f>
        <v>-1.1030677613899087E-4</v>
      </c>
      <c r="L98" s="35">
        <f>'Impacts A'!L98-'Impacts B'!L98</f>
        <v>-5.9691719000554144E-5</v>
      </c>
      <c r="M98" s="6"/>
      <c r="N98" s="84" t="s">
        <v>49</v>
      </c>
    </row>
    <row r="99" spans="1:16" x14ac:dyDescent="0.25">
      <c r="A99" t="str">
        <v>CA Non-econ</v>
      </c>
      <c r="C99" s="35">
        <f>'Impacts A'!C99-'Impacts B'!C99</f>
        <v>0</v>
      </c>
      <c r="D99" s="35">
        <f>'Impacts A'!D99-'Impacts B'!D99</f>
        <v>0</v>
      </c>
      <c r="E99" s="35">
        <f>'Impacts A'!E99-'Impacts B'!E99</f>
        <v>0</v>
      </c>
      <c r="F99" s="35">
        <f>'Impacts A'!F99-'Impacts B'!F99</f>
        <v>0</v>
      </c>
      <c r="G99" s="35">
        <f>'Impacts A'!G99-'Impacts B'!G99</f>
        <v>-2.7332066404511801E-4</v>
      </c>
      <c r="H99" s="35">
        <f>'Impacts A'!H99-'Impacts B'!H99</f>
        <v>-2.8989713825822161E-4</v>
      </c>
      <c r="I99" s="35">
        <f>'Impacts A'!I99-'Impacts B'!I99</f>
        <v>-2.9089937067716676E-4</v>
      </c>
      <c r="J99" s="35">
        <f>'Impacts A'!J99-'Impacts B'!J99</f>
        <v>-2.4923782573793574E-4</v>
      </c>
      <c r="K99" s="35">
        <f>'Impacts A'!K99-'Impacts B'!K99</f>
        <v>-1.1030677613899087E-4</v>
      </c>
      <c r="L99" s="35">
        <f>'Impacts A'!L99-'Impacts B'!L99</f>
        <v>-5.9691719001442323E-5</v>
      </c>
      <c r="M99" s="6"/>
      <c r="N99" s="84" t="s">
        <v>49</v>
      </c>
    </row>
    <row r="100" spans="1:16" x14ac:dyDescent="0.25">
      <c r="A100" t="str">
        <v>IA Non-econ</v>
      </c>
      <c r="C100" s="35">
        <f>'Impacts A'!C100-'Impacts B'!C100</f>
        <v>0</v>
      </c>
      <c r="D100" s="35">
        <f>'Impacts A'!D100-'Impacts B'!D100</f>
        <v>-1.0182929352464676E-4</v>
      </c>
      <c r="E100" s="35">
        <f>'Impacts A'!E100-'Impacts B'!E100</f>
        <v>-1.8328904732078932E-4</v>
      </c>
      <c r="F100" s="35">
        <f>'Impacts A'!F100-'Impacts B'!F100</f>
        <v>-2.3827240695584173E-4</v>
      </c>
      <c r="G100" s="35">
        <f>'Impacts A'!G100-'Impacts B'!G100</f>
        <v>-2.733206640450625E-4</v>
      </c>
      <c r="H100" s="35">
        <f>'Impacts A'!H100-'Impacts B'!H100</f>
        <v>-2.8989713825833263E-4</v>
      </c>
      <c r="I100" s="35">
        <f>'Impacts A'!I100-'Impacts B'!I100</f>
        <v>-2.9089937067761085E-4</v>
      </c>
      <c r="J100" s="35">
        <f>'Impacts A'!J100-'Impacts B'!J100</f>
        <v>-2.4923782573749165E-4</v>
      </c>
      <c r="K100" s="35">
        <f>'Impacts A'!K100-'Impacts B'!K100</f>
        <v>-1.1030677613810269E-4</v>
      </c>
      <c r="L100" s="35">
        <f>'Impacts A'!L100-'Impacts B'!L100</f>
        <v>-5.9691719000554144E-5</v>
      </c>
      <c r="M100" s="6"/>
      <c r="N100" s="84" t="s">
        <v>49</v>
      </c>
    </row>
    <row r="101" spans="1:16" x14ac:dyDescent="0.25">
      <c r="A101" t="str">
        <v>AF Non-econ</v>
      </c>
      <c r="C101" s="35">
        <f>'Impacts A'!C101-'Impacts B'!C101</f>
        <v>0</v>
      </c>
      <c r="D101" s="35">
        <f>'Impacts A'!D101-'Impacts B'!D101</f>
        <v>-1.0182929352509085E-4</v>
      </c>
      <c r="E101" s="35">
        <f>'Impacts A'!E101-'Impacts B'!E101</f>
        <v>-1.8328904732101137E-4</v>
      </c>
      <c r="F101" s="35">
        <f>'Impacts A'!F101-'Impacts B'!F101</f>
        <v>-2.3827240695606378E-4</v>
      </c>
      <c r="G101" s="35">
        <f>'Impacts A'!G101-'Impacts B'!G101</f>
        <v>-2.733206640450625E-4</v>
      </c>
      <c r="H101" s="35">
        <f>'Impacts A'!H101-'Impacts B'!H101</f>
        <v>-2.8989713825788854E-4</v>
      </c>
      <c r="I101" s="35">
        <f>'Impacts A'!I101-'Impacts B'!I101</f>
        <v>-2.9089937067761085E-4</v>
      </c>
      <c r="J101" s="35">
        <f>'Impacts A'!J101-'Impacts B'!J101</f>
        <v>-2.4923782573793574E-4</v>
      </c>
      <c r="K101" s="35">
        <f>'Impacts A'!K101-'Impacts B'!K101</f>
        <v>-1.1030677613810269E-4</v>
      </c>
      <c r="L101" s="35">
        <f>'Impacts A'!L101-'Impacts B'!L101</f>
        <v>-5.9691719001442323E-5</v>
      </c>
      <c r="M101" s="6"/>
      <c r="N101" s="84" t="s">
        <v>49</v>
      </c>
    </row>
    <row r="102" spans="1:16" x14ac:dyDescent="0.25">
      <c r="A102" t="str">
        <v>LA Non-econ</v>
      </c>
      <c r="C102" s="35">
        <f>'Impacts A'!C102-'Impacts B'!C102</f>
        <v>0</v>
      </c>
      <c r="D102" s="35">
        <f>'Impacts A'!D102-'Impacts B'!D102</f>
        <v>-1.018292935248688E-4</v>
      </c>
      <c r="E102" s="35">
        <f>'Impacts A'!E102-'Impacts B'!E102</f>
        <v>-1.8328904732056728E-4</v>
      </c>
      <c r="F102" s="35">
        <f>'Impacts A'!F102-'Impacts B'!F102</f>
        <v>-2.3827240695561969E-4</v>
      </c>
      <c r="G102" s="35">
        <f>'Impacts A'!G102-'Impacts B'!G102</f>
        <v>-2.7332066404461841E-4</v>
      </c>
      <c r="H102" s="35">
        <f>'Impacts A'!H102-'Impacts B'!H102</f>
        <v>-2.8989713825788854E-4</v>
      </c>
      <c r="I102" s="35">
        <f>'Impacts A'!I102-'Impacts B'!I102</f>
        <v>-2.9089937067761085E-4</v>
      </c>
      <c r="J102" s="35">
        <f>'Impacts A'!J102-'Impacts B'!J102</f>
        <v>-2.4923782573749165E-4</v>
      </c>
      <c r="K102" s="35">
        <f>'Impacts A'!K102-'Impacts B'!K102</f>
        <v>-1.1030677613810269E-4</v>
      </c>
      <c r="L102" s="35">
        <f>'Impacts A'!L102-'Impacts B'!L102</f>
        <v>-5.9691718999665966E-5</v>
      </c>
      <c r="M102" s="6"/>
      <c r="N102" s="84" t="s">
        <v>49</v>
      </c>
    </row>
    <row r="103" spans="1:16" s="2" customFormat="1" ht="15" x14ac:dyDescent="0.4">
      <c r="A103" s="2" t="s">
        <v>108</v>
      </c>
      <c r="C103" s="2" t="s">
        <v>169</v>
      </c>
      <c r="D103" s="18"/>
      <c r="E103" s="18"/>
      <c r="F103" s="18"/>
      <c r="G103" s="18"/>
      <c r="H103" s="18"/>
      <c r="I103" s="18"/>
      <c r="J103" s="18"/>
      <c r="K103" s="18"/>
      <c r="L103" s="18"/>
    </row>
    <row r="104" spans="1:16" x14ac:dyDescent="0.25">
      <c r="A104" t="s">
        <v>170</v>
      </c>
      <c r="C104" s="35">
        <f>'Impacts A'!C104-'Impacts B'!C104</f>
        <v>0</v>
      </c>
      <c r="D104" s="35">
        <f>'Impacts A'!D104-'Impacts B'!D104</f>
        <v>-8.0874821570153799E-5</v>
      </c>
      <c r="E104" s="35">
        <f>'Impacts A'!E104-'Impacts B'!E104</f>
        <v>-1.4557175528473465E-4</v>
      </c>
      <c r="F104" s="35">
        <f>'Impacts A'!F104-'Impacts B'!F104</f>
        <v>-1.8924061761227406E-4</v>
      </c>
      <c r="G104" s="35">
        <f>'Impacts A'!G104-'Impacts B'!G104</f>
        <v>-2.1707663061332205E-4</v>
      </c>
      <c r="H104" s="35">
        <f>'Impacts A'!H104-'Impacts B'!H104</f>
        <v>-2.3024199146215452E-4</v>
      </c>
      <c r="I104" s="35">
        <f>'Impacts A'!I104-'Impacts B'!I104</f>
        <v>-2.3103798410062382E-4</v>
      </c>
      <c r="J104" s="35">
        <f>'Impacts A'!J104-'Impacts B'!J104</f>
        <v>-1.9794956821694853E-4</v>
      </c>
      <c r="K104" s="35">
        <f>'Impacts A'!K104-'Impacts B'!K104</f>
        <v>-8.7607804487355168E-5</v>
      </c>
      <c r="L104" s="35">
        <f>'Impacts A'!L104-'Impacts B'!L104</f>
        <v>-4.7408333656573376E-5</v>
      </c>
      <c r="M104" s="6"/>
      <c r="N104" s="1" t="s">
        <v>49</v>
      </c>
    </row>
    <row r="105" spans="1:16" x14ac:dyDescent="0.25">
      <c r="A105" t="s">
        <v>171</v>
      </c>
      <c r="C105" s="35">
        <f>'Impacts A'!C105-'Impacts B'!C105</f>
        <v>0</v>
      </c>
      <c r="D105" s="35">
        <f>'Impacts A'!D105-'Impacts B'!D105</f>
        <v>-1.6174964313997453E-5</v>
      </c>
      <c r="E105" s="35">
        <f>'Impacts A'!E105-'Impacts B'!E105</f>
        <v>-2.9114351056958032E-5</v>
      </c>
      <c r="F105" s="35">
        <f>'Impacts A'!F105-'Impacts B'!F105</f>
        <v>-3.7848123522421506E-5</v>
      </c>
      <c r="G105" s="35">
        <f>'Impacts A'!G105-'Impacts B'!G105</f>
        <v>-4.3415326122703268E-5</v>
      </c>
      <c r="H105" s="35">
        <f>'Impacts A'!H105-'Impacts B'!H105</f>
        <v>-4.6048398292447557E-5</v>
      </c>
      <c r="I105" s="35">
        <f>'Impacts A'!I105-'Impacts B'!I105</f>
        <v>-4.6207596820127539E-5</v>
      </c>
      <c r="J105" s="35">
        <f>'Impacts A'!J105-'Impacts B'!J105</f>
        <v>-3.9589913643389707E-5</v>
      </c>
      <c r="K105" s="35">
        <f>'Impacts A'!K105-'Impacts B'!K105</f>
        <v>-1.7521560897473809E-5</v>
      </c>
      <c r="L105" s="35">
        <f>'Impacts A'!L105-'Impacts B'!L105</f>
        <v>-9.4816667313146752E-6</v>
      </c>
      <c r="M105" s="6"/>
      <c r="N105" s="1"/>
      <c r="P105" s="12"/>
    </row>
    <row r="106" spans="1:16" x14ac:dyDescent="0.25">
      <c r="A106" s="3" t="s">
        <v>306</v>
      </c>
      <c r="C106" s="35">
        <f>'Impacts A'!C106-'Impacts B'!C106</f>
        <v>0</v>
      </c>
      <c r="D106" s="35">
        <f>'Impacts A'!D106-'Impacts B'!D106</f>
        <v>0</v>
      </c>
      <c r="E106" s="35">
        <f>'Impacts A'!E106-'Impacts B'!E106</f>
        <v>0</v>
      </c>
      <c r="F106" s="35">
        <f>'Impacts A'!F106-'Impacts B'!F106</f>
        <v>0</v>
      </c>
      <c r="G106" s="35">
        <f>'Impacts A'!G106-'Impacts B'!G106</f>
        <v>0</v>
      </c>
      <c r="H106" s="35">
        <f>'Impacts A'!H106-'Impacts B'!H106</f>
        <v>0</v>
      </c>
      <c r="I106" s="35">
        <f>'Impacts A'!I106-'Impacts B'!I106</f>
        <v>0</v>
      </c>
      <c r="J106" s="35">
        <f>'Impacts A'!J106-'Impacts B'!J106</f>
        <v>0</v>
      </c>
      <c r="K106" s="35">
        <f>'Impacts A'!K106-'Impacts B'!K106</f>
        <v>0</v>
      </c>
      <c r="L106" s="35">
        <f>'Impacts A'!L106-'Impacts B'!L106</f>
        <v>0</v>
      </c>
      <c r="M106" s="6"/>
      <c r="N106" s="1"/>
      <c r="P106" s="12"/>
    </row>
    <row r="107" spans="1:16" x14ac:dyDescent="0.25">
      <c r="A107" t="s">
        <v>255</v>
      </c>
      <c r="B107" s="35">
        <f>'Impacts A'!B107-'Impacts B'!B107</f>
        <v>0</v>
      </c>
      <c r="C107" s="44"/>
      <c r="D107" s="44"/>
      <c r="E107" s="44"/>
      <c r="F107" s="44"/>
      <c r="G107" s="44"/>
      <c r="H107" s="44"/>
      <c r="I107" s="44"/>
      <c r="J107" s="44"/>
      <c r="K107" s="44"/>
      <c r="L107" s="44"/>
      <c r="M107" s="6"/>
      <c r="N107" s="1"/>
      <c r="P107" s="12"/>
    </row>
    <row r="108" spans="1:16" x14ac:dyDescent="0.25">
      <c r="A108" t="s">
        <v>256</v>
      </c>
      <c r="B108" s="22">
        <f>'Impacts A'!B108-'Impacts B'!B108</f>
        <v>0</v>
      </c>
      <c r="C108" s="22">
        <f>'Impacts A'!C108-'Impacts B'!C108</f>
        <v>0</v>
      </c>
      <c r="D108" s="164">
        <f>'Impacts A'!D108-'Impacts B'!D108</f>
        <v>0</v>
      </c>
      <c r="E108" s="164">
        <f>'Impacts A'!E108-'Impacts B'!E108</f>
        <v>0</v>
      </c>
      <c r="F108" s="164">
        <f>'Impacts A'!F108-'Impacts B'!F108</f>
        <v>0</v>
      </c>
      <c r="G108" s="164">
        <f>'Impacts A'!G108-'Impacts B'!G108</f>
        <v>0</v>
      </c>
      <c r="H108" s="164">
        <f>'Impacts A'!H108-'Impacts B'!H108</f>
        <v>0</v>
      </c>
      <c r="I108" s="164">
        <f>'Impacts A'!I108-'Impacts B'!I108</f>
        <v>0</v>
      </c>
      <c r="J108" s="164">
        <f>'Impacts A'!J108-'Impacts B'!J108</f>
        <v>0</v>
      </c>
      <c r="K108" s="164">
        <f>'Impacts A'!K108-'Impacts B'!K108</f>
        <v>0</v>
      </c>
      <c r="L108" s="164">
        <f>'Impacts A'!L108-'Impacts B'!L108</f>
        <v>0</v>
      </c>
      <c r="M108" s="6"/>
      <c r="N108" s="1"/>
    </row>
    <row r="109" spans="1:16" ht="13" x14ac:dyDescent="0.3">
      <c r="A109" s="2" t="s">
        <v>23</v>
      </c>
      <c r="B109" s="2"/>
    </row>
    <row r="110" spans="1:16" s="1" customFormat="1" x14ac:dyDescent="0.25">
      <c r="A110" s="1" t="str">
        <f t="array" ref="A110:A117">R_CODE</f>
        <v>EU</v>
      </c>
      <c r="B110" s="37">
        <f>'Impacts A'!B110-'Impacts B'!B110</f>
        <v>0</v>
      </c>
      <c r="C110" s="37">
        <f>'Impacts A'!C110-'Impacts B'!C110</f>
        <v>0</v>
      </c>
      <c r="D110" s="37">
        <f>'Impacts A'!D110-'Impacts B'!D110</f>
        <v>0</v>
      </c>
      <c r="E110" s="37">
        <f>'Impacts A'!E110-'Impacts B'!E110</f>
        <v>0</v>
      </c>
      <c r="F110" s="37">
        <f>'Impacts A'!F110-'Impacts B'!F110</f>
        <v>0</v>
      </c>
      <c r="G110" s="37">
        <f>'Impacts A'!G110-'Impacts B'!G110</f>
        <v>0</v>
      </c>
      <c r="H110" s="37">
        <f>'Impacts A'!H110-'Impacts B'!H110</f>
        <v>0</v>
      </c>
      <c r="I110" s="37">
        <f>'Impacts A'!I110-'Impacts B'!I110</f>
        <v>0</v>
      </c>
      <c r="J110" s="37">
        <f>'Impacts A'!J110-'Impacts B'!J110</f>
        <v>0</v>
      </c>
      <c r="K110" s="37">
        <f>'Impacts A'!K110-'Impacts B'!K110</f>
        <v>0</v>
      </c>
      <c r="L110" s="37">
        <f>'Impacts A'!L110-'Impacts B'!L110</f>
        <v>0</v>
      </c>
      <c r="N110" s="1" t="str">
        <f t="shared" ref="N110:N118" si="0">CURRENCY_NAME</f>
        <v>$million</v>
      </c>
    </row>
    <row r="111" spans="1:16" s="1" customFormat="1" x14ac:dyDescent="0.25">
      <c r="A111" s="1" t="str">
        <v>US</v>
      </c>
      <c r="B111" s="38">
        <f>'Impacts A'!B111-'Impacts B'!B111</f>
        <v>0</v>
      </c>
      <c r="C111" s="38">
        <f>'Impacts A'!C111-'Impacts B'!C111</f>
        <v>0</v>
      </c>
      <c r="D111" s="38">
        <f>'Impacts A'!D111-'Impacts B'!D111</f>
        <v>0</v>
      </c>
      <c r="E111" s="38">
        <f>'Impacts A'!E111-'Impacts B'!E111</f>
        <v>0</v>
      </c>
      <c r="F111" s="38">
        <f>'Impacts A'!F111-'Impacts B'!F111</f>
        <v>0</v>
      </c>
      <c r="G111" s="38">
        <f>'Impacts A'!G111-'Impacts B'!G111</f>
        <v>0</v>
      </c>
      <c r="H111" s="38">
        <f>'Impacts A'!H111-'Impacts B'!H111</f>
        <v>0</v>
      </c>
      <c r="I111" s="38">
        <f>'Impacts A'!I111-'Impacts B'!I111</f>
        <v>0</v>
      </c>
      <c r="J111" s="38">
        <f>'Impacts A'!J111-'Impacts B'!J111</f>
        <v>0</v>
      </c>
      <c r="K111" s="38">
        <f>'Impacts A'!K111-'Impacts B'!K111</f>
        <v>0</v>
      </c>
      <c r="L111" s="38">
        <f>'Impacts A'!L111-'Impacts B'!L111</f>
        <v>0</v>
      </c>
      <c r="N111" s="1" t="str">
        <f t="shared" si="0"/>
        <v>$million</v>
      </c>
    </row>
    <row r="112" spans="1:16" s="1" customFormat="1" x14ac:dyDescent="0.25">
      <c r="A112" s="1" t="str">
        <v>OT</v>
      </c>
      <c r="B112" s="38">
        <f>'Impacts A'!B112-'Impacts B'!B112</f>
        <v>0</v>
      </c>
      <c r="C112" s="38">
        <f>'Impacts A'!C112-'Impacts B'!C112</f>
        <v>0</v>
      </c>
      <c r="D112" s="38">
        <f>'Impacts A'!D112-'Impacts B'!D112</f>
        <v>0</v>
      </c>
      <c r="E112" s="38">
        <f>'Impacts A'!E112-'Impacts B'!E112</f>
        <v>0</v>
      </c>
      <c r="F112" s="38">
        <f>'Impacts A'!F112-'Impacts B'!F112</f>
        <v>0</v>
      </c>
      <c r="G112" s="38">
        <f>'Impacts A'!G112-'Impacts B'!G112</f>
        <v>0</v>
      </c>
      <c r="H112" s="38">
        <f>'Impacts A'!H112-'Impacts B'!H112</f>
        <v>0</v>
      </c>
      <c r="I112" s="38">
        <f>'Impacts A'!I112-'Impacts B'!I112</f>
        <v>0</v>
      </c>
      <c r="J112" s="38">
        <f>'Impacts A'!J112-'Impacts B'!J112</f>
        <v>0</v>
      </c>
      <c r="K112" s="38">
        <f>'Impacts A'!K112-'Impacts B'!K112</f>
        <v>0</v>
      </c>
      <c r="L112" s="38">
        <f>'Impacts A'!L112-'Impacts B'!L112</f>
        <v>0</v>
      </c>
      <c r="N112" s="1" t="str">
        <f t="shared" si="0"/>
        <v>$million</v>
      </c>
    </row>
    <row r="113" spans="1:14" s="1" customFormat="1" x14ac:dyDescent="0.25">
      <c r="A113" s="1" t="str">
        <v>EE</v>
      </c>
      <c r="B113" s="38">
        <f>'Impacts A'!B113-'Impacts B'!B113</f>
        <v>0</v>
      </c>
      <c r="C113" s="38">
        <f>'Impacts A'!C113-'Impacts B'!C113</f>
        <v>0</v>
      </c>
      <c r="D113" s="38">
        <f>'Impacts A'!D113-'Impacts B'!D113</f>
        <v>0</v>
      </c>
      <c r="E113" s="38">
        <f>'Impacts A'!E113-'Impacts B'!E113</f>
        <v>0</v>
      </c>
      <c r="F113" s="38">
        <f>'Impacts A'!F113-'Impacts B'!F113</f>
        <v>0</v>
      </c>
      <c r="G113" s="38">
        <f>'Impacts A'!G113-'Impacts B'!G113</f>
        <v>0</v>
      </c>
      <c r="H113" s="38">
        <f>'Impacts A'!H113-'Impacts B'!H113</f>
        <v>0</v>
      </c>
      <c r="I113" s="38">
        <f>'Impacts A'!I113-'Impacts B'!I113</f>
        <v>0</v>
      </c>
      <c r="J113" s="38">
        <f>'Impacts A'!J113-'Impacts B'!J113</f>
        <v>0</v>
      </c>
      <c r="K113" s="38">
        <f>'Impacts A'!K113-'Impacts B'!K113</f>
        <v>0</v>
      </c>
      <c r="L113" s="38">
        <f>'Impacts A'!L113-'Impacts B'!L113</f>
        <v>0</v>
      </c>
      <c r="N113" s="1" t="str">
        <f t="shared" si="0"/>
        <v>$million</v>
      </c>
    </row>
    <row r="114" spans="1:14" s="1" customFormat="1" x14ac:dyDescent="0.25">
      <c r="A114" s="1" t="str">
        <v>CA</v>
      </c>
      <c r="B114" s="38">
        <f>'Impacts A'!B114-'Impacts B'!B114</f>
        <v>0</v>
      </c>
      <c r="C114" s="38">
        <f>'Impacts A'!C114-'Impacts B'!C114</f>
        <v>0</v>
      </c>
      <c r="D114" s="38">
        <f>'Impacts A'!D114-'Impacts B'!D114</f>
        <v>0</v>
      </c>
      <c r="E114" s="38">
        <f>'Impacts A'!E114-'Impacts B'!E114</f>
        <v>0</v>
      </c>
      <c r="F114" s="38">
        <f>'Impacts A'!F114-'Impacts B'!F114</f>
        <v>0</v>
      </c>
      <c r="G114" s="38">
        <f>'Impacts A'!G114-'Impacts B'!G114</f>
        <v>0</v>
      </c>
      <c r="H114" s="38">
        <f>'Impacts A'!H114-'Impacts B'!H114</f>
        <v>0</v>
      </c>
      <c r="I114" s="38">
        <f>'Impacts A'!I114-'Impacts B'!I114</f>
        <v>0</v>
      </c>
      <c r="J114" s="38">
        <f>'Impacts A'!J114-'Impacts B'!J114</f>
        <v>0</v>
      </c>
      <c r="K114" s="38">
        <f>'Impacts A'!K114-'Impacts B'!K114</f>
        <v>0</v>
      </c>
      <c r="L114" s="38">
        <f>'Impacts A'!L114-'Impacts B'!L114</f>
        <v>0</v>
      </c>
      <c r="N114" s="1" t="str">
        <f t="shared" si="0"/>
        <v>$million</v>
      </c>
    </row>
    <row r="115" spans="1:14" s="1" customFormat="1" x14ac:dyDescent="0.25">
      <c r="A115" s="1" t="str">
        <v>IA</v>
      </c>
      <c r="B115" s="38">
        <f>'Impacts A'!B115-'Impacts B'!B115</f>
        <v>0</v>
      </c>
      <c r="C115" s="38">
        <f>'Impacts A'!C115-'Impacts B'!C115</f>
        <v>0</v>
      </c>
      <c r="D115" s="38">
        <f>'Impacts A'!D115-'Impacts B'!D115</f>
        <v>0</v>
      </c>
      <c r="E115" s="38">
        <f>'Impacts A'!E115-'Impacts B'!E115</f>
        <v>0</v>
      </c>
      <c r="F115" s="38">
        <f>'Impacts A'!F115-'Impacts B'!F115</f>
        <v>0</v>
      </c>
      <c r="G115" s="38">
        <f>'Impacts A'!G115-'Impacts B'!G115</f>
        <v>0</v>
      </c>
      <c r="H115" s="38">
        <f>'Impacts A'!H115-'Impacts B'!H115</f>
        <v>0</v>
      </c>
      <c r="I115" s="38">
        <f>'Impacts A'!I115-'Impacts B'!I115</f>
        <v>0</v>
      </c>
      <c r="J115" s="38">
        <f>'Impacts A'!J115-'Impacts B'!J115</f>
        <v>0</v>
      </c>
      <c r="K115" s="38">
        <f>'Impacts A'!K115-'Impacts B'!K115</f>
        <v>0</v>
      </c>
      <c r="L115" s="38">
        <f>'Impacts A'!L115-'Impacts B'!L115</f>
        <v>0</v>
      </c>
      <c r="N115" s="1" t="str">
        <f t="shared" si="0"/>
        <v>$million</v>
      </c>
    </row>
    <row r="116" spans="1:14" s="1" customFormat="1" x14ac:dyDescent="0.25">
      <c r="A116" s="1" t="str">
        <v>AF</v>
      </c>
      <c r="B116" s="38">
        <f>'Impacts A'!B116-'Impacts B'!B116</f>
        <v>0</v>
      </c>
      <c r="C116" s="38">
        <f>'Impacts A'!C116-'Impacts B'!C116</f>
        <v>0</v>
      </c>
      <c r="D116" s="38">
        <f>'Impacts A'!D116-'Impacts B'!D116</f>
        <v>0</v>
      </c>
      <c r="E116" s="38">
        <f>'Impacts A'!E116-'Impacts B'!E116</f>
        <v>0</v>
      </c>
      <c r="F116" s="38">
        <f>'Impacts A'!F116-'Impacts B'!F116</f>
        <v>0</v>
      </c>
      <c r="G116" s="38">
        <f>'Impacts A'!G116-'Impacts B'!G116</f>
        <v>0</v>
      </c>
      <c r="H116" s="38">
        <f>'Impacts A'!H116-'Impacts B'!H116</f>
        <v>0</v>
      </c>
      <c r="I116" s="38">
        <f>'Impacts A'!I116-'Impacts B'!I116</f>
        <v>0</v>
      </c>
      <c r="J116" s="38">
        <f>'Impacts A'!J116-'Impacts B'!J116</f>
        <v>0</v>
      </c>
      <c r="K116" s="38">
        <f>'Impacts A'!K116-'Impacts B'!K116</f>
        <v>0</v>
      </c>
      <c r="L116" s="38">
        <f>'Impacts A'!L116-'Impacts B'!L116</f>
        <v>0</v>
      </c>
      <c r="N116" s="1" t="str">
        <f t="shared" si="0"/>
        <v>$million</v>
      </c>
    </row>
    <row r="117" spans="1:14" s="1" customFormat="1" x14ac:dyDescent="0.25">
      <c r="A117" s="1" t="str">
        <v>LA</v>
      </c>
      <c r="B117" s="38">
        <f>'Impacts A'!B117-'Impacts B'!B117</f>
        <v>0</v>
      </c>
      <c r="C117" s="38">
        <f>'Impacts A'!C117-'Impacts B'!C117</f>
        <v>0</v>
      </c>
      <c r="D117" s="38">
        <f>'Impacts A'!D117-'Impacts B'!D117</f>
        <v>0</v>
      </c>
      <c r="E117" s="38">
        <f>'Impacts A'!E117-'Impacts B'!E117</f>
        <v>0</v>
      </c>
      <c r="F117" s="38">
        <f>'Impacts A'!F117-'Impacts B'!F117</f>
        <v>0</v>
      </c>
      <c r="G117" s="38">
        <f>'Impacts A'!G117-'Impacts B'!G117</f>
        <v>0</v>
      </c>
      <c r="H117" s="38">
        <f>'Impacts A'!H117-'Impacts B'!H117</f>
        <v>0</v>
      </c>
      <c r="I117" s="38">
        <f>'Impacts A'!I117-'Impacts B'!I117</f>
        <v>0</v>
      </c>
      <c r="J117" s="38">
        <f>'Impacts A'!J117-'Impacts B'!J117</f>
        <v>0</v>
      </c>
      <c r="K117" s="38">
        <f>'Impacts A'!K117-'Impacts B'!K117</f>
        <v>0</v>
      </c>
      <c r="L117" s="38">
        <f>'Impacts A'!L117-'Impacts B'!L117</f>
        <v>0</v>
      </c>
      <c r="N117" s="1" t="str">
        <f t="shared" si="0"/>
        <v>$million</v>
      </c>
    </row>
    <row r="118" spans="1:14" s="1" customFormat="1" ht="13" x14ac:dyDescent="0.3">
      <c r="A118" s="61" t="s">
        <v>257</v>
      </c>
      <c r="B118" s="54">
        <f>'Impacts A'!B118-'Impacts B'!B118</f>
        <v>0</v>
      </c>
      <c r="C118" s="54">
        <f>'Impacts A'!C118-'Impacts B'!C118</f>
        <v>0</v>
      </c>
      <c r="D118" s="54">
        <f>'Impacts A'!D118-'Impacts B'!D118</f>
        <v>0</v>
      </c>
      <c r="E118" s="54">
        <f>'Impacts A'!E118-'Impacts B'!E118</f>
        <v>0</v>
      </c>
      <c r="F118" s="54">
        <f>'Impacts A'!F118-'Impacts B'!F118</f>
        <v>0</v>
      </c>
      <c r="G118" s="54">
        <f>'Impacts A'!G118-'Impacts B'!G118</f>
        <v>0</v>
      </c>
      <c r="H118" s="54">
        <f>'Impacts A'!H118-'Impacts B'!H118</f>
        <v>0</v>
      </c>
      <c r="I118" s="54">
        <f>'Impacts A'!I118-'Impacts B'!I118</f>
        <v>0</v>
      </c>
      <c r="J118" s="54">
        <f>'Impacts A'!J118-'Impacts B'!J118</f>
        <v>0</v>
      </c>
      <c r="K118" s="54">
        <f>'Impacts A'!K118-'Impacts B'!K118</f>
        <v>0</v>
      </c>
      <c r="L118" s="54">
        <f>'Impacts A'!L118-'Impacts B'!L118</f>
        <v>0</v>
      </c>
      <c r="N118" s="1" t="str">
        <f t="shared" si="0"/>
        <v>$million</v>
      </c>
    </row>
    <row r="119" spans="1:14" s="1" customFormat="1" ht="13.5" thickBot="1" x14ac:dyDescent="0.35">
      <c r="A119" s="61" t="s">
        <v>258</v>
      </c>
      <c r="B119" s="61"/>
      <c r="C119" s="49">
        <f>'Impacts A'!C119-'Impacts B'!C119</f>
        <v>0</v>
      </c>
      <c r="D119" s="49">
        <f>'Impacts A'!D119-'Impacts B'!D119</f>
        <v>0</v>
      </c>
      <c r="E119" s="49">
        <f>'Impacts A'!E119-'Impacts B'!E119</f>
        <v>0</v>
      </c>
      <c r="F119" s="49">
        <f>'Impacts A'!F119-'Impacts B'!F119</f>
        <v>0</v>
      </c>
      <c r="G119" s="49">
        <f>'Impacts A'!G119-'Impacts B'!G119</f>
        <v>0</v>
      </c>
      <c r="H119" s="49">
        <f>'Impacts A'!H119-'Impacts B'!H119</f>
        <v>0</v>
      </c>
      <c r="I119" s="49">
        <f>'Impacts A'!I119-'Impacts B'!I119</f>
        <v>0</v>
      </c>
      <c r="J119" s="49">
        <f>'Impacts A'!J119-'Impacts B'!J119</f>
        <v>0</v>
      </c>
      <c r="K119" s="49">
        <f>'Impacts A'!K119-'Impacts B'!K119</f>
        <v>0</v>
      </c>
      <c r="L119" s="49">
        <f>'Impacts A'!L119-'Impacts B'!L119</f>
        <v>0</v>
      </c>
      <c r="N119" s="1" t="s">
        <v>46</v>
      </c>
    </row>
    <row r="120" spans="1:14" s="1" customFormat="1" ht="13.5" thickTop="1" x14ac:dyDescent="0.3">
      <c r="A120" s="2" t="s">
        <v>173</v>
      </c>
      <c r="B120" s="2"/>
      <c r="C120"/>
      <c r="D120"/>
      <c r="E120"/>
      <c r="F120"/>
      <c r="G120"/>
      <c r="H120"/>
      <c r="I120"/>
      <c r="J120"/>
      <c r="K120"/>
      <c r="L120"/>
      <c r="M120"/>
      <c r="N120"/>
    </row>
    <row r="121" spans="1:14" s="1" customFormat="1" x14ac:dyDescent="0.25">
      <c r="A121" s="1" t="str">
        <f t="array" ref="A121:A128">R_CODE</f>
        <v>EU</v>
      </c>
      <c r="B121" s="37">
        <f>'Impacts A'!B121-'Impacts B'!B121</f>
        <v>0</v>
      </c>
      <c r="C121" s="37">
        <f>'Impacts A'!C121-'Impacts B'!C121</f>
        <v>0</v>
      </c>
      <c r="D121" s="37">
        <f>'Impacts A'!D121-'Impacts B'!D121</f>
        <v>0</v>
      </c>
      <c r="E121" s="37">
        <f>'Impacts A'!E121-'Impacts B'!E121</f>
        <v>0</v>
      </c>
      <c r="F121" s="37">
        <f>'Impacts A'!F121-'Impacts B'!F121</f>
        <v>0</v>
      </c>
      <c r="G121" s="37">
        <f>'Impacts A'!G121-'Impacts B'!G121</f>
        <v>0</v>
      </c>
      <c r="H121" s="37">
        <f>'Impacts A'!H121-'Impacts B'!H121</f>
        <v>0</v>
      </c>
      <c r="I121" s="37">
        <f>'Impacts A'!I121-'Impacts B'!I121</f>
        <v>0</v>
      </c>
      <c r="J121" s="37">
        <f>'Impacts A'!J121-'Impacts B'!J121</f>
        <v>0</v>
      </c>
      <c r="K121" s="37">
        <f>'Impacts A'!K121-'Impacts B'!K121</f>
        <v>0</v>
      </c>
      <c r="L121" s="37">
        <f>'Impacts A'!L121-'Impacts B'!L121</f>
        <v>0</v>
      </c>
      <c r="N121" s="1" t="str">
        <f t="shared" ref="N121:N129" si="1">POP_UNIT_NAME</f>
        <v>million</v>
      </c>
    </row>
    <row r="122" spans="1:14" s="1" customFormat="1" x14ac:dyDescent="0.25">
      <c r="A122" s="1" t="str">
        <v>US</v>
      </c>
      <c r="B122" s="38">
        <f>'Impacts A'!B122-'Impacts B'!B122</f>
        <v>0</v>
      </c>
      <c r="C122" s="38">
        <f>'Impacts A'!C122-'Impacts B'!C122</f>
        <v>0</v>
      </c>
      <c r="D122" s="38">
        <f>'Impacts A'!D122-'Impacts B'!D122</f>
        <v>0</v>
      </c>
      <c r="E122" s="38">
        <f>'Impacts A'!E122-'Impacts B'!E122</f>
        <v>0</v>
      </c>
      <c r="F122" s="38">
        <f>'Impacts A'!F122-'Impacts B'!F122</f>
        <v>0</v>
      </c>
      <c r="G122" s="38">
        <f>'Impacts A'!G122-'Impacts B'!G122</f>
        <v>0</v>
      </c>
      <c r="H122" s="38">
        <f>'Impacts A'!H122-'Impacts B'!H122</f>
        <v>0</v>
      </c>
      <c r="I122" s="38">
        <f>'Impacts A'!I122-'Impacts B'!I122</f>
        <v>0</v>
      </c>
      <c r="J122" s="38">
        <f>'Impacts A'!J122-'Impacts B'!J122</f>
        <v>0</v>
      </c>
      <c r="K122" s="38">
        <f>'Impacts A'!K122-'Impacts B'!K122</f>
        <v>0</v>
      </c>
      <c r="L122" s="38">
        <f>'Impacts A'!L122-'Impacts B'!L122</f>
        <v>0</v>
      </c>
      <c r="N122" s="1" t="str">
        <f t="shared" si="1"/>
        <v>million</v>
      </c>
    </row>
    <row r="123" spans="1:14" s="1" customFormat="1" x14ac:dyDescent="0.25">
      <c r="A123" s="1" t="str">
        <v>OT</v>
      </c>
      <c r="B123" s="38">
        <f>'Impacts A'!B123-'Impacts B'!B123</f>
        <v>0</v>
      </c>
      <c r="C123" s="38">
        <f>'Impacts A'!C123-'Impacts B'!C123</f>
        <v>0</v>
      </c>
      <c r="D123" s="38">
        <f>'Impacts A'!D123-'Impacts B'!D123</f>
        <v>0</v>
      </c>
      <c r="E123" s="38">
        <f>'Impacts A'!E123-'Impacts B'!E123</f>
        <v>0</v>
      </c>
      <c r="F123" s="38">
        <f>'Impacts A'!F123-'Impacts B'!F123</f>
        <v>0</v>
      </c>
      <c r="G123" s="38">
        <f>'Impacts A'!G123-'Impacts B'!G123</f>
        <v>0</v>
      </c>
      <c r="H123" s="38">
        <f>'Impacts A'!H123-'Impacts B'!H123</f>
        <v>0</v>
      </c>
      <c r="I123" s="38">
        <f>'Impacts A'!I123-'Impacts B'!I123</f>
        <v>0</v>
      </c>
      <c r="J123" s="38">
        <f>'Impacts A'!J123-'Impacts B'!J123</f>
        <v>0</v>
      </c>
      <c r="K123" s="38">
        <f>'Impacts A'!K123-'Impacts B'!K123</f>
        <v>0</v>
      </c>
      <c r="L123" s="38">
        <f>'Impacts A'!L123-'Impacts B'!L123</f>
        <v>0</v>
      </c>
      <c r="N123" s="1" t="str">
        <f t="shared" si="1"/>
        <v>million</v>
      </c>
    </row>
    <row r="124" spans="1:14" s="1" customFormat="1" x14ac:dyDescent="0.25">
      <c r="A124" s="1" t="str">
        <v>EE</v>
      </c>
      <c r="B124" s="38">
        <f>'Impacts A'!B124-'Impacts B'!B124</f>
        <v>0</v>
      </c>
      <c r="C124" s="38">
        <f>'Impacts A'!C124-'Impacts B'!C124</f>
        <v>0</v>
      </c>
      <c r="D124" s="38">
        <f>'Impacts A'!D124-'Impacts B'!D124</f>
        <v>0</v>
      </c>
      <c r="E124" s="38">
        <f>'Impacts A'!E124-'Impacts B'!E124</f>
        <v>0</v>
      </c>
      <c r="F124" s="38">
        <f>'Impacts A'!F124-'Impacts B'!F124</f>
        <v>0</v>
      </c>
      <c r="G124" s="38">
        <f>'Impacts A'!G124-'Impacts B'!G124</f>
        <v>0</v>
      </c>
      <c r="H124" s="38">
        <f>'Impacts A'!H124-'Impacts B'!H124</f>
        <v>0</v>
      </c>
      <c r="I124" s="38">
        <f>'Impacts A'!I124-'Impacts B'!I124</f>
        <v>0</v>
      </c>
      <c r="J124" s="38">
        <f>'Impacts A'!J124-'Impacts B'!J124</f>
        <v>0</v>
      </c>
      <c r="K124" s="38">
        <f>'Impacts A'!K124-'Impacts B'!K124</f>
        <v>0</v>
      </c>
      <c r="L124" s="38">
        <f>'Impacts A'!L124-'Impacts B'!L124</f>
        <v>0</v>
      </c>
      <c r="N124" s="1" t="str">
        <f t="shared" si="1"/>
        <v>million</v>
      </c>
    </row>
    <row r="125" spans="1:14" s="1" customFormat="1" x14ac:dyDescent="0.25">
      <c r="A125" s="1" t="str">
        <v>CA</v>
      </c>
      <c r="B125" s="38">
        <f>'Impacts A'!B125-'Impacts B'!B125</f>
        <v>0</v>
      </c>
      <c r="C125" s="38">
        <f>'Impacts A'!C125-'Impacts B'!C125</f>
        <v>0</v>
      </c>
      <c r="D125" s="38">
        <f>'Impacts A'!D125-'Impacts B'!D125</f>
        <v>0</v>
      </c>
      <c r="E125" s="38">
        <f>'Impacts A'!E125-'Impacts B'!E125</f>
        <v>0</v>
      </c>
      <c r="F125" s="38">
        <f>'Impacts A'!F125-'Impacts B'!F125</f>
        <v>0</v>
      </c>
      <c r="G125" s="38">
        <f>'Impacts A'!G125-'Impacts B'!G125</f>
        <v>0</v>
      </c>
      <c r="H125" s="38">
        <f>'Impacts A'!H125-'Impacts B'!H125</f>
        <v>0</v>
      </c>
      <c r="I125" s="38">
        <f>'Impacts A'!I125-'Impacts B'!I125</f>
        <v>0</v>
      </c>
      <c r="J125" s="38">
        <f>'Impacts A'!J125-'Impacts B'!J125</f>
        <v>0</v>
      </c>
      <c r="K125" s="38">
        <f>'Impacts A'!K125-'Impacts B'!K125</f>
        <v>0</v>
      </c>
      <c r="L125" s="38">
        <f>'Impacts A'!L125-'Impacts B'!L125</f>
        <v>0</v>
      </c>
      <c r="N125" s="1" t="str">
        <f t="shared" si="1"/>
        <v>million</v>
      </c>
    </row>
    <row r="126" spans="1:14" s="1" customFormat="1" x14ac:dyDescent="0.25">
      <c r="A126" s="1" t="str">
        <v>IA</v>
      </c>
      <c r="B126" s="38">
        <f>'Impacts A'!B126-'Impacts B'!B126</f>
        <v>0</v>
      </c>
      <c r="C126" s="38">
        <f>'Impacts A'!C126-'Impacts B'!C126</f>
        <v>0</v>
      </c>
      <c r="D126" s="38">
        <f>'Impacts A'!D126-'Impacts B'!D126</f>
        <v>0</v>
      </c>
      <c r="E126" s="38">
        <f>'Impacts A'!E126-'Impacts B'!E126</f>
        <v>0</v>
      </c>
      <c r="F126" s="38">
        <f>'Impacts A'!F126-'Impacts B'!F126</f>
        <v>0</v>
      </c>
      <c r="G126" s="38">
        <f>'Impacts A'!G126-'Impacts B'!G126</f>
        <v>0</v>
      </c>
      <c r="H126" s="38">
        <f>'Impacts A'!H126-'Impacts B'!H126</f>
        <v>0</v>
      </c>
      <c r="I126" s="38">
        <f>'Impacts A'!I126-'Impacts B'!I126</f>
        <v>0</v>
      </c>
      <c r="J126" s="38">
        <f>'Impacts A'!J126-'Impacts B'!J126</f>
        <v>0</v>
      </c>
      <c r="K126" s="38">
        <f>'Impacts A'!K126-'Impacts B'!K126</f>
        <v>0</v>
      </c>
      <c r="L126" s="38">
        <f>'Impacts A'!L126-'Impacts B'!L126</f>
        <v>0</v>
      </c>
      <c r="N126" s="1" t="str">
        <f t="shared" si="1"/>
        <v>million</v>
      </c>
    </row>
    <row r="127" spans="1:14" s="1" customFormat="1" x14ac:dyDescent="0.25">
      <c r="A127" s="1" t="str">
        <v>AF</v>
      </c>
      <c r="B127" s="38">
        <f>'Impacts A'!B127-'Impacts B'!B127</f>
        <v>0</v>
      </c>
      <c r="C127" s="38">
        <f>'Impacts A'!C127-'Impacts B'!C127</f>
        <v>0</v>
      </c>
      <c r="D127" s="38">
        <f>'Impacts A'!D127-'Impacts B'!D127</f>
        <v>0</v>
      </c>
      <c r="E127" s="38">
        <f>'Impacts A'!E127-'Impacts B'!E127</f>
        <v>0</v>
      </c>
      <c r="F127" s="38">
        <f>'Impacts A'!F127-'Impacts B'!F127</f>
        <v>0</v>
      </c>
      <c r="G127" s="38">
        <f>'Impacts A'!G127-'Impacts B'!G127</f>
        <v>0</v>
      </c>
      <c r="H127" s="38">
        <f>'Impacts A'!H127-'Impacts B'!H127</f>
        <v>0</v>
      </c>
      <c r="I127" s="38">
        <f>'Impacts A'!I127-'Impacts B'!I127</f>
        <v>0</v>
      </c>
      <c r="J127" s="38">
        <f>'Impacts A'!J127-'Impacts B'!J127</f>
        <v>0</v>
      </c>
      <c r="K127" s="38">
        <f>'Impacts A'!K127-'Impacts B'!K127</f>
        <v>0</v>
      </c>
      <c r="L127" s="38">
        <f>'Impacts A'!L127-'Impacts B'!L127</f>
        <v>0</v>
      </c>
      <c r="N127" s="1" t="str">
        <f t="shared" si="1"/>
        <v>million</v>
      </c>
    </row>
    <row r="128" spans="1:14" s="1" customFormat="1" x14ac:dyDescent="0.25">
      <c r="A128" s="1" t="str">
        <v>LA</v>
      </c>
      <c r="B128" s="38">
        <f>'Impacts A'!B128-'Impacts B'!B128</f>
        <v>0</v>
      </c>
      <c r="C128" s="38">
        <f>'Impacts A'!C128-'Impacts B'!C128</f>
        <v>0</v>
      </c>
      <c r="D128" s="38">
        <f>'Impacts A'!D128-'Impacts B'!D128</f>
        <v>0</v>
      </c>
      <c r="E128" s="38">
        <f>'Impacts A'!E128-'Impacts B'!E128</f>
        <v>0</v>
      </c>
      <c r="F128" s="38">
        <f>'Impacts A'!F128-'Impacts B'!F128</f>
        <v>0</v>
      </c>
      <c r="G128" s="38">
        <f>'Impacts A'!G128-'Impacts B'!G128</f>
        <v>0</v>
      </c>
      <c r="H128" s="38">
        <f>'Impacts A'!H128-'Impacts B'!H128</f>
        <v>0</v>
      </c>
      <c r="I128" s="38">
        <f>'Impacts A'!I128-'Impacts B'!I128</f>
        <v>0</v>
      </c>
      <c r="J128" s="38">
        <f>'Impacts A'!J128-'Impacts B'!J128</f>
        <v>0</v>
      </c>
      <c r="K128" s="38">
        <f>'Impacts A'!K128-'Impacts B'!K128</f>
        <v>0</v>
      </c>
      <c r="L128" s="38">
        <f>'Impacts A'!L128-'Impacts B'!L128</f>
        <v>0</v>
      </c>
      <c r="N128" s="1" t="str">
        <f t="shared" si="1"/>
        <v>million</v>
      </c>
    </row>
    <row r="129" spans="1:14" s="1" customFormat="1" ht="13" x14ac:dyDescent="0.3">
      <c r="A129" s="61" t="s">
        <v>257</v>
      </c>
      <c r="B129" s="54">
        <f>'Impacts A'!B129-'Impacts B'!B129</f>
        <v>0</v>
      </c>
      <c r="C129" s="54">
        <f>'Impacts A'!C129-'Impacts B'!C129</f>
        <v>0</v>
      </c>
      <c r="D129" s="54">
        <f>'Impacts A'!D129-'Impacts B'!D129</f>
        <v>0</v>
      </c>
      <c r="E129" s="54">
        <f>'Impacts A'!E129-'Impacts B'!E129</f>
        <v>0</v>
      </c>
      <c r="F129" s="54">
        <f>'Impacts A'!F129-'Impacts B'!F129</f>
        <v>0</v>
      </c>
      <c r="G129" s="54">
        <f>'Impacts A'!G129-'Impacts B'!G129</f>
        <v>0</v>
      </c>
      <c r="H129" s="54">
        <f>'Impacts A'!H129-'Impacts B'!H129</f>
        <v>0</v>
      </c>
      <c r="I129" s="54">
        <f>'Impacts A'!I129-'Impacts B'!I129</f>
        <v>0</v>
      </c>
      <c r="J129" s="54">
        <f>'Impacts A'!J129-'Impacts B'!J129</f>
        <v>0</v>
      </c>
      <c r="K129" s="54">
        <f>'Impacts A'!K129-'Impacts B'!K129</f>
        <v>0</v>
      </c>
      <c r="L129" s="54">
        <f>'Impacts A'!L129-'Impacts B'!L129</f>
        <v>0</v>
      </c>
      <c r="N129" s="1" t="str">
        <f t="shared" si="1"/>
        <v>million</v>
      </c>
    </row>
    <row r="130" spans="1:14" s="1" customFormat="1" ht="13.5" thickBot="1" x14ac:dyDescent="0.35">
      <c r="A130" s="61" t="s">
        <v>258</v>
      </c>
      <c r="B130" s="61"/>
      <c r="C130" s="49">
        <f>'Impacts A'!C130-'Impacts B'!C130</f>
        <v>0</v>
      </c>
      <c r="D130" s="49">
        <f>'Impacts A'!D130-'Impacts B'!D130</f>
        <v>0</v>
      </c>
      <c r="E130" s="49">
        <f>'Impacts A'!E130-'Impacts B'!E130</f>
        <v>0</v>
      </c>
      <c r="F130" s="49">
        <f>'Impacts A'!F130-'Impacts B'!F130</f>
        <v>0</v>
      </c>
      <c r="G130" s="49">
        <f>'Impacts A'!G130-'Impacts B'!G130</f>
        <v>0</v>
      </c>
      <c r="H130" s="49">
        <f>'Impacts A'!H130-'Impacts B'!H130</f>
        <v>0</v>
      </c>
      <c r="I130" s="49">
        <f>'Impacts A'!I130-'Impacts B'!I130</f>
        <v>0</v>
      </c>
      <c r="J130" s="49">
        <f>'Impacts A'!J130-'Impacts B'!J130</f>
        <v>0</v>
      </c>
      <c r="K130" s="49">
        <f>'Impacts A'!K130-'Impacts B'!K130</f>
        <v>0</v>
      </c>
      <c r="L130" s="49">
        <f>'Impacts A'!L130-'Impacts B'!L130</f>
        <v>0</v>
      </c>
      <c r="N130" s="1" t="s">
        <v>46</v>
      </c>
    </row>
    <row r="131" spans="1:14" s="1" customFormat="1" ht="13.5" thickTop="1" x14ac:dyDescent="0.3">
      <c r="A131" s="2" t="s">
        <v>176</v>
      </c>
      <c r="B131" s="2"/>
      <c r="C131"/>
      <c r="D131"/>
      <c r="E131"/>
      <c r="F131"/>
      <c r="G131"/>
      <c r="H131"/>
      <c r="I131"/>
      <c r="J131"/>
      <c r="K131"/>
      <c r="L131"/>
      <c r="M131"/>
      <c r="N131"/>
    </row>
    <row r="132" spans="1:14" s="1" customFormat="1" x14ac:dyDescent="0.25">
      <c r="A132" s="1" t="str">
        <f t="array" ref="A132:A139">R_CODE</f>
        <v>EU</v>
      </c>
      <c r="B132" s="37">
        <f>'Impacts A'!B132-'Impacts B'!B132</f>
        <v>0</v>
      </c>
      <c r="C132" s="37">
        <f>'Impacts A'!C132-'Impacts B'!C132</f>
        <v>0</v>
      </c>
      <c r="D132" s="37">
        <f>'Impacts A'!D132-'Impacts B'!D132</f>
        <v>0</v>
      </c>
      <c r="E132" s="37">
        <f>'Impacts A'!E132-'Impacts B'!E132</f>
        <v>0</v>
      </c>
      <c r="F132" s="37">
        <f>'Impacts A'!F132-'Impacts B'!F132</f>
        <v>0</v>
      </c>
      <c r="G132" s="37">
        <f>'Impacts A'!G132-'Impacts B'!G132</f>
        <v>0</v>
      </c>
      <c r="H132" s="37">
        <f>'Impacts A'!H132-'Impacts B'!H132</f>
        <v>0</v>
      </c>
      <c r="I132" s="37">
        <f>'Impacts A'!I132-'Impacts B'!I132</f>
        <v>0</v>
      </c>
      <c r="J132" s="37">
        <f>'Impacts A'!J132-'Impacts B'!J132</f>
        <v>0</v>
      </c>
      <c r="K132" s="37">
        <f>'Impacts A'!K132-'Impacts B'!K132</f>
        <v>0</v>
      </c>
      <c r="L132" s="37">
        <f>'Impacts A'!L132-'Impacts B'!L132</f>
        <v>0</v>
      </c>
      <c r="N132" s="1" t="str">
        <f t="shared" ref="N132:N140" si="2">CURRENCY_NAME&amp;"/"&amp;POP_UNIT_NAME</f>
        <v>$million/million</v>
      </c>
    </row>
    <row r="133" spans="1:14" s="1" customFormat="1" x14ac:dyDescent="0.25">
      <c r="A133" s="1" t="str">
        <v>US</v>
      </c>
      <c r="B133" s="38">
        <f>'Impacts A'!B133-'Impacts B'!B133</f>
        <v>0</v>
      </c>
      <c r="C133" s="38">
        <f>'Impacts A'!C133-'Impacts B'!C133</f>
        <v>0</v>
      </c>
      <c r="D133" s="38">
        <f>'Impacts A'!D133-'Impacts B'!D133</f>
        <v>0</v>
      </c>
      <c r="E133" s="38">
        <f>'Impacts A'!E133-'Impacts B'!E133</f>
        <v>0</v>
      </c>
      <c r="F133" s="38">
        <f>'Impacts A'!F133-'Impacts B'!F133</f>
        <v>0</v>
      </c>
      <c r="G133" s="38">
        <f>'Impacts A'!G133-'Impacts B'!G133</f>
        <v>0</v>
      </c>
      <c r="H133" s="38">
        <f>'Impacts A'!H133-'Impacts B'!H133</f>
        <v>0</v>
      </c>
      <c r="I133" s="38">
        <f>'Impacts A'!I133-'Impacts B'!I133</f>
        <v>0</v>
      </c>
      <c r="J133" s="38">
        <f>'Impacts A'!J133-'Impacts B'!J133</f>
        <v>0</v>
      </c>
      <c r="K133" s="38">
        <f>'Impacts A'!K133-'Impacts B'!K133</f>
        <v>0</v>
      </c>
      <c r="L133" s="38">
        <f>'Impacts A'!L133-'Impacts B'!L133</f>
        <v>0</v>
      </c>
      <c r="N133" s="1" t="str">
        <f t="shared" si="2"/>
        <v>$million/million</v>
      </c>
    </row>
    <row r="134" spans="1:14" s="1" customFormat="1" x14ac:dyDescent="0.25">
      <c r="A134" s="1" t="str">
        <v>OT</v>
      </c>
      <c r="B134" s="38">
        <f>'Impacts A'!B134-'Impacts B'!B134</f>
        <v>0</v>
      </c>
      <c r="C134" s="38">
        <f>'Impacts A'!C134-'Impacts B'!C134</f>
        <v>0</v>
      </c>
      <c r="D134" s="38">
        <f>'Impacts A'!D134-'Impacts B'!D134</f>
        <v>0</v>
      </c>
      <c r="E134" s="38">
        <f>'Impacts A'!E134-'Impacts B'!E134</f>
        <v>0</v>
      </c>
      <c r="F134" s="38">
        <f>'Impacts A'!F134-'Impacts B'!F134</f>
        <v>0</v>
      </c>
      <c r="G134" s="38">
        <f>'Impacts A'!G134-'Impacts B'!G134</f>
        <v>0</v>
      </c>
      <c r="H134" s="38">
        <f>'Impacts A'!H134-'Impacts B'!H134</f>
        <v>0</v>
      </c>
      <c r="I134" s="38">
        <f>'Impacts A'!I134-'Impacts B'!I134</f>
        <v>0</v>
      </c>
      <c r="J134" s="38">
        <f>'Impacts A'!J134-'Impacts B'!J134</f>
        <v>0</v>
      </c>
      <c r="K134" s="38">
        <f>'Impacts A'!K134-'Impacts B'!K134</f>
        <v>0</v>
      </c>
      <c r="L134" s="38">
        <f>'Impacts A'!L134-'Impacts B'!L134</f>
        <v>0</v>
      </c>
      <c r="N134" s="1" t="str">
        <f t="shared" si="2"/>
        <v>$million/million</v>
      </c>
    </row>
    <row r="135" spans="1:14" s="1" customFormat="1" x14ac:dyDescent="0.25">
      <c r="A135" s="1" t="str">
        <v>EE</v>
      </c>
      <c r="B135" s="38">
        <f>'Impacts A'!B135-'Impacts B'!B135</f>
        <v>0</v>
      </c>
      <c r="C135" s="38">
        <f>'Impacts A'!C135-'Impacts B'!C135</f>
        <v>0</v>
      </c>
      <c r="D135" s="38">
        <f>'Impacts A'!D135-'Impacts B'!D135</f>
        <v>0</v>
      </c>
      <c r="E135" s="38">
        <f>'Impacts A'!E135-'Impacts B'!E135</f>
        <v>0</v>
      </c>
      <c r="F135" s="38">
        <f>'Impacts A'!F135-'Impacts B'!F135</f>
        <v>0</v>
      </c>
      <c r="G135" s="38">
        <f>'Impacts A'!G135-'Impacts B'!G135</f>
        <v>0</v>
      </c>
      <c r="H135" s="38">
        <f>'Impacts A'!H135-'Impacts B'!H135</f>
        <v>0</v>
      </c>
      <c r="I135" s="38">
        <f>'Impacts A'!I135-'Impacts B'!I135</f>
        <v>0</v>
      </c>
      <c r="J135" s="38">
        <f>'Impacts A'!J135-'Impacts B'!J135</f>
        <v>0</v>
      </c>
      <c r="K135" s="38">
        <f>'Impacts A'!K135-'Impacts B'!K135</f>
        <v>0</v>
      </c>
      <c r="L135" s="38">
        <f>'Impacts A'!L135-'Impacts B'!L135</f>
        <v>0</v>
      </c>
      <c r="N135" s="1" t="str">
        <f t="shared" si="2"/>
        <v>$million/million</v>
      </c>
    </row>
    <row r="136" spans="1:14" s="1" customFormat="1" x14ac:dyDescent="0.25">
      <c r="A136" s="1" t="str">
        <v>CA</v>
      </c>
      <c r="B136" s="38">
        <f>'Impacts A'!B136-'Impacts B'!B136</f>
        <v>0</v>
      </c>
      <c r="C136" s="38">
        <f>'Impacts A'!C136-'Impacts B'!C136</f>
        <v>0</v>
      </c>
      <c r="D136" s="38">
        <f>'Impacts A'!D136-'Impacts B'!D136</f>
        <v>0</v>
      </c>
      <c r="E136" s="38">
        <f>'Impacts A'!E136-'Impacts B'!E136</f>
        <v>0</v>
      </c>
      <c r="F136" s="38">
        <f>'Impacts A'!F136-'Impacts B'!F136</f>
        <v>0</v>
      </c>
      <c r="G136" s="38">
        <f>'Impacts A'!G136-'Impacts B'!G136</f>
        <v>0</v>
      </c>
      <c r="H136" s="38">
        <f>'Impacts A'!H136-'Impacts B'!H136</f>
        <v>0</v>
      </c>
      <c r="I136" s="38">
        <f>'Impacts A'!I136-'Impacts B'!I136</f>
        <v>0</v>
      </c>
      <c r="J136" s="38">
        <f>'Impacts A'!J136-'Impacts B'!J136</f>
        <v>0</v>
      </c>
      <c r="K136" s="38">
        <f>'Impacts A'!K136-'Impacts B'!K136</f>
        <v>0</v>
      </c>
      <c r="L136" s="38">
        <f>'Impacts A'!L136-'Impacts B'!L136</f>
        <v>0</v>
      </c>
      <c r="N136" s="1" t="str">
        <f t="shared" si="2"/>
        <v>$million/million</v>
      </c>
    </row>
    <row r="137" spans="1:14" s="1" customFormat="1" x14ac:dyDescent="0.25">
      <c r="A137" s="1" t="str">
        <v>IA</v>
      </c>
      <c r="B137" s="38">
        <f>'Impacts A'!B137-'Impacts B'!B137</f>
        <v>0</v>
      </c>
      <c r="C137" s="38">
        <f>'Impacts A'!C137-'Impacts B'!C137</f>
        <v>0</v>
      </c>
      <c r="D137" s="38">
        <f>'Impacts A'!D137-'Impacts B'!D137</f>
        <v>0</v>
      </c>
      <c r="E137" s="38">
        <f>'Impacts A'!E137-'Impacts B'!E137</f>
        <v>0</v>
      </c>
      <c r="F137" s="38">
        <f>'Impacts A'!F137-'Impacts B'!F137</f>
        <v>0</v>
      </c>
      <c r="G137" s="38">
        <f>'Impacts A'!G137-'Impacts B'!G137</f>
        <v>0</v>
      </c>
      <c r="H137" s="38">
        <f>'Impacts A'!H137-'Impacts B'!H137</f>
        <v>0</v>
      </c>
      <c r="I137" s="38">
        <f>'Impacts A'!I137-'Impacts B'!I137</f>
        <v>0</v>
      </c>
      <c r="J137" s="38">
        <f>'Impacts A'!J137-'Impacts B'!J137</f>
        <v>0</v>
      </c>
      <c r="K137" s="38">
        <f>'Impacts A'!K137-'Impacts B'!K137</f>
        <v>0</v>
      </c>
      <c r="L137" s="38">
        <f>'Impacts A'!L137-'Impacts B'!L137</f>
        <v>0</v>
      </c>
      <c r="N137" s="1" t="str">
        <f t="shared" si="2"/>
        <v>$million/million</v>
      </c>
    </row>
    <row r="138" spans="1:14" s="1" customFormat="1" x14ac:dyDescent="0.25">
      <c r="A138" s="1" t="str">
        <v>AF</v>
      </c>
      <c r="B138" s="38">
        <f>'Impacts A'!B138-'Impacts B'!B138</f>
        <v>0</v>
      </c>
      <c r="C138" s="38">
        <f>'Impacts A'!C138-'Impacts B'!C138</f>
        <v>0</v>
      </c>
      <c r="D138" s="38">
        <f>'Impacts A'!D138-'Impacts B'!D138</f>
        <v>0</v>
      </c>
      <c r="E138" s="38">
        <f>'Impacts A'!E138-'Impacts B'!E138</f>
        <v>0</v>
      </c>
      <c r="F138" s="38">
        <f>'Impacts A'!F138-'Impacts B'!F138</f>
        <v>0</v>
      </c>
      <c r="G138" s="38">
        <f>'Impacts A'!G138-'Impacts B'!G138</f>
        <v>0</v>
      </c>
      <c r="H138" s="38">
        <f>'Impacts A'!H138-'Impacts B'!H138</f>
        <v>0</v>
      </c>
      <c r="I138" s="38">
        <f>'Impacts A'!I138-'Impacts B'!I138</f>
        <v>0</v>
      </c>
      <c r="J138" s="38">
        <f>'Impacts A'!J138-'Impacts B'!J138</f>
        <v>0</v>
      </c>
      <c r="K138" s="38">
        <f>'Impacts A'!K138-'Impacts B'!K138</f>
        <v>0</v>
      </c>
      <c r="L138" s="38">
        <f>'Impacts A'!L138-'Impacts B'!L138</f>
        <v>0</v>
      </c>
      <c r="N138" s="1" t="str">
        <f t="shared" si="2"/>
        <v>$million/million</v>
      </c>
    </row>
    <row r="139" spans="1:14" s="1" customFormat="1" x14ac:dyDescent="0.25">
      <c r="A139" s="1" t="str">
        <v>LA</v>
      </c>
      <c r="B139" s="38">
        <f>'Impacts A'!B139-'Impacts B'!B139</f>
        <v>0</v>
      </c>
      <c r="C139" s="38">
        <f>'Impacts A'!C139-'Impacts B'!C139</f>
        <v>0</v>
      </c>
      <c r="D139" s="38">
        <f>'Impacts A'!D139-'Impacts B'!D139</f>
        <v>0</v>
      </c>
      <c r="E139" s="38">
        <f>'Impacts A'!E139-'Impacts B'!E139</f>
        <v>0</v>
      </c>
      <c r="F139" s="38">
        <f>'Impacts A'!F139-'Impacts B'!F139</f>
        <v>0</v>
      </c>
      <c r="G139" s="38">
        <f>'Impacts A'!G139-'Impacts B'!G139</f>
        <v>0</v>
      </c>
      <c r="H139" s="38">
        <f>'Impacts A'!H139-'Impacts B'!H139</f>
        <v>0</v>
      </c>
      <c r="I139" s="38">
        <f>'Impacts A'!I139-'Impacts B'!I139</f>
        <v>0</v>
      </c>
      <c r="J139" s="38">
        <f>'Impacts A'!J139-'Impacts B'!J139</f>
        <v>0</v>
      </c>
      <c r="K139" s="38">
        <f>'Impacts A'!K139-'Impacts B'!K139</f>
        <v>0</v>
      </c>
      <c r="L139" s="38">
        <f>'Impacts A'!L139-'Impacts B'!L139</f>
        <v>0</v>
      </c>
      <c r="N139" s="1" t="str">
        <f t="shared" si="2"/>
        <v>$million/million</v>
      </c>
    </row>
    <row r="140" spans="1:14" s="1" customFormat="1" ht="13" x14ac:dyDescent="0.3">
      <c r="A140" s="61" t="s">
        <v>177</v>
      </c>
      <c r="B140" s="54">
        <f>'Impacts A'!B140-'Impacts B'!B140</f>
        <v>0</v>
      </c>
      <c r="C140" s="54">
        <f>'Impacts A'!C140-'Impacts B'!C140</f>
        <v>0</v>
      </c>
      <c r="D140" s="54">
        <f>'Impacts A'!D140-'Impacts B'!D140</f>
        <v>0</v>
      </c>
      <c r="E140" s="54">
        <f>'Impacts A'!E140-'Impacts B'!E140</f>
        <v>0</v>
      </c>
      <c r="F140" s="54">
        <f>'Impacts A'!F140-'Impacts B'!F140</f>
        <v>0</v>
      </c>
      <c r="G140" s="54">
        <f>'Impacts A'!G140-'Impacts B'!G140</f>
        <v>0</v>
      </c>
      <c r="H140" s="54">
        <f>'Impacts A'!H140-'Impacts B'!H140</f>
        <v>0</v>
      </c>
      <c r="I140" s="54">
        <f>'Impacts A'!I140-'Impacts B'!I140</f>
        <v>0</v>
      </c>
      <c r="J140" s="54">
        <f>'Impacts A'!J140-'Impacts B'!J140</f>
        <v>0</v>
      </c>
      <c r="K140" s="54">
        <f>'Impacts A'!K140-'Impacts B'!K140</f>
        <v>0</v>
      </c>
      <c r="L140" s="54">
        <f>'Impacts A'!L140-'Impacts B'!L140</f>
        <v>0</v>
      </c>
      <c r="N140" s="1" t="str">
        <f t="shared" si="2"/>
        <v>$million/million</v>
      </c>
    </row>
    <row r="141" spans="1:14" s="1" customFormat="1" ht="13.5" thickBot="1" x14ac:dyDescent="0.35">
      <c r="A141" s="61" t="s">
        <v>178</v>
      </c>
      <c r="B141" s="61"/>
      <c r="C141" s="49">
        <f>'Impacts A'!C141-'Impacts B'!C141</f>
        <v>0</v>
      </c>
      <c r="D141" s="49">
        <f>'Impacts A'!D141-'Impacts B'!D141</f>
        <v>0</v>
      </c>
      <c r="E141" s="49">
        <f>'Impacts A'!E141-'Impacts B'!E141</f>
        <v>0</v>
      </c>
      <c r="F141" s="49">
        <f>'Impacts A'!F141-'Impacts B'!F141</f>
        <v>0</v>
      </c>
      <c r="G141" s="49">
        <f>'Impacts A'!G141-'Impacts B'!G141</f>
        <v>0</v>
      </c>
      <c r="H141" s="49">
        <f>'Impacts A'!H141-'Impacts B'!H141</f>
        <v>0</v>
      </c>
      <c r="I141" s="49">
        <f>'Impacts A'!I141-'Impacts B'!I141</f>
        <v>0</v>
      </c>
      <c r="J141" s="49">
        <f>'Impacts A'!J141-'Impacts B'!J141</f>
        <v>0</v>
      </c>
      <c r="K141" s="49">
        <f>'Impacts A'!K141-'Impacts B'!K141</f>
        <v>0</v>
      </c>
      <c r="L141" s="49">
        <f>'Impacts A'!L141-'Impacts B'!L141</f>
        <v>0</v>
      </c>
      <c r="N141" s="1" t="s">
        <v>46</v>
      </c>
    </row>
    <row r="142" spans="1:14" s="1" customFormat="1" ht="13.5" thickTop="1" x14ac:dyDescent="0.3">
      <c r="A142" s="2" t="s">
        <v>271</v>
      </c>
      <c r="B142" s="2"/>
      <c r="C142"/>
      <c r="D142"/>
      <c r="E142"/>
      <c r="F142"/>
      <c r="G142"/>
      <c r="H142"/>
      <c r="I142"/>
      <c r="J142"/>
      <c r="K142"/>
      <c r="L142"/>
      <c r="M142"/>
      <c r="N142"/>
    </row>
    <row r="143" spans="1:14" s="1" customFormat="1" x14ac:dyDescent="0.25">
      <c r="A143" s="1" t="str">
        <f t="array" ref="A143:A150">R_CODE</f>
        <v>EU</v>
      </c>
      <c r="B143" s="37">
        <f>'Impacts A'!B143-'Impacts B'!B143</f>
        <v>0</v>
      </c>
      <c r="C143" s="37">
        <f>'Impacts A'!C143-'Impacts B'!C143</f>
        <v>0</v>
      </c>
      <c r="D143" s="37">
        <f>'Impacts A'!D143-'Impacts B'!D143</f>
        <v>0</v>
      </c>
      <c r="E143" s="37">
        <f>'Impacts A'!E143-'Impacts B'!E143</f>
        <v>0</v>
      </c>
      <c r="F143" s="37">
        <f>'Impacts A'!F143-'Impacts B'!F143</f>
        <v>0</v>
      </c>
      <c r="G143" s="37">
        <f>'Impacts A'!G143-'Impacts B'!G143</f>
        <v>0</v>
      </c>
      <c r="H143" s="37">
        <f>'Impacts A'!H143-'Impacts B'!H143</f>
        <v>0</v>
      </c>
      <c r="I143" s="37">
        <f>'Impacts A'!I143-'Impacts B'!I143</f>
        <v>0</v>
      </c>
      <c r="J143" s="37">
        <f>'Impacts A'!J143-'Impacts B'!J143</f>
        <v>0</v>
      </c>
      <c r="K143" s="37">
        <f>'Impacts A'!K143-'Impacts B'!K143</f>
        <v>0</v>
      </c>
      <c r="L143" s="37">
        <f>'Impacts A'!L143-'Impacts B'!L143</f>
        <v>0</v>
      </c>
      <c r="N143" s="1" t="str">
        <f t="shared" ref="N143:N151" si="3">CURRENCY_NAME&amp;"/"&amp;POP_UNIT_NAME</f>
        <v>$million/million</v>
      </c>
    </row>
    <row r="144" spans="1:14" s="1" customFormat="1" x14ac:dyDescent="0.25">
      <c r="A144" s="1" t="str">
        <v>US</v>
      </c>
      <c r="B144" s="38">
        <f>'Impacts A'!B144-'Impacts B'!B144</f>
        <v>0</v>
      </c>
      <c r="C144" s="38">
        <f>'Impacts A'!C144-'Impacts B'!C144</f>
        <v>0</v>
      </c>
      <c r="D144" s="38">
        <f>'Impacts A'!D144-'Impacts B'!D144</f>
        <v>0</v>
      </c>
      <c r="E144" s="38">
        <f>'Impacts A'!E144-'Impacts B'!E144</f>
        <v>0</v>
      </c>
      <c r="F144" s="38">
        <f>'Impacts A'!F144-'Impacts B'!F144</f>
        <v>0</v>
      </c>
      <c r="G144" s="38">
        <f>'Impacts A'!G144-'Impacts B'!G144</f>
        <v>0</v>
      </c>
      <c r="H144" s="38">
        <f>'Impacts A'!H144-'Impacts B'!H144</f>
        <v>0</v>
      </c>
      <c r="I144" s="38">
        <f>'Impacts A'!I144-'Impacts B'!I144</f>
        <v>0</v>
      </c>
      <c r="J144" s="38">
        <f>'Impacts A'!J144-'Impacts B'!J144</f>
        <v>0</v>
      </c>
      <c r="K144" s="38">
        <f>'Impacts A'!K144-'Impacts B'!K144</f>
        <v>0</v>
      </c>
      <c r="L144" s="38">
        <f>'Impacts A'!L144-'Impacts B'!L144</f>
        <v>0</v>
      </c>
      <c r="N144" s="1" t="str">
        <f t="shared" si="3"/>
        <v>$million/million</v>
      </c>
    </row>
    <row r="145" spans="1:14" s="1" customFormat="1" x14ac:dyDescent="0.25">
      <c r="A145" s="1" t="str">
        <v>OT</v>
      </c>
      <c r="B145" s="38">
        <f>'Impacts A'!B145-'Impacts B'!B145</f>
        <v>0</v>
      </c>
      <c r="C145" s="38">
        <f>'Impacts A'!C145-'Impacts B'!C145</f>
        <v>0</v>
      </c>
      <c r="D145" s="38">
        <f>'Impacts A'!D145-'Impacts B'!D145</f>
        <v>0</v>
      </c>
      <c r="E145" s="38">
        <f>'Impacts A'!E145-'Impacts B'!E145</f>
        <v>0</v>
      </c>
      <c r="F145" s="38">
        <f>'Impacts A'!F145-'Impacts B'!F145</f>
        <v>0</v>
      </c>
      <c r="G145" s="38">
        <f>'Impacts A'!G145-'Impacts B'!G145</f>
        <v>0</v>
      </c>
      <c r="H145" s="38">
        <f>'Impacts A'!H145-'Impacts B'!H145</f>
        <v>0</v>
      </c>
      <c r="I145" s="38">
        <f>'Impacts A'!I145-'Impacts B'!I145</f>
        <v>0</v>
      </c>
      <c r="J145" s="38">
        <f>'Impacts A'!J145-'Impacts B'!J145</f>
        <v>0</v>
      </c>
      <c r="K145" s="38">
        <f>'Impacts A'!K145-'Impacts B'!K145</f>
        <v>0</v>
      </c>
      <c r="L145" s="38">
        <f>'Impacts A'!L145-'Impacts B'!L145</f>
        <v>0</v>
      </c>
      <c r="N145" s="1" t="str">
        <f t="shared" si="3"/>
        <v>$million/million</v>
      </c>
    </row>
    <row r="146" spans="1:14" s="1" customFormat="1" x14ac:dyDescent="0.25">
      <c r="A146" s="1" t="str">
        <v>EE</v>
      </c>
      <c r="B146" s="38">
        <f>'Impacts A'!B146-'Impacts B'!B146</f>
        <v>0</v>
      </c>
      <c r="C146" s="38">
        <f>'Impacts A'!C146-'Impacts B'!C146</f>
        <v>0</v>
      </c>
      <c r="D146" s="38">
        <f>'Impacts A'!D146-'Impacts B'!D146</f>
        <v>0</v>
      </c>
      <c r="E146" s="38">
        <f>'Impacts A'!E146-'Impacts B'!E146</f>
        <v>0</v>
      </c>
      <c r="F146" s="38">
        <f>'Impacts A'!F146-'Impacts B'!F146</f>
        <v>0</v>
      </c>
      <c r="G146" s="38">
        <f>'Impacts A'!G146-'Impacts B'!G146</f>
        <v>0</v>
      </c>
      <c r="H146" s="38">
        <f>'Impacts A'!H146-'Impacts B'!H146</f>
        <v>0</v>
      </c>
      <c r="I146" s="38">
        <f>'Impacts A'!I146-'Impacts B'!I146</f>
        <v>0</v>
      </c>
      <c r="J146" s="38">
        <f>'Impacts A'!J146-'Impacts B'!J146</f>
        <v>0</v>
      </c>
      <c r="K146" s="38">
        <f>'Impacts A'!K146-'Impacts B'!K146</f>
        <v>0</v>
      </c>
      <c r="L146" s="38">
        <f>'Impacts A'!L146-'Impacts B'!L146</f>
        <v>0</v>
      </c>
      <c r="N146" s="1" t="str">
        <f t="shared" si="3"/>
        <v>$million/million</v>
      </c>
    </row>
    <row r="147" spans="1:14" s="1" customFormat="1" x14ac:dyDescent="0.25">
      <c r="A147" s="1" t="str">
        <v>CA</v>
      </c>
      <c r="B147" s="38">
        <f>'Impacts A'!B147-'Impacts B'!B147</f>
        <v>0</v>
      </c>
      <c r="C147" s="38">
        <f>'Impacts A'!C147-'Impacts B'!C147</f>
        <v>0</v>
      </c>
      <c r="D147" s="38">
        <f>'Impacts A'!D147-'Impacts B'!D147</f>
        <v>0</v>
      </c>
      <c r="E147" s="38">
        <f>'Impacts A'!E147-'Impacts B'!E147</f>
        <v>0</v>
      </c>
      <c r="F147" s="38">
        <f>'Impacts A'!F147-'Impacts B'!F147</f>
        <v>0</v>
      </c>
      <c r="G147" s="38">
        <f>'Impacts A'!G147-'Impacts B'!G147</f>
        <v>0</v>
      </c>
      <c r="H147" s="38">
        <f>'Impacts A'!H147-'Impacts B'!H147</f>
        <v>0</v>
      </c>
      <c r="I147" s="38">
        <f>'Impacts A'!I147-'Impacts B'!I147</f>
        <v>0</v>
      </c>
      <c r="J147" s="38">
        <f>'Impacts A'!J147-'Impacts B'!J147</f>
        <v>0</v>
      </c>
      <c r="K147" s="38">
        <f>'Impacts A'!K147-'Impacts B'!K147</f>
        <v>0</v>
      </c>
      <c r="L147" s="38">
        <f>'Impacts A'!L147-'Impacts B'!L147</f>
        <v>0</v>
      </c>
      <c r="N147" s="1" t="str">
        <f t="shared" si="3"/>
        <v>$million/million</v>
      </c>
    </row>
    <row r="148" spans="1:14" s="1" customFormat="1" x14ac:dyDescent="0.25">
      <c r="A148" s="1" t="str">
        <v>IA</v>
      </c>
      <c r="B148" s="38">
        <f>'Impacts A'!B148-'Impacts B'!B148</f>
        <v>0</v>
      </c>
      <c r="C148" s="38">
        <f>'Impacts A'!C148-'Impacts B'!C148</f>
        <v>0</v>
      </c>
      <c r="D148" s="38">
        <f>'Impacts A'!D148-'Impacts B'!D148</f>
        <v>0</v>
      </c>
      <c r="E148" s="38">
        <f>'Impacts A'!E148-'Impacts B'!E148</f>
        <v>0</v>
      </c>
      <c r="F148" s="38">
        <f>'Impacts A'!F148-'Impacts B'!F148</f>
        <v>0</v>
      </c>
      <c r="G148" s="38">
        <f>'Impacts A'!G148-'Impacts B'!G148</f>
        <v>0</v>
      </c>
      <c r="H148" s="38">
        <f>'Impacts A'!H148-'Impacts B'!H148</f>
        <v>0</v>
      </c>
      <c r="I148" s="38">
        <f>'Impacts A'!I148-'Impacts B'!I148</f>
        <v>0</v>
      </c>
      <c r="J148" s="38">
        <f>'Impacts A'!J148-'Impacts B'!J148</f>
        <v>0</v>
      </c>
      <c r="K148" s="38">
        <f>'Impacts A'!K148-'Impacts B'!K148</f>
        <v>0</v>
      </c>
      <c r="L148" s="38">
        <f>'Impacts A'!L148-'Impacts B'!L148</f>
        <v>0</v>
      </c>
      <c r="N148" s="1" t="str">
        <f t="shared" si="3"/>
        <v>$million/million</v>
      </c>
    </row>
    <row r="149" spans="1:14" s="1" customFormat="1" x14ac:dyDescent="0.25">
      <c r="A149" s="1" t="str">
        <v>AF</v>
      </c>
      <c r="B149" s="38">
        <f>'Impacts A'!B149-'Impacts B'!B149</f>
        <v>0</v>
      </c>
      <c r="C149" s="38">
        <f>'Impacts A'!C149-'Impacts B'!C149</f>
        <v>0</v>
      </c>
      <c r="D149" s="38">
        <f>'Impacts A'!D149-'Impacts B'!D149</f>
        <v>0</v>
      </c>
      <c r="E149" s="38">
        <f>'Impacts A'!E149-'Impacts B'!E149</f>
        <v>0</v>
      </c>
      <c r="F149" s="38">
        <f>'Impacts A'!F149-'Impacts B'!F149</f>
        <v>0</v>
      </c>
      <c r="G149" s="38">
        <f>'Impacts A'!G149-'Impacts B'!G149</f>
        <v>0</v>
      </c>
      <c r="H149" s="38">
        <f>'Impacts A'!H149-'Impacts B'!H149</f>
        <v>0</v>
      </c>
      <c r="I149" s="38">
        <f>'Impacts A'!I149-'Impacts B'!I149</f>
        <v>0</v>
      </c>
      <c r="J149" s="38">
        <f>'Impacts A'!J149-'Impacts B'!J149</f>
        <v>0</v>
      </c>
      <c r="K149" s="38">
        <f>'Impacts A'!K149-'Impacts B'!K149</f>
        <v>0</v>
      </c>
      <c r="L149" s="38">
        <f>'Impacts A'!L149-'Impacts B'!L149</f>
        <v>0</v>
      </c>
      <c r="N149" s="1" t="str">
        <f t="shared" si="3"/>
        <v>$million/million</v>
      </c>
    </row>
    <row r="150" spans="1:14" s="1" customFormat="1" x14ac:dyDescent="0.25">
      <c r="A150" s="1" t="str">
        <v>LA</v>
      </c>
      <c r="B150" s="38">
        <f>'Impacts A'!B150-'Impacts B'!B150</f>
        <v>0</v>
      </c>
      <c r="C150" s="38">
        <f>'Impacts A'!C150-'Impacts B'!C150</f>
        <v>0</v>
      </c>
      <c r="D150" s="38">
        <f>'Impacts A'!D150-'Impacts B'!D150</f>
        <v>0</v>
      </c>
      <c r="E150" s="38">
        <f>'Impacts A'!E150-'Impacts B'!E150</f>
        <v>0</v>
      </c>
      <c r="F150" s="38">
        <f>'Impacts A'!F150-'Impacts B'!F150</f>
        <v>0</v>
      </c>
      <c r="G150" s="38">
        <f>'Impacts A'!G150-'Impacts B'!G150</f>
        <v>0</v>
      </c>
      <c r="H150" s="38">
        <f>'Impacts A'!H150-'Impacts B'!H150</f>
        <v>0</v>
      </c>
      <c r="I150" s="38">
        <f>'Impacts A'!I150-'Impacts B'!I150</f>
        <v>0</v>
      </c>
      <c r="J150" s="38">
        <f>'Impacts A'!J150-'Impacts B'!J150</f>
        <v>0</v>
      </c>
      <c r="K150" s="38">
        <f>'Impacts A'!K150-'Impacts B'!K150</f>
        <v>0</v>
      </c>
      <c r="L150" s="38">
        <f>'Impacts A'!L150-'Impacts B'!L150</f>
        <v>0</v>
      </c>
      <c r="N150" s="1" t="str">
        <f t="shared" si="3"/>
        <v>$million/million</v>
      </c>
    </row>
    <row r="151" spans="1:14" s="1" customFormat="1" ht="13" x14ac:dyDescent="0.3">
      <c r="A151" s="61" t="s">
        <v>177</v>
      </c>
      <c r="B151" s="54">
        <f>'Impacts A'!B151-'Impacts B'!B151</f>
        <v>0</v>
      </c>
      <c r="C151" s="54">
        <f>'Impacts A'!C151-'Impacts B'!C151</f>
        <v>0</v>
      </c>
      <c r="D151" s="54">
        <f>'Impacts A'!D151-'Impacts B'!D151</f>
        <v>0</v>
      </c>
      <c r="E151" s="54">
        <f>'Impacts A'!E151-'Impacts B'!E151</f>
        <v>0</v>
      </c>
      <c r="F151" s="54">
        <f>'Impacts A'!F151-'Impacts B'!F151</f>
        <v>0</v>
      </c>
      <c r="G151" s="54">
        <f>'Impacts A'!G151-'Impacts B'!G151</f>
        <v>0</v>
      </c>
      <c r="H151" s="54">
        <f>'Impacts A'!H151-'Impacts B'!H151</f>
        <v>0</v>
      </c>
      <c r="I151" s="54">
        <f>'Impacts A'!I151-'Impacts B'!I151</f>
        <v>0</v>
      </c>
      <c r="J151" s="54">
        <f>'Impacts A'!J151-'Impacts B'!J151</f>
        <v>0</v>
      </c>
      <c r="K151" s="54">
        <f>'Impacts A'!K151-'Impacts B'!K151</f>
        <v>0</v>
      </c>
      <c r="L151" s="54">
        <f>'Impacts A'!L151-'Impacts B'!L151</f>
        <v>0</v>
      </c>
      <c r="N151" s="1" t="str">
        <f t="shared" si="3"/>
        <v>$million/million</v>
      </c>
    </row>
    <row r="152" spans="1:14" s="1" customFormat="1" ht="13.5" thickBot="1" x14ac:dyDescent="0.35">
      <c r="A152" s="61" t="s">
        <v>178</v>
      </c>
      <c r="B152" s="61"/>
      <c r="C152" s="49">
        <f>'Impacts A'!C152-'Impacts B'!C152</f>
        <v>0</v>
      </c>
      <c r="D152" s="49">
        <f>'Impacts A'!D152-'Impacts B'!D152</f>
        <v>0</v>
      </c>
      <c r="E152" s="49">
        <f>'Impacts A'!E152-'Impacts B'!E152</f>
        <v>0</v>
      </c>
      <c r="F152" s="49">
        <f>'Impacts A'!F152-'Impacts B'!F152</f>
        <v>0</v>
      </c>
      <c r="G152" s="49">
        <f>'Impacts A'!G152-'Impacts B'!G152</f>
        <v>0</v>
      </c>
      <c r="H152" s="49">
        <f>'Impacts A'!H152-'Impacts B'!H152</f>
        <v>0</v>
      </c>
      <c r="I152" s="49">
        <f>'Impacts A'!I152-'Impacts B'!I152</f>
        <v>0</v>
      </c>
      <c r="J152" s="49">
        <f>'Impacts A'!J152-'Impacts B'!J152</f>
        <v>0</v>
      </c>
      <c r="K152" s="49">
        <f>'Impacts A'!K152-'Impacts B'!K152</f>
        <v>0</v>
      </c>
      <c r="L152" s="49">
        <f>'Impacts A'!L152-'Impacts B'!L152</f>
        <v>0</v>
      </c>
      <c r="N152" s="1" t="s">
        <v>46</v>
      </c>
    </row>
    <row r="153" spans="1:14" ht="13.5" thickTop="1" x14ac:dyDescent="0.3">
      <c r="A153" s="2" t="s">
        <v>116</v>
      </c>
      <c r="B153" s="2"/>
    </row>
    <row r="154" spans="1:14" s="7" customFormat="1" x14ac:dyDescent="0.25">
      <c r="A154" s="1" t="str">
        <f t="array" ref="A154:A161">R_CODE</f>
        <v>EU</v>
      </c>
      <c r="C154" s="51">
        <f>'Impacts A'!C154-'Impacts B'!C154</f>
        <v>0</v>
      </c>
      <c r="D154" s="51">
        <f>'Impacts A'!D154-'Impacts B'!D154</f>
        <v>0</v>
      </c>
      <c r="E154" s="51">
        <f>'Impacts A'!E154-'Impacts B'!E154</f>
        <v>0</v>
      </c>
      <c r="F154" s="51">
        <f>'Impacts A'!F154-'Impacts B'!F154</f>
        <v>0</v>
      </c>
      <c r="G154" s="51">
        <f>'Impacts A'!G154-'Impacts B'!G154</f>
        <v>0</v>
      </c>
      <c r="H154" s="51">
        <f>'Impacts A'!H154-'Impacts B'!H154</f>
        <v>0</v>
      </c>
      <c r="I154" s="51">
        <f>'Impacts A'!I154-'Impacts B'!I154</f>
        <v>0</v>
      </c>
      <c r="J154" s="51">
        <f>'Impacts A'!J154-'Impacts B'!J154</f>
        <v>0</v>
      </c>
      <c r="K154" s="51">
        <f>'Impacts A'!K154-'Impacts B'!K154</f>
        <v>0</v>
      </c>
      <c r="L154" s="51">
        <f>'Impacts A'!L154-'Impacts B'!L154</f>
        <v>0</v>
      </c>
    </row>
    <row r="155" spans="1:14" s="7" customFormat="1" x14ac:dyDescent="0.25">
      <c r="A155" s="1" t="str">
        <v>US</v>
      </c>
      <c r="C155" s="52">
        <f>'Impacts A'!C155-'Impacts B'!C155</f>
        <v>0</v>
      </c>
      <c r="D155" s="52">
        <f>'Impacts A'!D155-'Impacts B'!D155</f>
        <v>0</v>
      </c>
      <c r="E155" s="52">
        <f>'Impacts A'!E155-'Impacts B'!E155</f>
        <v>0</v>
      </c>
      <c r="F155" s="52">
        <f>'Impacts A'!F155-'Impacts B'!F155</f>
        <v>0</v>
      </c>
      <c r="G155" s="52">
        <f>'Impacts A'!G155-'Impacts B'!G155</f>
        <v>0</v>
      </c>
      <c r="H155" s="52">
        <f>'Impacts A'!H155-'Impacts B'!H155</f>
        <v>0</v>
      </c>
      <c r="I155" s="52">
        <f>'Impacts A'!I155-'Impacts B'!I155</f>
        <v>0</v>
      </c>
      <c r="J155" s="52">
        <f>'Impacts A'!J155-'Impacts B'!J155</f>
        <v>0</v>
      </c>
      <c r="K155" s="52">
        <f>'Impacts A'!K155-'Impacts B'!K155</f>
        <v>0</v>
      </c>
      <c r="L155" s="52">
        <f>'Impacts A'!L155-'Impacts B'!L155</f>
        <v>0</v>
      </c>
    </row>
    <row r="156" spans="1:14" s="7" customFormat="1" x14ac:dyDescent="0.25">
      <c r="A156" s="1" t="str">
        <v>OT</v>
      </c>
      <c r="C156" s="52">
        <f>'Impacts A'!C156-'Impacts B'!C156</f>
        <v>0</v>
      </c>
      <c r="D156" s="52">
        <f>'Impacts A'!D156-'Impacts B'!D156</f>
        <v>0</v>
      </c>
      <c r="E156" s="52">
        <f>'Impacts A'!E156-'Impacts B'!E156</f>
        <v>0</v>
      </c>
      <c r="F156" s="52">
        <f>'Impacts A'!F156-'Impacts B'!F156</f>
        <v>0</v>
      </c>
      <c r="G156" s="52">
        <f>'Impacts A'!G156-'Impacts B'!G156</f>
        <v>0</v>
      </c>
      <c r="H156" s="52">
        <f>'Impacts A'!H156-'Impacts B'!H156</f>
        <v>0</v>
      </c>
      <c r="I156" s="52">
        <f>'Impacts A'!I156-'Impacts B'!I156</f>
        <v>0</v>
      </c>
      <c r="J156" s="52">
        <f>'Impacts A'!J156-'Impacts B'!J156</f>
        <v>0</v>
      </c>
      <c r="K156" s="52">
        <f>'Impacts A'!K156-'Impacts B'!K156</f>
        <v>0</v>
      </c>
      <c r="L156" s="52">
        <f>'Impacts A'!L156-'Impacts B'!L156</f>
        <v>0</v>
      </c>
    </row>
    <row r="157" spans="1:14" s="7" customFormat="1" x14ac:dyDescent="0.25">
      <c r="A157" s="1" t="str">
        <v>EE</v>
      </c>
      <c r="C157" s="52">
        <f>'Impacts A'!C157-'Impacts B'!C157</f>
        <v>0</v>
      </c>
      <c r="D157" s="52">
        <f>'Impacts A'!D157-'Impacts B'!D157</f>
        <v>0</v>
      </c>
      <c r="E157" s="52">
        <f>'Impacts A'!E157-'Impacts B'!E157</f>
        <v>0</v>
      </c>
      <c r="F157" s="52">
        <f>'Impacts A'!F157-'Impacts B'!F157</f>
        <v>0</v>
      </c>
      <c r="G157" s="52">
        <f>'Impacts A'!G157-'Impacts B'!G157</f>
        <v>0</v>
      </c>
      <c r="H157" s="52">
        <f>'Impacts A'!H157-'Impacts B'!H157</f>
        <v>0</v>
      </c>
      <c r="I157" s="52">
        <f>'Impacts A'!I157-'Impacts B'!I157</f>
        <v>0</v>
      </c>
      <c r="J157" s="52">
        <f>'Impacts A'!J157-'Impacts B'!J157</f>
        <v>0</v>
      </c>
      <c r="K157" s="52">
        <f>'Impacts A'!K157-'Impacts B'!K157</f>
        <v>0</v>
      </c>
      <c r="L157" s="52">
        <f>'Impacts A'!L157-'Impacts B'!L157</f>
        <v>0</v>
      </c>
    </row>
    <row r="158" spans="1:14" s="7" customFormat="1" x14ac:dyDescent="0.25">
      <c r="A158" s="1" t="str">
        <v>CA</v>
      </c>
      <c r="C158" s="52">
        <f>'Impacts A'!C158-'Impacts B'!C158</f>
        <v>0</v>
      </c>
      <c r="D158" s="52">
        <f>'Impacts A'!D158-'Impacts B'!D158</f>
        <v>0</v>
      </c>
      <c r="E158" s="52">
        <f>'Impacts A'!E158-'Impacts B'!E158</f>
        <v>0</v>
      </c>
      <c r="F158" s="52">
        <f>'Impacts A'!F158-'Impacts B'!F158</f>
        <v>0</v>
      </c>
      <c r="G158" s="52">
        <f>'Impacts A'!G158-'Impacts B'!G158</f>
        <v>0</v>
      </c>
      <c r="H158" s="52">
        <f>'Impacts A'!H158-'Impacts B'!H158</f>
        <v>0</v>
      </c>
      <c r="I158" s="52">
        <f>'Impacts A'!I158-'Impacts B'!I158</f>
        <v>0</v>
      </c>
      <c r="J158" s="52">
        <f>'Impacts A'!J158-'Impacts B'!J158</f>
        <v>0</v>
      </c>
      <c r="K158" s="52">
        <f>'Impacts A'!K158-'Impacts B'!K158</f>
        <v>0</v>
      </c>
      <c r="L158" s="52">
        <f>'Impacts A'!L158-'Impacts B'!L158</f>
        <v>0</v>
      </c>
    </row>
    <row r="159" spans="1:14" s="7" customFormat="1" x14ac:dyDescent="0.25">
      <c r="A159" s="1" t="str">
        <v>IA</v>
      </c>
      <c r="C159" s="52">
        <f>'Impacts A'!C159-'Impacts B'!C159</f>
        <v>0</v>
      </c>
      <c r="D159" s="52">
        <f>'Impacts A'!D159-'Impacts B'!D159</f>
        <v>0</v>
      </c>
      <c r="E159" s="52">
        <f>'Impacts A'!E159-'Impacts B'!E159</f>
        <v>0</v>
      </c>
      <c r="F159" s="52">
        <f>'Impacts A'!F159-'Impacts B'!F159</f>
        <v>0</v>
      </c>
      <c r="G159" s="52">
        <f>'Impacts A'!G159-'Impacts B'!G159</f>
        <v>0</v>
      </c>
      <c r="H159" s="52">
        <f>'Impacts A'!H159-'Impacts B'!H159</f>
        <v>0</v>
      </c>
      <c r="I159" s="52">
        <f>'Impacts A'!I159-'Impacts B'!I159</f>
        <v>0</v>
      </c>
      <c r="J159" s="52">
        <f>'Impacts A'!J159-'Impacts B'!J159</f>
        <v>0</v>
      </c>
      <c r="K159" s="52">
        <f>'Impacts A'!K159-'Impacts B'!K159</f>
        <v>0</v>
      </c>
      <c r="L159" s="52">
        <f>'Impacts A'!L159-'Impacts B'!L159</f>
        <v>0</v>
      </c>
    </row>
    <row r="160" spans="1:14" s="7" customFormat="1" x14ac:dyDescent="0.25">
      <c r="A160" s="1" t="str">
        <v>AF</v>
      </c>
      <c r="C160" s="52">
        <f>'Impacts A'!C160-'Impacts B'!C160</f>
        <v>0</v>
      </c>
      <c r="D160" s="52">
        <f>'Impacts A'!D160-'Impacts B'!D160</f>
        <v>0</v>
      </c>
      <c r="E160" s="52">
        <f>'Impacts A'!E160-'Impacts B'!E160</f>
        <v>0</v>
      </c>
      <c r="F160" s="52">
        <f>'Impacts A'!F160-'Impacts B'!F160</f>
        <v>0</v>
      </c>
      <c r="G160" s="52">
        <f>'Impacts A'!G160-'Impacts B'!G160</f>
        <v>0</v>
      </c>
      <c r="H160" s="52">
        <f>'Impacts A'!H160-'Impacts B'!H160</f>
        <v>0</v>
      </c>
      <c r="I160" s="52">
        <f>'Impacts A'!I160-'Impacts B'!I160</f>
        <v>0</v>
      </c>
      <c r="J160" s="52">
        <f>'Impacts A'!J160-'Impacts B'!J160</f>
        <v>0</v>
      </c>
      <c r="K160" s="52">
        <f>'Impacts A'!K160-'Impacts B'!K160</f>
        <v>0</v>
      </c>
      <c r="L160" s="52">
        <f>'Impacts A'!L160-'Impacts B'!L160</f>
        <v>0</v>
      </c>
    </row>
    <row r="161" spans="1:14" s="7" customFormat="1" ht="13" thickBot="1" x14ac:dyDescent="0.3">
      <c r="A161" s="1" t="str">
        <v>LA</v>
      </c>
      <c r="C161" s="53">
        <f>'Impacts A'!C161-'Impacts B'!C161</f>
        <v>0</v>
      </c>
      <c r="D161" s="53">
        <f>'Impacts A'!D161-'Impacts B'!D161</f>
        <v>0</v>
      </c>
      <c r="E161" s="53">
        <f>'Impacts A'!E161-'Impacts B'!E161</f>
        <v>0</v>
      </c>
      <c r="F161" s="53">
        <f>'Impacts A'!F161-'Impacts B'!F161</f>
        <v>0</v>
      </c>
      <c r="G161" s="53">
        <f>'Impacts A'!G161-'Impacts B'!G161</f>
        <v>0</v>
      </c>
      <c r="H161" s="53">
        <f>'Impacts A'!H161-'Impacts B'!H161</f>
        <v>0</v>
      </c>
      <c r="I161" s="53">
        <f>'Impacts A'!I161-'Impacts B'!I161</f>
        <v>0</v>
      </c>
      <c r="J161" s="53">
        <f>'Impacts A'!J161-'Impacts B'!J161</f>
        <v>0</v>
      </c>
      <c r="K161" s="53">
        <f>'Impacts A'!K161-'Impacts B'!K161</f>
        <v>0</v>
      </c>
      <c r="L161" s="53">
        <f>'Impacts A'!L161-'Impacts B'!L161</f>
        <v>0</v>
      </c>
    </row>
    <row r="162" spans="1:14" s="1" customFormat="1" ht="13.5" thickTop="1" x14ac:dyDescent="0.3">
      <c r="A162" s="61" t="s">
        <v>179</v>
      </c>
      <c r="B162" s="61"/>
      <c r="C162"/>
      <c r="D162"/>
      <c r="E162"/>
      <c r="F162"/>
      <c r="G162"/>
      <c r="H162"/>
      <c r="I162"/>
      <c r="J162"/>
      <c r="K162"/>
      <c r="L162"/>
    </row>
    <row r="163" spans="1:14" s="1" customFormat="1" x14ac:dyDescent="0.25">
      <c r="A163" s="1" t="str">
        <f t="array" ref="A163:A170">R_CODE</f>
        <v>EU</v>
      </c>
      <c r="B163" s="39">
        <f>'Impacts A'!B163-'Impacts B'!B163</f>
        <v>0</v>
      </c>
      <c r="C163" s="39">
        <f>'Impacts A'!C163-'Impacts B'!C163</f>
        <v>0</v>
      </c>
      <c r="D163" s="39">
        <f>'Impacts A'!D163-'Impacts B'!D163</f>
        <v>0</v>
      </c>
      <c r="E163" s="39">
        <f>'Impacts A'!E163-'Impacts B'!E163</f>
        <v>0</v>
      </c>
      <c r="F163" s="39">
        <f>'Impacts A'!F163-'Impacts B'!F163</f>
        <v>0</v>
      </c>
      <c r="G163" s="39">
        <f>'Impacts A'!G163-'Impacts B'!G163</f>
        <v>0</v>
      </c>
      <c r="H163" s="39">
        <f>'Impacts A'!H163-'Impacts B'!H163</f>
        <v>0</v>
      </c>
      <c r="I163" s="39">
        <f>'Impacts A'!I163-'Impacts B'!I163</f>
        <v>0</v>
      </c>
      <c r="J163" s="39">
        <f>'Impacts A'!J163-'Impacts B'!J163</f>
        <v>0</v>
      </c>
      <c r="K163" s="39">
        <f>'Impacts A'!K163-'Impacts B'!K163</f>
        <v>0</v>
      </c>
      <c r="L163" s="39">
        <f>'Impacts A'!L163-'Impacts B'!L163</f>
        <v>0</v>
      </c>
    </row>
    <row r="164" spans="1:14" s="1" customFormat="1" x14ac:dyDescent="0.25">
      <c r="A164" s="1" t="str">
        <v>US</v>
      </c>
      <c r="B164" s="35">
        <f>'Impacts A'!B164-'Impacts B'!B164</f>
        <v>0</v>
      </c>
      <c r="C164" s="35">
        <f>'Impacts A'!C164-'Impacts B'!C164</f>
        <v>0</v>
      </c>
      <c r="D164" s="35">
        <f>'Impacts A'!D164-'Impacts B'!D164</f>
        <v>0</v>
      </c>
      <c r="E164" s="35">
        <f>'Impacts A'!E164-'Impacts B'!E164</f>
        <v>0</v>
      </c>
      <c r="F164" s="35">
        <f>'Impacts A'!F164-'Impacts B'!F164</f>
        <v>0</v>
      </c>
      <c r="G164" s="35">
        <f>'Impacts A'!G164-'Impacts B'!G164</f>
        <v>0</v>
      </c>
      <c r="H164" s="35">
        <f>'Impacts A'!H164-'Impacts B'!H164</f>
        <v>0</v>
      </c>
      <c r="I164" s="35">
        <f>'Impacts A'!I164-'Impacts B'!I164</f>
        <v>0</v>
      </c>
      <c r="J164" s="35">
        <f>'Impacts A'!J164-'Impacts B'!J164</f>
        <v>0</v>
      </c>
      <c r="K164" s="35">
        <f>'Impacts A'!K164-'Impacts B'!K164</f>
        <v>0</v>
      </c>
      <c r="L164" s="35">
        <f>'Impacts A'!L164-'Impacts B'!L164</f>
        <v>0</v>
      </c>
    </row>
    <row r="165" spans="1:14" s="1" customFormat="1" x14ac:dyDescent="0.25">
      <c r="A165" s="1" t="str">
        <v>OT</v>
      </c>
      <c r="B165" s="35">
        <f>'Impacts A'!B165-'Impacts B'!B165</f>
        <v>0</v>
      </c>
      <c r="C165" s="35">
        <f>'Impacts A'!C165-'Impacts B'!C165</f>
        <v>0</v>
      </c>
      <c r="D165" s="35">
        <f>'Impacts A'!D165-'Impacts B'!D165</f>
        <v>0</v>
      </c>
      <c r="E165" s="35">
        <f>'Impacts A'!E165-'Impacts B'!E165</f>
        <v>0</v>
      </c>
      <c r="F165" s="35">
        <f>'Impacts A'!F165-'Impacts B'!F165</f>
        <v>0</v>
      </c>
      <c r="G165" s="35">
        <f>'Impacts A'!G165-'Impacts B'!G165</f>
        <v>0</v>
      </c>
      <c r="H165" s="35">
        <f>'Impacts A'!H165-'Impacts B'!H165</f>
        <v>0</v>
      </c>
      <c r="I165" s="35">
        <f>'Impacts A'!I165-'Impacts B'!I165</f>
        <v>0</v>
      </c>
      <c r="J165" s="35">
        <f>'Impacts A'!J165-'Impacts B'!J165</f>
        <v>0</v>
      </c>
      <c r="K165" s="35">
        <f>'Impacts A'!K165-'Impacts B'!K165</f>
        <v>0</v>
      </c>
      <c r="L165" s="35">
        <f>'Impacts A'!L165-'Impacts B'!L165</f>
        <v>0</v>
      </c>
    </row>
    <row r="166" spans="1:14" s="1" customFormat="1" x14ac:dyDescent="0.25">
      <c r="A166" s="1" t="str">
        <v>EE</v>
      </c>
      <c r="B166" s="35">
        <f>'Impacts A'!B166-'Impacts B'!B166</f>
        <v>0</v>
      </c>
      <c r="C166" s="35">
        <f>'Impacts A'!C166-'Impacts B'!C166</f>
        <v>0</v>
      </c>
      <c r="D166" s="35">
        <f>'Impacts A'!D166-'Impacts B'!D166</f>
        <v>0</v>
      </c>
      <c r="E166" s="35">
        <f>'Impacts A'!E166-'Impacts B'!E166</f>
        <v>0</v>
      </c>
      <c r="F166" s="35">
        <f>'Impacts A'!F166-'Impacts B'!F166</f>
        <v>0</v>
      </c>
      <c r="G166" s="35">
        <f>'Impacts A'!G166-'Impacts B'!G166</f>
        <v>0</v>
      </c>
      <c r="H166" s="35">
        <f>'Impacts A'!H166-'Impacts B'!H166</f>
        <v>0</v>
      </c>
      <c r="I166" s="35">
        <f>'Impacts A'!I166-'Impacts B'!I166</f>
        <v>0</v>
      </c>
      <c r="J166" s="35">
        <f>'Impacts A'!J166-'Impacts B'!J166</f>
        <v>0</v>
      </c>
      <c r="K166" s="35">
        <f>'Impacts A'!K166-'Impacts B'!K166</f>
        <v>0</v>
      </c>
      <c r="L166" s="35">
        <f>'Impacts A'!L166-'Impacts B'!L166</f>
        <v>0</v>
      </c>
    </row>
    <row r="167" spans="1:14" s="1" customFormat="1" x14ac:dyDescent="0.25">
      <c r="A167" s="1" t="str">
        <v>CA</v>
      </c>
      <c r="B167" s="35">
        <f>'Impacts A'!B167-'Impacts B'!B167</f>
        <v>0</v>
      </c>
      <c r="C167" s="35">
        <f>'Impacts A'!C167-'Impacts B'!C167</f>
        <v>0</v>
      </c>
      <c r="D167" s="35">
        <f>'Impacts A'!D167-'Impacts B'!D167</f>
        <v>0</v>
      </c>
      <c r="E167" s="35">
        <f>'Impacts A'!E167-'Impacts B'!E167</f>
        <v>0</v>
      </c>
      <c r="F167" s="35">
        <f>'Impacts A'!F167-'Impacts B'!F167</f>
        <v>0</v>
      </c>
      <c r="G167" s="35">
        <f>'Impacts A'!G167-'Impacts B'!G167</f>
        <v>0</v>
      </c>
      <c r="H167" s="35">
        <f>'Impacts A'!H167-'Impacts B'!H167</f>
        <v>0</v>
      </c>
      <c r="I167" s="35">
        <f>'Impacts A'!I167-'Impacts B'!I167</f>
        <v>0</v>
      </c>
      <c r="J167" s="35">
        <f>'Impacts A'!J167-'Impacts B'!J167</f>
        <v>0</v>
      </c>
      <c r="K167" s="35">
        <f>'Impacts A'!K167-'Impacts B'!K167</f>
        <v>0</v>
      </c>
      <c r="L167" s="35">
        <f>'Impacts A'!L167-'Impacts B'!L167</f>
        <v>0</v>
      </c>
    </row>
    <row r="168" spans="1:14" s="1" customFormat="1" x14ac:dyDescent="0.25">
      <c r="A168" s="1" t="str">
        <v>IA</v>
      </c>
      <c r="B168" s="35">
        <f>'Impacts A'!B168-'Impacts B'!B168</f>
        <v>0</v>
      </c>
      <c r="C168" s="35">
        <f>'Impacts A'!C168-'Impacts B'!C168</f>
        <v>0</v>
      </c>
      <c r="D168" s="35">
        <f>'Impacts A'!D168-'Impacts B'!D168</f>
        <v>0</v>
      </c>
      <c r="E168" s="35">
        <f>'Impacts A'!E168-'Impacts B'!E168</f>
        <v>0</v>
      </c>
      <c r="F168" s="35">
        <f>'Impacts A'!F168-'Impacts B'!F168</f>
        <v>0</v>
      </c>
      <c r="G168" s="35">
        <f>'Impacts A'!G168-'Impacts B'!G168</f>
        <v>0</v>
      </c>
      <c r="H168" s="35">
        <f>'Impacts A'!H168-'Impacts B'!H168</f>
        <v>0</v>
      </c>
      <c r="I168" s="35">
        <f>'Impacts A'!I168-'Impacts B'!I168</f>
        <v>0</v>
      </c>
      <c r="J168" s="35">
        <f>'Impacts A'!J168-'Impacts B'!J168</f>
        <v>0</v>
      </c>
      <c r="K168" s="35">
        <f>'Impacts A'!K168-'Impacts B'!K168</f>
        <v>0</v>
      </c>
      <c r="L168" s="35">
        <f>'Impacts A'!L168-'Impacts B'!L168</f>
        <v>0</v>
      </c>
    </row>
    <row r="169" spans="1:14" s="1" customFormat="1" x14ac:dyDescent="0.25">
      <c r="A169" s="1" t="str">
        <v>AF</v>
      </c>
      <c r="B169" s="35">
        <f>'Impacts A'!B169-'Impacts B'!B169</f>
        <v>0</v>
      </c>
      <c r="C169" s="35">
        <f>'Impacts A'!C169-'Impacts B'!C169</f>
        <v>0</v>
      </c>
      <c r="D169" s="35">
        <f>'Impacts A'!D169-'Impacts B'!D169</f>
        <v>0</v>
      </c>
      <c r="E169" s="35">
        <f>'Impacts A'!E169-'Impacts B'!E169</f>
        <v>0</v>
      </c>
      <c r="F169" s="35">
        <f>'Impacts A'!F169-'Impacts B'!F169</f>
        <v>0</v>
      </c>
      <c r="G169" s="35">
        <f>'Impacts A'!G169-'Impacts B'!G169</f>
        <v>0</v>
      </c>
      <c r="H169" s="35">
        <f>'Impacts A'!H169-'Impacts B'!H169</f>
        <v>0</v>
      </c>
      <c r="I169" s="35">
        <f>'Impacts A'!I169-'Impacts B'!I169</f>
        <v>0</v>
      </c>
      <c r="J169" s="35">
        <f>'Impacts A'!J169-'Impacts B'!J169</f>
        <v>0</v>
      </c>
      <c r="K169" s="35">
        <f>'Impacts A'!K169-'Impacts B'!K169</f>
        <v>0</v>
      </c>
      <c r="L169" s="35">
        <f>'Impacts A'!L169-'Impacts B'!L169</f>
        <v>0</v>
      </c>
    </row>
    <row r="170" spans="1:14" s="1" customFormat="1" x14ac:dyDescent="0.25">
      <c r="A170" s="1" t="str">
        <v>LA</v>
      </c>
      <c r="B170" s="35">
        <f>'Impacts A'!B170-'Impacts B'!B170</f>
        <v>0</v>
      </c>
      <c r="C170" s="35">
        <f>'Impacts A'!C170-'Impacts B'!C170</f>
        <v>0</v>
      </c>
      <c r="D170" s="35">
        <f>'Impacts A'!D170-'Impacts B'!D170</f>
        <v>0</v>
      </c>
      <c r="E170" s="35">
        <f>'Impacts A'!E170-'Impacts B'!E170</f>
        <v>0</v>
      </c>
      <c r="F170" s="35">
        <f>'Impacts A'!F170-'Impacts B'!F170</f>
        <v>0</v>
      </c>
      <c r="G170" s="35">
        <f>'Impacts A'!G170-'Impacts B'!G170</f>
        <v>0</v>
      </c>
      <c r="H170" s="35">
        <f>'Impacts A'!H170-'Impacts B'!H170</f>
        <v>0</v>
      </c>
      <c r="I170" s="35">
        <f>'Impacts A'!I170-'Impacts B'!I170</f>
        <v>0</v>
      </c>
      <c r="J170" s="35">
        <f>'Impacts A'!J170-'Impacts B'!J170</f>
        <v>0</v>
      </c>
      <c r="K170" s="35">
        <f>'Impacts A'!K170-'Impacts B'!K170</f>
        <v>0</v>
      </c>
      <c r="L170" s="35">
        <f>'Impacts A'!L170-'Impacts B'!L170</f>
        <v>0</v>
      </c>
    </row>
    <row r="171" spans="1:14" s="1" customFormat="1" ht="13" x14ac:dyDescent="0.3">
      <c r="A171" s="61" t="s">
        <v>177</v>
      </c>
      <c r="B171" s="40">
        <f>'Impacts A'!B171-'Impacts B'!B171</f>
        <v>0</v>
      </c>
      <c r="C171" s="40">
        <f>'Impacts A'!C171-'Impacts B'!C171</f>
        <v>0</v>
      </c>
      <c r="D171" s="40">
        <f>'Impacts A'!D171-'Impacts B'!D171</f>
        <v>0</v>
      </c>
      <c r="E171" s="40">
        <f>'Impacts A'!E171-'Impacts B'!E171</f>
        <v>0</v>
      </c>
      <c r="F171" s="40">
        <f>'Impacts A'!F171-'Impacts B'!F171</f>
        <v>0</v>
      </c>
      <c r="G171" s="40">
        <f>'Impacts A'!G171-'Impacts B'!G171</f>
        <v>0</v>
      </c>
      <c r="H171" s="40">
        <f>'Impacts A'!H171-'Impacts B'!H171</f>
        <v>0</v>
      </c>
      <c r="I171" s="40">
        <f>'Impacts A'!I171-'Impacts B'!I171</f>
        <v>0</v>
      </c>
      <c r="J171" s="40">
        <f>'Impacts A'!J171-'Impacts B'!J171</f>
        <v>0</v>
      </c>
      <c r="K171" s="40">
        <f>'Impacts A'!K171-'Impacts B'!K171</f>
        <v>0</v>
      </c>
      <c r="L171" s="40">
        <f>'Impacts A'!L171-'Impacts B'!L171</f>
        <v>0</v>
      </c>
    </row>
    <row r="172" spans="1:14" s="13" customFormat="1" ht="13" x14ac:dyDescent="0.3">
      <c r="A172" s="63" t="s">
        <v>472</v>
      </c>
      <c r="B172" s="44"/>
      <c r="C172" s="44"/>
      <c r="D172" s="44"/>
      <c r="E172" s="44"/>
      <c r="F172" s="44"/>
      <c r="G172" s="44"/>
      <c r="H172" s="44"/>
      <c r="I172" s="44"/>
      <c r="J172" s="44"/>
      <c r="K172" s="44"/>
      <c r="L172" s="44"/>
    </row>
    <row r="173" spans="1:14" s="1" customFormat="1" x14ac:dyDescent="0.25">
      <c r="A173" s="1" t="str">
        <f t="array" ref="A173:A180">R_CODE</f>
        <v>EU</v>
      </c>
      <c r="B173" s="44"/>
      <c r="C173" s="39">
        <f>'Impacts A'!C173-'Impacts B'!C173</f>
        <v>0</v>
      </c>
      <c r="D173" s="39">
        <f>'Impacts A'!D173-'Impacts B'!D173</f>
        <v>0</v>
      </c>
      <c r="E173" s="39">
        <f>'Impacts A'!E173-'Impacts B'!E173</f>
        <v>0</v>
      </c>
      <c r="F173" s="39">
        <f>'Impacts A'!F173-'Impacts B'!F173</f>
        <v>0</v>
      </c>
      <c r="G173" s="39">
        <f>'Impacts A'!G173-'Impacts B'!G173</f>
        <v>0</v>
      </c>
      <c r="H173" s="39">
        <f>'Impacts A'!H173-'Impacts B'!H173</f>
        <v>0</v>
      </c>
      <c r="I173" s="39">
        <f>'Impacts A'!I173-'Impacts B'!I173</f>
        <v>0</v>
      </c>
      <c r="J173" s="39">
        <f>'Impacts A'!J173-'Impacts B'!J173</f>
        <v>0</v>
      </c>
      <c r="K173" s="39">
        <f>'Impacts A'!K173-'Impacts B'!K173</f>
        <v>0</v>
      </c>
      <c r="L173" s="39">
        <f>'Impacts A'!L173-'Impacts B'!L173</f>
        <v>0</v>
      </c>
      <c r="N173" s="1" t="str">
        <f t="shared" ref="N173:N180" si="4">CURRENCY_NAME&amp;"/"&amp;POP_UNIT_NAME</f>
        <v>$million/million</v>
      </c>
    </row>
    <row r="174" spans="1:14" s="1" customFormat="1" x14ac:dyDescent="0.25">
      <c r="A174" s="1" t="str">
        <v>US</v>
      </c>
      <c r="B174" s="44"/>
      <c r="C174" s="35">
        <f>'Impacts A'!C174-'Impacts B'!C174</f>
        <v>0</v>
      </c>
      <c r="D174" s="35">
        <f>'Impacts A'!D174-'Impacts B'!D174</f>
        <v>0</v>
      </c>
      <c r="E174" s="35">
        <f>'Impacts A'!E174-'Impacts B'!E174</f>
        <v>0</v>
      </c>
      <c r="F174" s="35">
        <f>'Impacts A'!F174-'Impacts B'!F174</f>
        <v>0</v>
      </c>
      <c r="G174" s="35">
        <f>'Impacts A'!G174-'Impacts B'!G174</f>
        <v>0</v>
      </c>
      <c r="H174" s="35">
        <f>'Impacts A'!H174-'Impacts B'!H174</f>
        <v>0</v>
      </c>
      <c r="I174" s="35">
        <f>'Impacts A'!I174-'Impacts B'!I174</f>
        <v>0</v>
      </c>
      <c r="J174" s="35">
        <f>'Impacts A'!J174-'Impacts B'!J174</f>
        <v>0</v>
      </c>
      <c r="K174" s="35">
        <f>'Impacts A'!K174-'Impacts B'!K174</f>
        <v>0</v>
      </c>
      <c r="L174" s="35">
        <f>'Impacts A'!L174-'Impacts B'!L174</f>
        <v>0</v>
      </c>
      <c r="N174" s="1" t="str">
        <f t="shared" si="4"/>
        <v>$million/million</v>
      </c>
    </row>
    <row r="175" spans="1:14" s="1" customFormat="1" x14ac:dyDescent="0.25">
      <c r="A175" s="1" t="str">
        <v>OT</v>
      </c>
      <c r="B175" s="44"/>
      <c r="C175" s="35">
        <f>'Impacts A'!C175-'Impacts B'!C175</f>
        <v>0</v>
      </c>
      <c r="D175" s="35">
        <f>'Impacts A'!D175-'Impacts B'!D175</f>
        <v>0</v>
      </c>
      <c r="E175" s="35">
        <f>'Impacts A'!E175-'Impacts B'!E175</f>
        <v>0</v>
      </c>
      <c r="F175" s="35">
        <f>'Impacts A'!F175-'Impacts B'!F175</f>
        <v>0</v>
      </c>
      <c r="G175" s="35">
        <f>'Impacts A'!G175-'Impacts B'!G175</f>
        <v>0</v>
      </c>
      <c r="H175" s="35">
        <f>'Impacts A'!H175-'Impacts B'!H175</f>
        <v>0</v>
      </c>
      <c r="I175" s="35">
        <f>'Impacts A'!I175-'Impacts B'!I175</f>
        <v>0</v>
      </c>
      <c r="J175" s="35">
        <f>'Impacts A'!J175-'Impacts B'!J175</f>
        <v>0</v>
      </c>
      <c r="K175" s="35">
        <f>'Impacts A'!K175-'Impacts B'!K175</f>
        <v>0</v>
      </c>
      <c r="L175" s="35">
        <f>'Impacts A'!L175-'Impacts B'!L175</f>
        <v>0</v>
      </c>
      <c r="N175" s="1" t="str">
        <f t="shared" si="4"/>
        <v>$million/million</v>
      </c>
    </row>
    <row r="176" spans="1:14" s="1" customFormat="1" x14ac:dyDescent="0.25">
      <c r="A176" s="1" t="str">
        <v>EE</v>
      </c>
      <c r="B176" s="44"/>
      <c r="C176" s="35">
        <f>'Impacts A'!C176-'Impacts B'!C176</f>
        <v>0</v>
      </c>
      <c r="D176" s="35">
        <f>'Impacts A'!D176-'Impacts B'!D176</f>
        <v>0</v>
      </c>
      <c r="E176" s="35">
        <f>'Impacts A'!E176-'Impacts B'!E176</f>
        <v>0</v>
      </c>
      <c r="F176" s="35">
        <f>'Impacts A'!F176-'Impacts B'!F176</f>
        <v>0</v>
      </c>
      <c r="G176" s="35">
        <f>'Impacts A'!G176-'Impacts B'!G176</f>
        <v>0</v>
      </c>
      <c r="H176" s="35">
        <f>'Impacts A'!H176-'Impacts B'!H176</f>
        <v>0</v>
      </c>
      <c r="I176" s="35">
        <f>'Impacts A'!I176-'Impacts B'!I176</f>
        <v>0</v>
      </c>
      <c r="J176" s="35">
        <f>'Impacts A'!J176-'Impacts B'!J176</f>
        <v>0</v>
      </c>
      <c r="K176" s="35">
        <f>'Impacts A'!K176-'Impacts B'!K176</f>
        <v>0</v>
      </c>
      <c r="L176" s="35">
        <f>'Impacts A'!L176-'Impacts B'!L176</f>
        <v>0</v>
      </c>
      <c r="N176" s="1" t="str">
        <f t="shared" si="4"/>
        <v>$million/million</v>
      </c>
    </row>
    <row r="177" spans="1:14" s="1" customFormat="1" x14ac:dyDescent="0.25">
      <c r="A177" s="1" t="str">
        <v>CA</v>
      </c>
      <c r="B177" s="44"/>
      <c r="C177" s="35">
        <f>'Impacts A'!C177-'Impacts B'!C177</f>
        <v>0</v>
      </c>
      <c r="D177" s="35">
        <f>'Impacts A'!D177-'Impacts B'!D177</f>
        <v>0</v>
      </c>
      <c r="E177" s="35">
        <f>'Impacts A'!E177-'Impacts B'!E177</f>
        <v>0</v>
      </c>
      <c r="F177" s="35">
        <f>'Impacts A'!F177-'Impacts B'!F177</f>
        <v>0</v>
      </c>
      <c r="G177" s="35">
        <f>'Impacts A'!G177-'Impacts B'!G177</f>
        <v>0</v>
      </c>
      <c r="H177" s="35">
        <f>'Impacts A'!H177-'Impacts B'!H177</f>
        <v>0</v>
      </c>
      <c r="I177" s="35">
        <f>'Impacts A'!I177-'Impacts B'!I177</f>
        <v>0</v>
      </c>
      <c r="J177" s="35">
        <f>'Impacts A'!J177-'Impacts B'!J177</f>
        <v>0</v>
      </c>
      <c r="K177" s="35">
        <f>'Impacts A'!K177-'Impacts B'!K177</f>
        <v>0</v>
      </c>
      <c r="L177" s="35">
        <f>'Impacts A'!L177-'Impacts B'!L177</f>
        <v>0</v>
      </c>
      <c r="N177" s="1" t="str">
        <f t="shared" si="4"/>
        <v>$million/million</v>
      </c>
    </row>
    <row r="178" spans="1:14" s="1" customFormat="1" x14ac:dyDescent="0.25">
      <c r="A178" s="1" t="str">
        <v>IA</v>
      </c>
      <c r="B178" s="44"/>
      <c r="C178" s="35">
        <f>'Impacts A'!C178-'Impacts B'!C178</f>
        <v>0</v>
      </c>
      <c r="D178" s="35">
        <f>'Impacts A'!D178-'Impacts B'!D178</f>
        <v>0</v>
      </c>
      <c r="E178" s="35">
        <f>'Impacts A'!E178-'Impacts B'!E178</f>
        <v>0</v>
      </c>
      <c r="F178" s="35">
        <f>'Impacts A'!F178-'Impacts B'!F178</f>
        <v>0</v>
      </c>
      <c r="G178" s="35">
        <f>'Impacts A'!G178-'Impacts B'!G178</f>
        <v>0</v>
      </c>
      <c r="H178" s="35">
        <f>'Impacts A'!H178-'Impacts B'!H178</f>
        <v>0</v>
      </c>
      <c r="I178" s="35">
        <f>'Impacts A'!I178-'Impacts B'!I178</f>
        <v>0</v>
      </c>
      <c r="J178" s="35">
        <f>'Impacts A'!J178-'Impacts B'!J178</f>
        <v>0</v>
      </c>
      <c r="K178" s="35">
        <f>'Impacts A'!K178-'Impacts B'!K178</f>
        <v>0</v>
      </c>
      <c r="L178" s="35">
        <f>'Impacts A'!L178-'Impacts B'!L178</f>
        <v>0</v>
      </c>
      <c r="N178" s="1" t="str">
        <f t="shared" si="4"/>
        <v>$million/million</v>
      </c>
    </row>
    <row r="179" spans="1:14" s="1" customFormat="1" x14ac:dyDescent="0.25">
      <c r="A179" s="1" t="str">
        <v>AF</v>
      </c>
      <c r="B179" s="44"/>
      <c r="C179" s="35">
        <f>'Impacts A'!C179-'Impacts B'!C179</f>
        <v>0</v>
      </c>
      <c r="D179" s="35">
        <f>'Impacts A'!D179-'Impacts B'!D179</f>
        <v>0</v>
      </c>
      <c r="E179" s="35">
        <f>'Impacts A'!E179-'Impacts B'!E179</f>
        <v>0</v>
      </c>
      <c r="F179" s="35">
        <f>'Impacts A'!F179-'Impacts B'!F179</f>
        <v>0</v>
      </c>
      <c r="G179" s="35">
        <f>'Impacts A'!G179-'Impacts B'!G179</f>
        <v>0</v>
      </c>
      <c r="H179" s="35">
        <f>'Impacts A'!H179-'Impacts B'!H179</f>
        <v>0</v>
      </c>
      <c r="I179" s="35">
        <f>'Impacts A'!I179-'Impacts B'!I179</f>
        <v>0</v>
      </c>
      <c r="J179" s="35">
        <f>'Impacts A'!J179-'Impacts B'!J179</f>
        <v>0</v>
      </c>
      <c r="K179" s="35">
        <f>'Impacts A'!K179-'Impacts B'!K179</f>
        <v>0</v>
      </c>
      <c r="L179" s="35">
        <f>'Impacts A'!L179-'Impacts B'!L179</f>
        <v>0</v>
      </c>
      <c r="N179" s="1" t="str">
        <f t="shared" si="4"/>
        <v>$million/million</v>
      </c>
    </row>
    <row r="180" spans="1:14" s="1" customFormat="1" x14ac:dyDescent="0.25">
      <c r="A180" s="1" t="str">
        <v>LA</v>
      </c>
      <c r="B180" s="44"/>
      <c r="C180" s="35">
        <f>'Impacts A'!C180-'Impacts B'!C180</f>
        <v>0</v>
      </c>
      <c r="D180" s="35">
        <f>'Impacts A'!D180-'Impacts B'!D180</f>
        <v>0</v>
      </c>
      <c r="E180" s="35">
        <f>'Impacts A'!E180-'Impacts B'!E180</f>
        <v>0</v>
      </c>
      <c r="F180" s="35">
        <f>'Impacts A'!F180-'Impacts B'!F180</f>
        <v>0</v>
      </c>
      <c r="G180" s="35">
        <f>'Impacts A'!G180-'Impacts B'!G180</f>
        <v>0</v>
      </c>
      <c r="H180" s="35">
        <f>'Impacts A'!H180-'Impacts B'!H180</f>
        <v>0</v>
      </c>
      <c r="I180" s="35">
        <f>'Impacts A'!I180-'Impacts B'!I180</f>
        <v>0</v>
      </c>
      <c r="J180" s="35">
        <f>'Impacts A'!J180-'Impacts B'!J180</f>
        <v>0</v>
      </c>
      <c r="K180" s="35">
        <f>'Impacts A'!K180-'Impacts B'!K180</f>
        <v>0</v>
      </c>
      <c r="L180" s="35">
        <f>'Impacts A'!L180-'Impacts B'!L180</f>
        <v>0</v>
      </c>
      <c r="N180" s="1" t="str">
        <f t="shared" si="4"/>
        <v>$million/million</v>
      </c>
    </row>
    <row r="181" spans="1:14" s="13" customFormat="1" ht="13" x14ac:dyDescent="0.3">
      <c r="A181" s="63" t="s">
        <v>473</v>
      </c>
      <c r="B181" s="44"/>
      <c r="C181" s="44"/>
      <c r="D181" s="44"/>
      <c r="E181" s="44"/>
      <c r="F181" s="44"/>
      <c r="G181" s="44"/>
      <c r="H181" s="44"/>
      <c r="I181" s="44"/>
      <c r="J181" s="44"/>
      <c r="K181" s="44"/>
      <c r="L181" s="44"/>
    </row>
    <row r="182" spans="1:14" s="1" customFormat="1" x14ac:dyDescent="0.25">
      <c r="A182" s="1" t="str">
        <f t="array" ref="A182:A189">R_CODE</f>
        <v>EU</v>
      </c>
      <c r="B182" s="44"/>
      <c r="C182" s="39">
        <f>'Impacts A'!C182-'Impacts B'!C182</f>
        <v>0</v>
      </c>
      <c r="D182" s="39">
        <f>'Impacts A'!D182-'Impacts B'!D182</f>
        <v>0</v>
      </c>
      <c r="E182" s="39">
        <f>'Impacts A'!E182-'Impacts B'!E182</f>
        <v>0</v>
      </c>
      <c r="F182" s="39">
        <f>'Impacts A'!F182-'Impacts B'!F182</f>
        <v>0</v>
      </c>
      <c r="G182" s="39">
        <f>'Impacts A'!G182-'Impacts B'!G182</f>
        <v>0</v>
      </c>
      <c r="H182" s="39">
        <f>'Impacts A'!H182-'Impacts B'!H182</f>
        <v>0</v>
      </c>
      <c r="I182" s="39">
        <f>'Impacts A'!I182-'Impacts B'!I182</f>
        <v>0</v>
      </c>
      <c r="J182" s="39">
        <f>'Impacts A'!J182-'Impacts B'!J182</f>
        <v>0</v>
      </c>
      <c r="K182" s="39">
        <f>'Impacts A'!K182-'Impacts B'!K182</f>
        <v>0</v>
      </c>
      <c r="L182" s="39">
        <f>'Impacts A'!L182-'Impacts B'!L182</f>
        <v>0</v>
      </c>
      <c r="N182" s="1" t="str">
        <f t="shared" ref="N182:N189" si="5">CURRENCY_NAME&amp;"/"&amp;POP_UNIT_NAME</f>
        <v>$million/million</v>
      </c>
    </row>
    <row r="183" spans="1:14" s="1" customFormat="1" x14ac:dyDescent="0.25">
      <c r="A183" s="1" t="str">
        <v>US</v>
      </c>
      <c r="B183" s="44"/>
      <c r="C183" s="35">
        <f>'Impacts A'!C183-'Impacts B'!C183</f>
        <v>0</v>
      </c>
      <c r="D183" s="35">
        <f>'Impacts A'!D183-'Impacts B'!D183</f>
        <v>0</v>
      </c>
      <c r="E183" s="35">
        <f>'Impacts A'!E183-'Impacts B'!E183</f>
        <v>0</v>
      </c>
      <c r="F183" s="35">
        <f>'Impacts A'!F183-'Impacts B'!F183</f>
        <v>0</v>
      </c>
      <c r="G183" s="35">
        <f>'Impacts A'!G183-'Impacts B'!G183</f>
        <v>0</v>
      </c>
      <c r="H183" s="35">
        <f>'Impacts A'!H183-'Impacts B'!H183</f>
        <v>0</v>
      </c>
      <c r="I183" s="35">
        <f>'Impacts A'!I183-'Impacts B'!I183</f>
        <v>0</v>
      </c>
      <c r="J183" s="35">
        <f>'Impacts A'!J183-'Impacts B'!J183</f>
        <v>0</v>
      </c>
      <c r="K183" s="35">
        <f>'Impacts A'!K183-'Impacts B'!K183</f>
        <v>0</v>
      </c>
      <c r="L183" s="35">
        <f>'Impacts A'!L183-'Impacts B'!L183</f>
        <v>0</v>
      </c>
      <c r="N183" s="1" t="str">
        <f t="shared" si="5"/>
        <v>$million/million</v>
      </c>
    </row>
    <row r="184" spans="1:14" s="1" customFormat="1" x14ac:dyDescent="0.25">
      <c r="A184" s="1" t="str">
        <v>OT</v>
      </c>
      <c r="B184" s="44"/>
      <c r="C184" s="35">
        <f>'Impacts A'!C184-'Impacts B'!C184</f>
        <v>0</v>
      </c>
      <c r="D184" s="35">
        <f>'Impacts A'!D184-'Impacts B'!D184</f>
        <v>0</v>
      </c>
      <c r="E184" s="35">
        <f>'Impacts A'!E184-'Impacts B'!E184</f>
        <v>0</v>
      </c>
      <c r="F184" s="35">
        <f>'Impacts A'!F184-'Impacts B'!F184</f>
        <v>0</v>
      </c>
      <c r="G184" s="35">
        <f>'Impacts A'!G184-'Impacts B'!G184</f>
        <v>0</v>
      </c>
      <c r="H184" s="35">
        <f>'Impacts A'!H184-'Impacts B'!H184</f>
        <v>0</v>
      </c>
      <c r="I184" s="35">
        <f>'Impacts A'!I184-'Impacts B'!I184</f>
        <v>0</v>
      </c>
      <c r="J184" s="35">
        <f>'Impacts A'!J184-'Impacts B'!J184</f>
        <v>0</v>
      </c>
      <c r="K184" s="35">
        <f>'Impacts A'!K184-'Impacts B'!K184</f>
        <v>0</v>
      </c>
      <c r="L184" s="35">
        <f>'Impacts A'!L184-'Impacts B'!L184</f>
        <v>0</v>
      </c>
      <c r="N184" s="1" t="str">
        <f t="shared" si="5"/>
        <v>$million/million</v>
      </c>
    </row>
    <row r="185" spans="1:14" s="1" customFormat="1" x14ac:dyDescent="0.25">
      <c r="A185" s="1" t="str">
        <v>EE</v>
      </c>
      <c r="B185" s="44"/>
      <c r="C185" s="35">
        <f>'Impacts A'!C185-'Impacts B'!C185</f>
        <v>0</v>
      </c>
      <c r="D185" s="35">
        <f>'Impacts A'!D185-'Impacts B'!D185</f>
        <v>0</v>
      </c>
      <c r="E185" s="35">
        <f>'Impacts A'!E185-'Impacts B'!E185</f>
        <v>0</v>
      </c>
      <c r="F185" s="35">
        <f>'Impacts A'!F185-'Impacts B'!F185</f>
        <v>0</v>
      </c>
      <c r="G185" s="35">
        <f>'Impacts A'!G185-'Impacts B'!G185</f>
        <v>0</v>
      </c>
      <c r="H185" s="35">
        <f>'Impacts A'!H185-'Impacts B'!H185</f>
        <v>0</v>
      </c>
      <c r="I185" s="35">
        <f>'Impacts A'!I185-'Impacts B'!I185</f>
        <v>0</v>
      </c>
      <c r="J185" s="35">
        <f>'Impacts A'!J185-'Impacts B'!J185</f>
        <v>0</v>
      </c>
      <c r="K185" s="35">
        <f>'Impacts A'!K185-'Impacts B'!K185</f>
        <v>0</v>
      </c>
      <c r="L185" s="35">
        <f>'Impacts A'!L185-'Impacts B'!L185</f>
        <v>0</v>
      </c>
      <c r="N185" s="1" t="str">
        <f t="shared" si="5"/>
        <v>$million/million</v>
      </c>
    </row>
    <row r="186" spans="1:14" s="1" customFormat="1" x14ac:dyDescent="0.25">
      <c r="A186" s="1" t="str">
        <v>CA</v>
      </c>
      <c r="B186" s="44"/>
      <c r="C186" s="35">
        <f>'Impacts A'!C186-'Impacts B'!C186</f>
        <v>0</v>
      </c>
      <c r="D186" s="35">
        <f>'Impacts A'!D186-'Impacts B'!D186</f>
        <v>0</v>
      </c>
      <c r="E186" s="35">
        <f>'Impacts A'!E186-'Impacts B'!E186</f>
        <v>0</v>
      </c>
      <c r="F186" s="35">
        <f>'Impacts A'!F186-'Impacts B'!F186</f>
        <v>0</v>
      </c>
      <c r="G186" s="35">
        <f>'Impacts A'!G186-'Impacts B'!G186</f>
        <v>0</v>
      </c>
      <c r="H186" s="35">
        <f>'Impacts A'!H186-'Impacts B'!H186</f>
        <v>0</v>
      </c>
      <c r="I186" s="35">
        <f>'Impacts A'!I186-'Impacts B'!I186</f>
        <v>0</v>
      </c>
      <c r="J186" s="35">
        <f>'Impacts A'!J186-'Impacts B'!J186</f>
        <v>0</v>
      </c>
      <c r="K186" s="35">
        <f>'Impacts A'!K186-'Impacts B'!K186</f>
        <v>0</v>
      </c>
      <c r="L186" s="35">
        <f>'Impacts A'!L186-'Impacts B'!L186</f>
        <v>0</v>
      </c>
      <c r="N186" s="1" t="str">
        <f t="shared" si="5"/>
        <v>$million/million</v>
      </c>
    </row>
    <row r="187" spans="1:14" s="1" customFormat="1" x14ac:dyDescent="0.25">
      <c r="A187" s="1" t="str">
        <v>IA</v>
      </c>
      <c r="B187" s="44"/>
      <c r="C187" s="35">
        <f>'Impacts A'!C187-'Impacts B'!C187</f>
        <v>0</v>
      </c>
      <c r="D187" s="35">
        <f>'Impacts A'!D187-'Impacts B'!D187</f>
        <v>0</v>
      </c>
      <c r="E187" s="35">
        <f>'Impacts A'!E187-'Impacts B'!E187</f>
        <v>0</v>
      </c>
      <c r="F187" s="35">
        <f>'Impacts A'!F187-'Impacts B'!F187</f>
        <v>0</v>
      </c>
      <c r="G187" s="35">
        <f>'Impacts A'!G187-'Impacts B'!G187</f>
        <v>0</v>
      </c>
      <c r="H187" s="35">
        <f>'Impacts A'!H187-'Impacts B'!H187</f>
        <v>0</v>
      </c>
      <c r="I187" s="35">
        <f>'Impacts A'!I187-'Impacts B'!I187</f>
        <v>0</v>
      </c>
      <c r="J187" s="35">
        <f>'Impacts A'!J187-'Impacts B'!J187</f>
        <v>0</v>
      </c>
      <c r="K187" s="35">
        <f>'Impacts A'!K187-'Impacts B'!K187</f>
        <v>0</v>
      </c>
      <c r="L187" s="35">
        <f>'Impacts A'!L187-'Impacts B'!L187</f>
        <v>0</v>
      </c>
      <c r="N187" s="1" t="str">
        <f t="shared" si="5"/>
        <v>$million/million</v>
      </c>
    </row>
    <row r="188" spans="1:14" s="1" customFormat="1" x14ac:dyDescent="0.25">
      <c r="A188" s="1" t="str">
        <v>AF</v>
      </c>
      <c r="B188" s="44"/>
      <c r="C188" s="35">
        <f>'Impacts A'!C188-'Impacts B'!C188</f>
        <v>0</v>
      </c>
      <c r="D188" s="35">
        <f>'Impacts A'!D188-'Impacts B'!D188</f>
        <v>0</v>
      </c>
      <c r="E188" s="35">
        <f>'Impacts A'!E188-'Impacts B'!E188</f>
        <v>0</v>
      </c>
      <c r="F188" s="35">
        <f>'Impacts A'!F188-'Impacts B'!F188</f>
        <v>0</v>
      </c>
      <c r="G188" s="35">
        <f>'Impacts A'!G188-'Impacts B'!G188</f>
        <v>0</v>
      </c>
      <c r="H188" s="35">
        <f>'Impacts A'!H188-'Impacts B'!H188</f>
        <v>0</v>
      </c>
      <c r="I188" s="35">
        <f>'Impacts A'!I188-'Impacts B'!I188</f>
        <v>0</v>
      </c>
      <c r="J188" s="35">
        <f>'Impacts A'!J188-'Impacts B'!J188</f>
        <v>0</v>
      </c>
      <c r="K188" s="35">
        <f>'Impacts A'!K188-'Impacts B'!K188</f>
        <v>0</v>
      </c>
      <c r="L188" s="35">
        <f>'Impacts A'!L188-'Impacts B'!L188</f>
        <v>0</v>
      </c>
      <c r="N188" s="1" t="str">
        <f t="shared" si="5"/>
        <v>$million/million</v>
      </c>
    </row>
    <row r="189" spans="1:14" s="1" customFormat="1" x14ac:dyDescent="0.25">
      <c r="A189" s="1" t="str">
        <v>LA</v>
      </c>
      <c r="B189" s="44"/>
      <c r="C189" s="35">
        <f>'Impacts A'!C189-'Impacts B'!C189</f>
        <v>0</v>
      </c>
      <c r="D189" s="35">
        <f>'Impacts A'!D189-'Impacts B'!D189</f>
        <v>0</v>
      </c>
      <c r="E189" s="35">
        <f>'Impacts A'!E189-'Impacts B'!E189</f>
        <v>0</v>
      </c>
      <c r="F189" s="35">
        <f>'Impacts A'!F189-'Impacts B'!F189</f>
        <v>0</v>
      </c>
      <c r="G189" s="35">
        <f>'Impacts A'!G189-'Impacts B'!G189</f>
        <v>0</v>
      </c>
      <c r="H189" s="35">
        <f>'Impacts A'!H189-'Impacts B'!H189</f>
        <v>0</v>
      </c>
      <c r="I189" s="35">
        <f>'Impacts A'!I189-'Impacts B'!I189</f>
        <v>0</v>
      </c>
      <c r="J189" s="35">
        <f>'Impacts A'!J189-'Impacts B'!J189</f>
        <v>0</v>
      </c>
      <c r="K189" s="35">
        <f>'Impacts A'!K189-'Impacts B'!K189</f>
        <v>0</v>
      </c>
      <c r="L189" s="35">
        <f>'Impacts A'!L189-'Impacts B'!L189</f>
        <v>0</v>
      </c>
      <c r="N189" s="1" t="str">
        <f t="shared" si="5"/>
        <v>$million/million</v>
      </c>
    </row>
    <row r="190" spans="1:14" s="2" customFormat="1" ht="15" x14ac:dyDescent="0.4">
      <c r="A190" s="2" t="s">
        <v>276</v>
      </c>
      <c r="C190" s="2" t="s">
        <v>274</v>
      </c>
    </row>
    <row r="191" spans="1:14" x14ac:dyDescent="0.25">
      <c r="A191" t="str">
        <f t="array" ref="A191:A198">R_CODE&amp;" sea level"</f>
        <v>EU sea level</v>
      </c>
      <c r="C191" s="39">
        <f>'Impacts A'!C191-'Impacts B'!C191</f>
        <v>0</v>
      </c>
      <c r="D191" s="39">
        <f>'Impacts A'!D191-'Impacts B'!D191</f>
        <v>0</v>
      </c>
      <c r="E191" s="39">
        <f>'Impacts A'!E191-'Impacts B'!E191</f>
        <v>0</v>
      </c>
      <c r="F191" s="39">
        <f>'Impacts A'!F191-'Impacts B'!F191</f>
        <v>-2.4896605209684397E-5</v>
      </c>
      <c r="G191" s="39">
        <f>'Impacts A'!G191-'Impacts B'!G191</f>
        <v>-2.7945687934682883E-5</v>
      </c>
      <c r="H191" s="39">
        <f>'Impacts A'!H191-'Impacts B'!H191</f>
        <v>-3.2751239287809319E-5</v>
      </c>
      <c r="I191" s="39">
        <f>'Impacts A'!I191-'Impacts B'!I191</f>
        <v>-4.1593335941225718E-5</v>
      </c>
      <c r="J191" s="39">
        <f>'Impacts A'!J191-'Impacts B'!J191</f>
        <v>-4.7661605709126142E-5</v>
      </c>
      <c r="K191" s="39">
        <f>'Impacts A'!K191-'Impacts B'!K191</f>
        <v>-5.0624776926300186E-5</v>
      </c>
      <c r="L191" s="39">
        <f>'Impacts A'!L191-'Impacts B'!L191</f>
        <v>-4.8696888573562802E-5</v>
      </c>
      <c r="M191" s="6"/>
      <c r="N191" s="84" t="s">
        <v>168</v>
      </c>
    </row>
    <row r="192" spans="1:14" x14ac:dyDescent="0.25">
      <c r="A192" t="str">
        <v>US sea level</v>
      </c>
      <c r="C192" s="35">
        <f>'Impacts A'!C192-'Impacts B'!C192</f>
        <v>0</v>
      </c>
      <c r="D192" s="35">
        <f>'Impacts A'!D192-'Impacts B'!D192</f>
        <v>0</v>
      </c>
      <c r="E192" s="35">
        <f>'Impacts A'!E192-'Impacts B'!E192</f>
        <v>0</v>
      </c>
      <c r="F192" s="35">
        <f>'Impacts A'!F192-'Impacts B'!F192</f>
        <v>-1.9917284167753069E-5</v>
      </c>
      <c r="G192" s="35">
        <f>'Impacts A'!G192-'Impacts B'!G192</f>
        <v>-2.2356550347740756E-5</v>
      </c>
      <c r="H192" s="35">
        <f>'Impacts A'!H192-'Impacts B'!H192</f>
        <v>-2.6200991430247456E-5</v>
      </c>
      <c r="I192" s="35">
        <f>'Impacts A'!I192-'Impacts B'!I192</f>
        <v>-3.3274668752969472E-5</v>
      </c>
      <c r="J192" s="35">
        <f>'Impacts A'!J192-'Impacts B'!J192</f>
        <v>-3.8129284567367527E-5</v>
      </c>
      <c r="K192" s="35">
        <f>'Impacts A'!K192-'Impacts B'!K192</f>
        <v>-4.0499821541084557E-5</v>
      </c>
      <c r="L192" s="35">
        <f>'Impacts A'!L192-'Impacts B'!L192</f>
        <v>-3.8957510858805833E-5</v>
      </c>
      <c r="M192" s="6"/>
      <c r="N192" s="84" t="s">
        <v>168</v>
      </c>
    </row>
    <row r="193" spans="1:16" x14ac:dyDescent="0.25">
      <c r="A193" t="str">
        <v>OT sea level</v>
      </c>
      <c r="C193" s="35">
        <f>'Impacts A'!C193-'Impacts B'!C193</f>
        <v>0</v>
      </c>
      <c r="D193" s="35">
        <f>'Impacts A'!D193-'Impacts B'!D193</f>
        <v>0</v>
      </c>
      <c r="E193" s="35">
        <f>'Impacts A'!E193-'Impacts B'!E193</f>
        <v>0</v>
      </c>
      <c r="F193" s="35">
        <f>'Impacts A'!F193-'Impacts B'!F193</f>
        <v>-1.9917284167753069E-5</v>
      </c>
      <c r="G193" s="35">
        <f>'Impacts A'!G193-'Impacts B'!G193</f>
        <v>-2.2356550347740756E-5</v>
      </c>
      <c r="H193" s="35">
        <f>'Impacts A'!H193-'Impacts B'!H193</f>
        <v>-2.6200991430247456E-5</v>
      </c>
      <c r="I193" s="35">
        <f>'Impacts A'!I193-'Impacts B'!I193</f>
        <v>-3.3274668752969472E-5</v>
      </c>
      <c r="J193" s="35">
        <f>'Impacts A'!J193-'Impacts B'!J193</f>
        <v>-3.8129284567367527E-5</v>
      </c>
      <c r="K193" s="35">
        <f>'Impacts A'!K193-'Impacts B'!K193</f>
        <v>-4.0499821541084557E-5</v>
      </c>
      <c r="L193" s="35">
        <f>'Impacts A'!L193-'Impacts B'!L193</f>
        <v>-3.8957510858805833E-5</v>
      </c>
      <c r="M193" s="6"/>
      <c r="N193" s="84" t="s">
        <v>168</v>
      </c>
    </row>
    <row r="194" spans="1:16" x14ac:dyDescent="0.25">
      <c r="A194" t="str">
        <v>EE sea level</v>
      </c>
      <c r="C194" s="35">
        <f>'Impacts A'!C194-'Impacts B'!C194</f>
        <v>0</v>
      </c>
      <c r="D194" s="35">
        <f>'Impacts A'!D194-'Impacts B'!D194</f>
        <v>0</v>
      </c>
      <c r="E194" s="35">
        <f>'Impacts A'!E194-'Impacts B'!E194</f>
        <v>0</v>
      </c>
      <c r="F194" s="35">
        <f>'Impacts A'!F194-'Impacts B'!F194</f>
        <v>-9.9586420838765344E-6</v>
      </c>
      <c r="G194" s="35">
        <f>'Impacts A'!G194-'Impacts B'!G194</f>
        <v>-1.1178275173870378E-5</v>
      </c>
      <c r="H194" s="35">
        <f>'Impacts A'!H194-'Impacts B'!H194</f>
        <v>-1.3100495715123728E-5</v>
      </c>
      <c r="I194" s="35">
        <f>'Impacts A'!I194-'Impacts B'!I194</f>
        <v>-1.6637334376484736E-5</v>
      </c>
      <c r="J194" s="35">
        <f>'Impacts A'!J194-'Impacts B'!J194</f>
        <v>-1.9064642283683764E-5</v>
      </c>
      <c r="K194" s="35">
        <f>'Impacts A'!K194-'Impacts B'!K194</f>
        <v>-2.0249910770542279E-5</v>
      </c>
      <c r="L194" s="35">
        <f>'Impacts A'!L194-'Impacts B'!L194</f>
        <v>-1.9478755429402916E-5</v>
      </c>
      <c r="M194" s="6"/>
      <c r="N194" s="84" t="s">
        <v>168</v>
      </c>
    </row>
    <row r="195" spans="1:16" x14ac:dyDescent="0.25">
      <c r="A195" t="str">
        <v>CA sea level</v>
      </c>
      <c r="C195" s="35">
        <f>'Impacts A'!C195-'Impacts B'!C195</f>
        <v>0</v>
      </c>
      <c r="D195" s="35">
        <f>'Impacts A'!D195-'Impacts B'!D195</f>
        <v>-2.7785276530967185E-6</v>
      </c>
      <c r="E195" s="35">
        <f>'Impacts A'!E195-'Impacts B'!E195</f>
        <v>-9.4049181810079707E-6</v>
      </c>
      <c r="F195" s="35">
        <f>'Impacts A'!F195-'Impacts B'!F195</f>
        <v>-1.4149372179611541E-5</v>
      </c>
      <c r="G195" s="35">
        <f>'Impacts A'!G195-'Impacts B'!G195</f>
        <v>-1.8991570329807139E-5</v>
      </c>
      <c r="H195" s="35">
        <f>'Impacts A'!H195-'Impacts B'!H195</f>
        <v>-2.3577292804444205E-5</v>
      </c>
      <c r="I195" s="35">
        <f>'Impacts A'!I195-'Impacts B'!I195</f>
        <v>-3.1375322464943789E-5</v>
      </c>
      <c r="J195" s="35">
        <f>'Impacts A'!J195-'Impacts B'!J195</f>
        <v>-3.6645621705577724E-5</v>
      </c>
      <c r="K195" s="35">
        <f>'Impacts A'!K195-'Impacts B'!K195</f>
        <v>-3.9919891312356626E-5</v>
      </c>
      <c r="L195" s="35">
        <f>'Impacts A'!L195-'Impacts B'!L195</f>
        <v>-3.8613960472222431E-5</v>
      </c>
      <c r="M195" s="6"/>
      <c r="N195" s="84" t="s">
        <v>168</v>
      </c>
    </row>
    <row r="196" spans="1:16" x14ac:dyDescent="0.25">
      <c r="A196" t="str">
        <v>IA sea level</v>
      </c>
      <c r="C196" s="35">
        <f>'Impacts A'!C196-'Impacts B'!C196</f>
        <v>0</v>
      </c>
      <c r="D196" s="35">
        <f>'Impacts A'!D196-'Impacts B'!D196</f>
        <v>-2.7785276530967185E-6</v>
      </c>
      <c r="E196" s="35">
        <f>'Impacts A'!E196-'Impacts B'!E196</f>
        <v>-9.4049181810079707E-6</v>
      </c>
      <c r="F196" s="35">
        <f>'Impacts A'!F196-'Impacts B'!F196</f>
        <v>-1.4149372179611541E-5</v>
      </c>
      <c r="G196" s="35">
        <f>'Impacts A'!G196-'Impacts B'!G196</f>
        <v>-1.8991570329807139E-5</v>
      </c>
      <c r="H196" s="35">
        <f>'Impacts A'!H196-'Impacts B'!H196</f>
        <v>-2.3577292804444205E-5</v>
      </c>
      <c r="I196" s="35">
        <f>'Impacts A'!I196-'Impacts B'!I196</f>
        <v>-3.1375322464943789E-5</v>
      </c>
      <c r="J196" s="35">
        <f>'Impacts A'!J196-'Impacts B'!J196</f>
        <v>-3.6645621705577724E-5</v>
      </c>
      <c r="K196" s="35">
        <f>'Impacts A'!K196-'Impacts B'!K196</f>
        <v>-3.9919891312356626E-5</v>
      </c>
      <c r="L196" s="35">
        <f>'Impacts A'!L196-'Impacts B'!L196</f>
        <v>-3.8613960472222431E-5</v>
      </c>
      <c r="M196" s="6"/>
      <c r="N196" s="84" t="s">
        <v>168</v>
      </c>
    </row>
    <row r="197" spans="1:16" x14ac:dyDescent="0.25">
      <c r="A197" t="str">
        <v>AF sea level</v>
      </c>
      <c r="C197" s="35">
        <f>'Impacts A'!C197-'Impacts B'!C197</f>
        <v>0</v>
      </c>
      <c r="D197" s="35">
        <f>'Impacts A'!D197-'Impacts B'!D197</f>
        <v>-2.0838957398017222E-6</v>
      </c>
      <c r="E197" s="35">
        <f>'Impacts A'!E197-'Impacts B'!E197</f>
        <v>-7.0536886357525086E-6</v>
      </c>
      <c r="F197" s="35">
        <f>'Impacts A'!F197-'Impacts B'!F197</f>
        <v>-1.0612029134715595E-5</v>
      </c>
      <c r="G197" s="35">
        <f>'Impacts A'!G197-'Impacts B'!G197</f>
        <v>-1.424367774738311E-5</v>
      </c>
      <c r="H197" s="35">
        <f>'Impacts A'!H197-'Impacts B'!H197</f>
        <v>-1.768296960336091E-5</v>
      </c>
      <c r="I197" s="35">
        <f>'Impacts A'!I197-'Impacts B'!I197</f>
        <v>-2.3531491848693964E-5</v>
      </c>
      <c r="J197" s="35">
        <f>'Impacts A'!J197-'Impacts B'!J197</f>
        <v>-2.7484216279183293E-5</v>
      </c>
      <c r="K197" s="35">
        <f>'Impacts A'!K197-'Impacts B'!K197</f>
        <v>-2.9939918484100936E-5</v>
      </c>
      <c r="L197" s="35">
        <f>'Impacts A'!L197-'Impacts B'!L197</f>
        <v>-2.8960470354277845E-5</v>
      </c>
      <c r="M197" s="6"/>
      <c r="N197" s="84" t="s">
        <v>168</v>
      </c>
    </row>
    <row r="198" spans="1:16" x14ac:dyDescent="0.25">
      <c r="A198" t="str">
        <v>LA sea level</v>
      </c>
      <c r="C198" s="35">
        <f>'Impacts A'!C198-'Impacts B'!C198</f>
        <v>0</v>
      </c>
      <c r="D198" s="35">
        <f>'Impacts A'!D198-'Impacts B'!D198</f>
        <v>-2.0838957398017222E-6</v>
      </c>
      <c r="E198" s="35">
        <f>'Impacts A'!E198-'Impacts B'!E198</f>
        <v>-7.0536886357525086E-6</v>
      </c>
      <c r="F198" s="35">
        <f>'Impacts A'!F198-'Impacts B'!F198</f>
        <v>-1.0612029134715595E-5</v>
      </c>
      <c r="G198" s="35">
        <f>'Impacts A'!G198-'Impacts B'!G198</f>
        <v>-1.424367774738311E-5</v>
      </c>
      <c r="H198" s="35">
        <f>'Impacts A'!H198-'Impacts B'!H198</f>
        <v>-1.768296960336091E-5</v>
      </c>
      <c r="I198" s="35">
        <f>'Impacts A'!I198-'Impacts B'!I198</f>
        <v>-2.3531491848693964E-5</v>
      </c>
      <c r="J198" s="35">
        <f>'Impacts A'!J198-'Impacts B'!J198</f>
        <v>-2.7484216279183293E-5</v>
      </c>
      <c r="K198" s="35">
        <f>'Impacts A'!K198-'Impacts B'!K198</f>
        <v>-2.9939918484100936E-5</v>
      </c>
      <c r="L198" s="35">
        <f>'Impacts A'!L198-'Impacts B'!L198</f>
        <v>-2.8960470354277845E-5</v>
      </c>
      <c r="M198" s="6"/>
      <c r="N198" s="84" t="s">
        <v>168</v>
      </c>
      <c r="P198" s="12"/>
    </row>
    <row r="199" spans="1:16" s="2" customFormat="1" ht="15" x14ac:dyDescent="0.4">
      <c r="A199" s="2" t="s">
        <v>275</v>
      </c>
      <c r="C199" s="2" t="s">
        <v>277</v>
      </c>
    </row>
    <row r="200" spans="1:16" x14ac:dyDescent="0.25">
      <c r="A200" t="str">
        <f t="array" ref="A200:A207">R_CODE&amp;" sea level"</f>
        <v>EU sea level</v>
      </c>
      <c r="C200" s="39">
        <f>'Impacts A'!C200-'Impacts B'!C200</f>
        <v>0</v>
      </c>
      <c r="D200" s="39">
        <f>'Impacts A'!D200-'Impacts B'!D200</f>
        <v>0</v>
      </c>
      <c r="E200" s="39">
        <f>'Impacts A'!E200-'Impacts B'!E200</f>
        <v>0</v>
      </c>
      <c r="F200" s="39">
        <f>'Impacts A'!F200-'Impacts B'!F200</f>
        <v>-2.061409630499389E-5</v>
      </c>
      <c r="G200" s="39">
        <f>'Impacts A'!G200-'Impacts B'!G200</f>
        <v>-2.2314950105989384E-5</v>
      </c>
      <c r="H200" s="39">
        <f>'Impacts A'!H200-'Impacts B'!H200</f>
        <v>-2.5225094177266927E-5</v>
      </c>
      <c r="I200" s="39">
        <f>'Impacts A'!I200-'Impacts B'!I200</f>
        <v>-2.9863496989745997E-5</v>
      </c>
      <c r="J200" s="39">
        <f>'Impacts A'!J200-'Impacts B'!J200</f>
        <v>-3.1964645668292047E-5</v>
      </c>
      <c r="K200" s="39">
        <f>'Impacts A'!K200-'Impacts B'!K200</f>
        <v>-2.4101483204530538E-5</v>
      </c>
      <c r="L200" s="39">
        <f>'Impacts A'!L200-'Impacts B'!L200</f>
        <v>-2.0888225549797745E-5</v>
      </c>
      <c r="M200" s="6"/>
      <c r="N200" s="84" t="s">
        <v>168</v>
      </c>
    </row>
    <row r="201" spans="1:16" x14ac:dyDescent="0.25">
      <c r="A201" t="str">
        <v>US sea level</v>
      </c>
      <c r="C201" s="35">
        <f>'Impacts A'!C201-'Impacts B'!C201</f>
        <v>0</v>
      </c>
      <c r="D201" s="35">
        <f>'Impacts A'!D201-'Impacts B'!D201</f>
        <v>0</v>
      </c>
      <c r="E201" s="35">
        <f>'Impacts A'!E201-'Impacts B'!E201</f>
        <v>0</v>
      </c>
      <c r="F201" s="35">
        <f>'Impacts A'!F201-'Impacts B'!F201</f>
        <v>-1.4328995642687303E-5</v>
      </c>
      <c r="G201" s="35">
        <f>'Impacts A'!G201-'Impacts B'!G201</f>
        <v>-1.5623536109246605E-5</v>
      </c>
      <c r="H201" s="35">
        <f>'Impacts A'!H201-'Impacts B'!H201</f>
        <v>-1.7749292822527574E-5</v>
      </c>
      <c r="I201" s="35">
        <f>'Impacts A'!I201-'Impacts B'!I201</f>
        <v>-2.1126927888581726E-5</v>
      </c>
      <c r="J201" s="35">
        <f>'Impacts A'!J201-'Impacts B'!J201</f>
        <v>-2.263848706318683E-5</v>
      </c>
      <c r="K201" s="35">
        <f>'Impacts A'!K201-'Impacts B'!K201</f>
        <v>-1.7659627612132134E-5</v>
      </c>
      <c r="L201" s="35">
        <f>'Impacts A'!L201-'Impacts B'!L201</f>
        <v>-1.5305437072177241E-5</v>
      </c>
      <c r="M201" s="6"/>
      <c r="N201" s="84" t="s">
        <v>168</v>
      </c>
    </row>
    <row r="202" spans="1:16" x14ac:dyDescent="0.25">
      <c r="A202" t="str">
        <v>OT sea level</v>
      </c>
      <c r="C202" s="35">
        <f>'Impacts A'!C202-'Impacts B'!C202</f>
        <v>0</v>
      </c>
      <c r="D202" s="35">
        <f>'Impacts A'!D202-'Impacts B'!D202</f>
        <v>0</v>
      </c>
      <c r="E202" s="35">
        <f>'Impacts A'!E202-'Impacts B'!E202</f>
        <v>0</v>
      </c>
      <c r="F202" s="35">
        <f>'Impacts A'!F202-'Impacts B'!F202</f>
        <v>-1.4892943211525234E-5</v>
      </c>
      <c r="G202" s="35">
        <f>'Impacts A'!G202-'Impacts B'!G202</f>
        <v>-1.5537466027698565E-5</v>
      </c>
      <c r="H202" s="35">
        <f>'Impacts A'!H202-'Impacts B'!H202</f>
        <v>-1.6976948469304975E-5</v>
      </c>
      <c r="I202" s="35">
        <f>'Impacts A'!I202-'Impacts B'!I202</f>
        <v>-1.9089503393465712E-5</v>
      </c>
      <c r="J202" s="35">
        <f>'Impacts A'!J202-'Impacts B'!J202</f>
        <v>-1.965751339366717E-5</v>
      </c>
      <c r="K202" s="35">
        <f>'Impacts A'!K202-'Impacts B'!K202</f>
        <v>-1.493287964476897E-5</v>
      </c>
      <c r="L202" s="35">
        <f>'Impacts A'!L202-'Impacts B'!L202</f>
        <v>-1.2942320351094772E-5</v>
      </c>
      <c r="M202" s="6"/>
      <c r="N202" s="84" t="s">
        <v>168</v>
      </c>
    </row>
    <row r="203" spans="1:16" x14ac:dyDescent="0.25">
      <c r="A203" t="str">
        <v>EE sea level</v>
      </c>
      <c r="C203" s="35">
        <f>'Impacts A'!C203-'Impacts B'!C203</f>
        <v>0</v>
      </c>
      <c r="D203" s="35">
        <f>'Impacts A'!D203-'Impacts B'!D203</f>
        <v>0</v>
      </c>
      <c r="E203" s="35">
        <f>'Impacts A'!E203-'Impacts B'!E203</f>
        <v>0</v>
      </c>
      <c r="F203" s="35">
        <f>'Impacts A'!F203-'Impacts B'!F203</f>
        <v>-1.3621620297631087E-5</v>
      </c>
      <c r="G203" s="35">
        <f>'Impacts A'!G203-'Impacts B'!G203</f>
        <v>-1.4210161908501107E-5</v>
      </c>
      <c r="H203" s="35">
        <f>'Impacts A'!H203-'Impacts B'!H203</f>
        <v>-1.5526483944094949E-5</v>
      </c>
      <c r="I203" s="35">
        <f>'Impacts A'!I203-'Impacts B'!I203</f>
        <v>-1.7455517537484644E-5</v>
      </c>
      <c r="J203" s="35">
        <f>'Impacts A'!J203-'Impacts B'!J203</f>
        <v>-1.7976578846834457E-5</v>
      </c>
      <c r="K203" s="35">
        <f>'Impacts A'!K203-'Impacts B'!K203</f>
        <v>-1.3658652849357633E-5</v>
      </c>
      <c r="L203" s="35">
        <f>'Impacts A'!L203-'Impacts B'!L203</f>
        <v>-1.183857453257442E-5</v>
      </c>
      <c r="M203" s="6"/>
      <c r="N203" s="84" t="s">
        <v>168</v>
      </c>
    </row>
    <row r="204" spans="1:16" x14ac:dyDescent="0.25">
      <c r="A204" t="str">
        <v>CA sea level</v>
      </c>
      <c r="C204" s="35">
        <f>'Impacts A'!C204-'Impacts B'!C204</f>
        <v>0</v>
      </c>
      <c r="D204" s="35">
        <f>'Impacts A'!D204-'Impacts B'!D204</f>
        <v>-4.5620039488269981E-6</v>
      </c>
      <c r="E204" s="35">
        <f>'Impacts A'!E204-'Impacts B'!E204</f>
        <v>-1.4257230763425888E-5</v>
      </c>
      <c r="F204" s="35">
        <f>'Impacts A'!F204-'Impacts B'!F204</f>
        <v>-1.9802096046683815E-5</v>
      </c>
      <c r="G204" s="35">
        <f>'Impacts A'!G204-'Impacts B'!G204</f>
        <v>-2.4737348061909525E-5</v>
      </c>
      <c r="H204" s="35">
        <f>'Impacts A'!H204-'Impacts B'!H204</f>
        <v>-2.8666195903193081E-5</v>
      </c>
      <c r="I204" s="35">
        <f>'Impacts A'!I204-'Impacts B'!I204</f>
        <v>-3.3796999636237501E-5</v>
      </c>
      <c r="J204" s="35">
        <f>'Impacts A'!J204-'Impacts B'!J204</f>
        <v>-3.5440856536950172E-5</v>
      </c>
      <c r="K204" s="35">
        <f>'Impacts A'!K204-'Impacts B'!K204</f>
        <v>-2.7587342824930694E-5</v>
      </c>
      <c r="L204" s="35">
        <f>'Impacts A'!L204-'Impacts B'!L204</f>
        <v>-2.4046540263888971E-5</v>
      </c>
      <c r="M204" s="6"/>
      <c r="N204" s="84" t="s">
        <v>168</v>
      </c>
    </row>
    <row r="205" spans="1:16" x14ac:dyDescent="0.25">
      <c r="A205" t="str">
        <v>IA sea level</v>
      </c>
      <c r="C205" s="35">
        <f>'Impacts A'!C205-'Impacts B'!C205</f>
        <v>0</v>
      </c>
      <c r="D205" s="35">
        <f>'Impacts A'!D205-'Impacts B'!D205</f>
        <v>-5.4832306281005216E-6</v>
      </c>
      <c r="E205" s="35">
        <f>'Impacts A'!E205-'Impacts B'!E205</f>
        <v>-1.7136254215843749E-5</v>
      </c>
      <c r="F205" s="35">
        <f>'Impacts A'!F205-'Impacts B'!F205</f>
        <v>-2.3770787507537694E-5</v>
      </c>
      <c r="G205" s="35">
        <f>'Impacts A'!G205-'Impacts B'!G205</f>
        <v>-2.9750923349392E-5</v>
      </c>
      <c r="H205" s="35">
        <f>'Impacts A'!H205-'Impacts B'!H205</f>
        <v>-3.4515869615336925E-5</v>
      </c>
      <c r="I205" s="35">
        <f>'Impacts A'!I205-'Impacts B'!I205</f>
        <v>-4.0727824692554648E-5</v>
      </c>
      <c r="J205" s="35">
        <f>'Impacts A'!J205-'Impacts B'!J205</f>
        <v>-4.2653119862290367E-5</v>
      </c>
      <c r="K205" s="35">
        <f>'Impacts A'!K205-'Impacts B'!K205</f>
        <v>-3.3161456406416434E-5</v>
      </c>
      <c r="L205" s="35">
        <f>'Impacts A'!L205-'Impacts B'!L205</f>
        <v>-2.8907686219437068E-5</v>
      </c>
      <c r="M205" s="6"/>
      <c r="N205" s="84" t="s">
        <v>168</v>
      </c>
    </row>
    <row r="206" spans="1:16" x14ac:dyDescent="0.25">
      <c r="A206" t="str">
        <v>AF sea level</v>
      </c>
      <c r="C206" s="35">
        <f>'Impacts A'!C206-'Impacts B'!C206</f>
        <v>0</v>
      </c>
      <c r="D206" s="35">
        <f>'Impacts A'!D206-'Impacts B'!D206</f>
        <v>-3.4766447256640021E-6</v>
      </c>
      <c r="E206" s="35">
        <f>'Impacts A'!E206-'Impacts B'!E206</f>
        <v>-1.086455335530534E-5</v>
      </c>
      <c r="F206" s="35">
        <f>'Impacts A'!F206-'Impacts B'!F206</f>
        <v>-1.50768881189145E-5</v>
      </c>
      <c r="G206" s="35">
        <f>'Impacts A'!G206-'Impacts B'!G206</f>
        <v>-1.88629070801416E-5</v>
      </c>
      <c r="H206" s="35">
        <f>'Impacts A'!H206-'Impacts B'!H206</f>
        <v>-2.1886300838047656E-5</v>
      </c>
      <c r="I206" s="35">
        <f>'Impacts A'!I206-'Impacts B'!I206</f>
        <v>-2.5816073037532306E-5</v>
      </c>
      <c r="J206" s="35">
        <f>'Impacts A'!J206-'Impacts B'!J206</f>
        <v>-2.70324364660679E-5</v>
      </c>
      <c r="K206" s="35">
        <f>'Impacts A'!K206-'Impacts B'!K206</f>
        <v>-2.1023443216527937E-5</v>
      </c>
      <c r="L206" s="35">
        <f>'Impacts A'!L206-'Impacts B'!L206</f>
        <v>-1.8326588433703606E-5</v>
      </c>
      <c r="M206" s="6"/>
      <c r="N206" s="84" t="s">
        <v>168</v>
      </c>
    </row>
    <row r="207" spans="1:16" x14ac:dyDescent="0.25">
      <c r="A207" t="str">
        <v>LA sea level</v>
      </c>
      <c r="C207" s="35">
        <f>'Impacts A'!C207-'Impacts B'!C207</f>
        <v>0</v>
      </c>
      <c r="D207" s="35">
        <f>'Impacts A'!D207-'Impacts B'!D207</f>
        <v>-2.9008525519735873E-6</v>
      </c>
      <c r="E207" s="35">
        <f>'Impacts A'!E207-'Impacts B'!E207</f>
        <v>-9.065202766153635E-6</v>
      </c>
      <c r="F207" s="35">
        <f>'Impacts A'!F207-'Impacts B'!F207</f>
        <v>-1.2586620416560335E-5</v>
      </c>
      <c r="G207" s="35">
        <f>'Impacts A'!G207-'Impacts B'!G207</f>
        <v>-1.5722394916206639E-5</v>
      </c>
      <c r="H207" s="35">
        <f>'Impacts A'!H207-'Impacts B'!H207</f>
        <v>-1.8221500684478809E-5</v>
      </c>
      <c r="I207" s="35">
        <f>'Impacts A'!I207-'Impacts B'!I207</f>
        <v>-2.1481838045567248E-5</v>
      </c>
      <c r="J207" s="35">
        <f>'Impacts A'!J207-'Impacts B'!J207</f>
        <v>-2.2526965735847337E-5</v>
      </c>
      <c r="K207" s="35">
        <f>'Impacts A'!K207-'Impacts B'!K207</f>
        <v>-1.7539274474565048E-5</v>
      </c>
      <c r="L207" s="35">
        <f>'Impacts A'!L207-'Impacts B'!L207</f>
        <v>-1.5288506591826234E-5</v>
      </c>
      <c r="M207" s="6"/>
      <c r="N207" s="84" t="s">
        <v>168</v>
      </c>
    </row>
    <row r="208" spans="1:16" s="2" customFormat="1" ht="15" x14ac:dyDescent="0.4">
      <c r="A208" s="2" t="s">
        <v>279</v>
      </c>
      <c r="C208" s="2" t="s">
        <v>278</v>
      </c>
    </row>
    <row r="209" spans="1:15" x14ac:dyDescent="0.25">
      <c r="A209" t="str">
        <f t="array" ref="A209:A216">R_CODE&amp;" sea level"</f>
        <v>EU sea level</v>
      </c>
      <c r="C209" s="39">
        <f>'Impacts A'!C209-'Impacts B'!C209</f>
        <v>0</v>
      </c>
      <c r="D209" s="39">
        <f>'Impacts A'!D209-'Impacts B'!D209</f>
        <v>0</v>
      </c>
      <c r="E209" s="39">
        <f>'Impacts A'!E209-'Impacts B'!E209</f>
        <v>0</v>
      </c>
      <c r="F209" s="39">
        <f>'Impacts A'!F209-'Impacts B'!F209</f>
        <v>-1.5460572228745417E-5</v>
      </c>
      <c r="G209" s="39">
        <f>'Impacts A'!G209-'Impacts B'!G209</f>
        <v>-1.3946843816253773E-5</v>
      </c>
      <c r="H209" s="39">
        <f>'Impacts A'!H209-'Impacts B'!H209</f>
        <v>-1.2612547088633463E-5</v>
      </c>
      <c r="I209" s="39">
        <f>'Impacts A'!I209-'Impacts B'!I209</f>
        <v>-1.4931748494872998E-5</v>
      </c>
      <c r="J209" s="39">
        <f>'Impacts A'!J209-'Impacts B'!J209</f>
        <v>-1.5982322834146023E-5</v>
      </c>
      <c r="K209" s="39">
        <f>'Impacts A'!K209-'Impacts B'!K209</f>
        <v>-1.2050741602265269E-5</v>
      </c>
      <c r="L209" s="39">
        <f>'Impacts A'!L209-'Impacts B'!L209</f>
        <v>-2.3453620196844938E-5</v>
      </c>
      <c r="M209" s="6"/>
      <c r="N209" s="84" t="s">
        <v>168</v>
      </c>
    </row>
    <row r="210" spans="1:15" x14ac:dyDescent="0.25">
      <c r="A210" t="str">
        <v>US sea level</v>
      </c>
      <c r="C210" s="35">
        <f>'Impacts A'!C210-'Impacts B'!C210</f>
        <v>0</v>
      </c>
      <c r="D210" s="35">
        <f>'Impacts A'!D210-'Impacts B'!D210</f>
        <v>0</v>
      </c>
      <c r="E210" s="35">
        <f>'Impacts A'!E210-'Impacts B'!E210</f>
        <v>0</v>
      </c>
      <c r="F210" s="35">
        <f>'Impacts A'!F210-'Impacts B'!F210</f>
        <v>-1.0746746732015477E-5</v>
      </c>
      <c r="G210" s="35">
        <f>'Impacts A'!G210-'Impacts B'!G210</f>
        <v>-9.7647100682773935E-6</v>
      </c>
      <c r="H210" s="35">
        <f>'Impacts A'!H210-'Impacts B'!H210</f>
        <v>-8.8746464112637868E-6</v>
      </c>
      <c r="I210" s="35">
        <f>'Impacts A'!I210-'Impacts B'!I210</f>
        <v>-1.0563463944290863E-5</v>
      </c>
      <c r="J210" s="35">
        <f>'Impacts A'!J210-'Impacts B'!J210</f>
        <v>-1.1319243531593415E-5</v>
      </c>
      <c r="K210" s="35">
        <f>'Impacts A'!K210-'Impacts B'!K210</f>
        <v>-8.8298138060660669E-6</v>
      </c>
      <c r="L210" s="35">
        <f>'Impacts A'!L210-'Impacts B'!L210</f>
        <v>-1.7185179621015401E-5</v>
      </c>
      <c r="M210" s="6"/>
      <c r="N210" s="84" t="s">
        <v>168</v>
      </c>
    </row>
    <row r="211" spans="1:15" x14ac:dyDescent="0.25">
      <c r="A211" t="str">
        <v>OT sea level</v>
      </c>
      <c r="C211" s="35">
        <f>'Impacts A'!C211-'Impacts B'!C211</f>
        <v>0</v>
      </c>
      <c r="D211" s="35">
        <f>'Impacts A'!D211-'Impacts B'!D211</f>
        <v>0</v>
      </c>
      <c r="E211" s="35">
        <f>'Impacts A'!E211-'Impacts B'!E211</f>
        <v>0</v>
      </c>
      <c r="F211" s="35">
        <f>'Impacts A'!F211-'Impacts B'!F211</f>
        <v>-1.1169707408650864E-5</v>
      </c>
      <c r="G211" s="35">
        <f>'Impacts A'!G211-'Impacts B'!G211</f>
        <v>-9.710916267308134E-6</v>
      </c>
      <c r="H211" s="35">
        <f>'Impacts A'!H211-'Impacts B'!H211</f>
        <v>-8.4884742346524877E-6</v>
      </c>
      <c r="I211" s="35">
        <f>'Impacts A'!I211-'Impacts B'!I211</f>
        <v>-9.5447516967328561E-6</v>
      </c>
      <c r="J211" s="35">
        <f>'Impacts A'!J211-'Impacts B'!J211</f>
        <v>-9.8287566968335849E-6</v>
      </c>
      <c r="K211" s="35">
        <f>'Impacts A'!K211-'Impacts B'!K211</f>
        <v>-7.4664398223844852E-6</v>
      </c>
      <c r="L211" s="35">
        <f>'Impacts A'!L211-'Impacts B'!L211</f>
        <v>-1.4531835902331647E-5</v>
      </c>
      <c r="M211" s="6"/>
      <c r="N211" s="84" t="s">
        <v>168</v>
      </c>
    </row>
    <row r="212" spans="1:15" x14ac:dyDescent="0.25">
      <c r="A212" t="str">
        <v>EE sea level</v>
      </c>
      <c r="C212" s="35">
        <f>'Impacts A'!C212-'Impacts B'!C212</f>
        <v>0</v>
      </c>
      <c r="D212" s="35">
        <f>'Impacts A'!D212-'Impacts B'!D212</f>
        <v>0</v>
      </c>
      <c r="E212" s="35">
        <f>'Impacts A'!E212-'Impacts B'!E212</f>
        <v>0</v>
      </c>
      <c r="F212" s="35">
        <f>'Impacts A'!F212-'Impacts B'!F212</f>
        <v>-1.0216215223221581E-5</v>
      </c>
      <c r="G212" s="35">
        <f>'Impacts A'!G212-'Impacts B'!G212</f>
        <v>-8.8813511928131916E-6</v>
      </c>
      <c r="H212" s="35">
        <f>'Impacts A'!H212-'Impacts B'!H212</f>
        <v>-7.7632419720474743E-6</v>
      </c>
      <c r="I212" s="35">
        <f>'Impacts A'!I212-'Impacts B'!I212</f>
        <v>-8.7277587687423219E-6</v>
      </c>
      <c r="J212" s="35">
        <f>'Impacts A'!J212-'Impacts B'!J212</f>
        <v>-8.9882894234172284E-6</v>
      </c>
      <c r="K212" s="35">
        <f>'Impacts A'!K212-'Impacts B'!K212</f>
        <v>-6.8293264246788166E-6</v>
      </c>
      <c r="L212" s="35">
        <f>'Impacts A'!L212-'Impacts B'!L212</f>
        <v>-1.3292533159292574E-5</v>
      </c>
      <c r="M212" s="6"/>
      <c r="N212" s="84" t="s">
        <v>168</v>
      </c>
    </row>
    <row r="213" spans="1:15" x14ac:dyDescent="0.25">
      <c r="A213" t="str">
        <v>CA sea level</v>
      </c>
      <c r="C213" s="35">
        <f>'Impacts A'!C213-'Impacts B'!C213</f>
        <v>0</v>
      </c>
      <c r="D213" s="35">
        <f>'Impacts A'!D213-'Impacts B'!D213</f>
        <v>-4.5620039488269981E-6</v>
      </c>
      <c r="E213" s="35">
        <f>'Impacts A'!E213-'Impacts B'!E213</f>
        <v>-1.3366153840732586E-5</v>
      </c>
      <c r="F213" s="35">
        <f>'Impacts A'!F213-'Impacts B'!F213</f>
        <v>-1.7326834040848338E-5</v>
      </c>
      <c r="G213" s="35">
        <f>'Impacts A'!G213-'Impacts B'!G213</f>
        <v>-2.0099095300318837E-5</v>
      </c>
      <c r="H213" s="35">
        <f>'Impacts A'!H213-'Impacts B'!H213</f>
        <v>-2.1499646927436444E-5</v>
      </c>
      <c r="I213" s="35">
        <f>'Impacts A'!I213-'Impacts B'!I213</f>
        <v>-2.5347749727178126E-5</v>
      </c>
      <c r="J213" s="35">
        <f>'Impacts A'!J213-'Impacts B'!J213</f>
        <v>-2.6580642402740384E-5</v>
      </c>
      <c r="K213" s="35">
        <f>'Impacts A'!K213-'Impacts B'!K213</f>
        <v>-2.0690507118725776E-5</v>
      </c>
      <c r="L213" s="35">
        <f>'Impacts A'!L213-'Impacts B'!L213</f>
        <v>-2.5474939281511233E-5</v>
      </c>
      <c r="M213" s="6"/>
      <c r="N213" s="84" t="s">
        <v>168</v>
      </c>
    </row>
    <row r="214" spans="1:15" x14ac:dyDescent="0.25">
      <c r="A214" t="str">
        <v>IA sea level</v>
      </c>
      <c r="C214" s="35">
        <f>'Impacts A'!C214-'Impacts B'!C214</f>
        <v>0</v>
      </c>
      <c r="D214" s="35">
        <f>'Impacts A'!D214-'Impacts B'!D214</f>
        <v>-5.4832306281005216E-6</v>
      </c>
      <c r="E214" s="35">
        <f>'Impacts A'!E214-'Impacts B'!E214</f>
        <v>-1.6065238327339637E-5</v>
      </c>
      <c r="F214" s="35">
        <f>'Impacts A'!F214-'Impacts B'!F214</f>
        <v>-2.0799439069074666E-5</v>
      </c>
      <c r="G214" s="35">
        <f>'Impacts A'!G214-'Impacts B'!G214</f>
        <v>-2.4172625221419164E-5</v>
      </c>
      <c r="H214" s="35">
        <f>'Impacts A'!H214-'Impacts B'!H214</f>
        <v>-2.5886902211502694E-5</v>
      </c>
      <c r="I214" s="35">
        <f>'Impacts A'!I214-'Impacts B'!I214</f>
        <v>-3.0545868519415986E-5</v>
      </c>
      <c r="J214" s="35">
        <f>'Impacts A'!J214-'Impacts B'!J214</f>
        <v>-3.1989839896717776E-5</v>
      </c>
      <c r="K214" s="35">
        <f>'Impacts A'!K214-'Impacts B'!K214</f>
        <v>-2.4871092304756814E-5</v>
      </c>
      <c r="L214" s="35">
        <f>'Impacts A'!L214-'Impacts B'!L214</f>
        <v>-3.062484428650869E-5</v>
      </c>
      <c r="M214" s="6"/>
      <c r="N214" s="84" t="s">
        <v>168</v>
      </c>
    </row>
    <row r="215" spans="1:15" x14ac:dyDescent="0.25">
      <c r="A215" t="str">
        <v>AF sea level</v>
      </c>
      <c r="C215" s="35">
        <f>'Impacts A'!C215-'Impacts B'!C215</f>
        <v>0</v>
      </c>
      <c r="D215" s="35">
        <f>'Impacts A'!D215-'Impacts B'!D215</f>
        <v>-3.4766447256640021E-6</v>
      </c>
      <c r="E215" s="35">
        <f>'Impacts A'!E215-'Impacts B'!E215</f>
        <v>-1.0185518770591817E-5</v>
      </c>
      <c r="F215" s="35">
        <f>'Impacts A'!F215-'Impacts B'!F215</f>
        <v>-1.3192277104057126E-5</v>
      </c>
      <c r="G215" s="35">
        <f>'Impacts A'!G215-'Impacts B'!G215</f>
        <v>-1.532611200261158E-5</v>
      </c>
      <c r="H215" s="35">
        <f>'Impacts A'!H215-'Impacts B'!H215</f>
        <v>-1.641472562854962E-5</v>
      </c>
      <c r="I215" s="35">
        <f>'Impacts A'!I215-'Impacts B'!I215</f>
        <v>-1.9362054778149229E-5</v>
      </c>
      <c r="J215" s="35">
        <f>'Impacts A'!J215-'Impacts B'!J215</f>
        <v>-2.027432734957868E-5</v>
      </c>
      <c r="K215" s="35">
        <f>'Impacts A'!K215-'Impacts B'!K215</f>
        <v>-1.5767582412395953E-5</v>
      </c>
      <c r="L215" s="35">
        <f>'Impacts A'!L215-'Impacts B'!L215</f>
        <v>-1.9415214099871569E-5</v>
      </c>
      <c r="M215" s="6"/>
      <c r="N215" s="84" t="s">
        <v>168</v>
      </c>
    </row>
    <row r="216" spans="1:15" x14ac:dyDescent="0.25">
      <c r="A216" t="str">
        <v>LA sea level</v>
      </c>
      <c r="C216" s="35">
        <f>'Impacts A'!C216-'Impacts B'!C216</f>
        <v>0</v>
      </c>
      <c r="D216" s="35">
        <f>'Impacts A'!D216-'Impacts B'!D216</f>
        <v>-2.9008525519735873E-6</v>
      </c>
      <c r="E216" s="35">
        <f>'Impacts A'!E216-'Impacts B'!E216</f>
        <v>-8.498627593264696E-6</v>
      </c>
      <c r="F216" s="35">
        <f>'Impacts A'!F216-'Impacts B'!F216</f>
        <v>-1.1013292864486823E-5</v>
      </c>
      <c r="G216" s="35">
        <f>'Impacts A'!G216-'Impacts B'!G216</f>
        <v>-1.2774445869417894E-5</v>
      </c>
      <c r="H216" s="35">
        <f>'Impacts A'!H216-'Impacts B'!H216</f>
        <v>-1.3666125513372984E-5</v>
      </c>
      <c r="I216" s="35">
        <f>'Impacts A'!I216-'Impacts B'!I216</f>
        <v>-1.6111378534189313E-5</v>
      </c>
      <c r="J216" s="35">
        <f>'Impacts A'!J216-'Impacts B'!J216</f>
        <v>-1.6895224301871625E-5</v>
      </c>
      <c r="K216" s="35">
        <f>'Impacts A'!K216-'Impacts B'!K216</f>
        <v>-1.3154455855923786E-5</v>
      </c>
      <c r="L216" s="35">
        <f>'Impacts A'!L216-'Impacts B'!L216</f>
        <v>-1.6196665834633528E-5</v>
      </c>
      <c r="M216" s="6"/>
      <c r="N216" s="84" t="s">
        <v>168</v>
      </c>
    </row>
    <row r="217" spans="1:15" s="2" customFormat="1" ht="15" x14ac:dyDescent="0.4">
      <c r="A217" s="2" t="s">
        <v>280</v>
      </c>
      <c r="C217" s="2" t="s">
        <v>281</v>
      </c>
    </row>
    <row r="218" spans="1:15" x14ac:dyDescent="0.25">
      <c r="A218" t="str">
        <f t="array" ref="A218:A225">R_CODE&amp;" sea level"</f>
        <v>EU sea level</v>
      </c>
      <c r="C218" s="39">
        <f>'Impacts A'!C218-'Impacts B'!C218</f>
        <v>0</v>
      </c>
      <c r="D218" s="39">
        <f>'Impacts A'!D218-'Impacts B'!D218</f>
        <v>0</v>
      </c>
      <c r="E218" s="39">
        <f>'Impacts A'!E218-'Impacts B'!E218</f>
        <v>0</v>
      </c>
      <c r="F218" s="39">
        <f>'Impacts A'!F218-'Impacts B'!F218</f>
        <v>-5.3227432793754303E-3</v>
      </c>
      <c r="G218" s="39">
        <f>'Impacts A'!G218-'Impacts B'!G218</f>
        <v>-5.4182961239845895E-3</v>
      </c>
      <c r="H218" s="39">
        <f>'Impacts A'!H218-'Impacts B'!H218</f>
        <v>-5.5264102664125403E-3</v>
      </c>
      <c r="I218" s="39">
        <f>'Impacts A'!I218-'Impacts B'!I218</f>
        <v>-8.2675752310166217E-3</v>
      </c>
      <c r="J218" s="39">
        <f>'Impacts A'!J218-'Impacts B'!J218</f>
        <v>-1.1107756010346748E-2</v>
      </c>
      <c r="K218" s="39">
        <f>'Impacts A'!K218-'Impacts B'!K218</f>
        <v>-2.6246342951935731E-2</v>
      </c>
      <c r="L218" s="39">
        <f>'Impacts A'!L218-'Impacts B'!L218</f>
        <v>-7.2310154216438605E-2</v>
      </c>
      <c r="M218" s="6"/>
      <c r="N218" s="1" t="str">
        <f t="shared" ref="N218:N225" si="6">CURRENCY_NAME&amp;"/"&amp;POP_UNIT_NAME</f>
        <v>$million/million</v>
      </c>
      <c r="O218" s="1"/>
    </row>
    <row r="219" spans="1:15" x14ac:dyDescent="0.25">
      <c r="A219" t="str">
        <v>US sea level</v>
      </c>
      <c r="C219" s="35">
        <f>'Impacts A'!C219-'Impacts B'!C219</f>
        <v>0</v>
      </c>
      <c r="D219" s="35">
        <f>'Impacts A'!D219-'Impacts B'!D219</f>
        <v>0</v>
      </c>
      <c r="E219" s="35">
        <f>'Impacts A'!E219-'Impacts B'!E219</f>
        <v>0</v>
      </c>
      <c r="F219" s="35">
        <f>'Impacts A'!F219-'Impacts B'!F219</f>
        <v>-5.9108339667375276E-3</v>
      </c>
      <c r="G219" s="35">
        <f>'Impacts A'!G219-'Impacts B'!G219</f>
        <v>-5.9165434397385752E-3</v>
      </c>
      <c r="H219" s="35">
        <f>'Impacts A'!H219-'Impacts B'!H219</f>
        <v>-5.9648172735009553E-3</v>
      </c>
      <c r="I219" s="35">
        <f>'Impacts A'!I219-'Impacts B'!I219</f>
        <v>-8.8116013323116249E-3</v>
      </c>
      <c r="J219" s="35">
        <f>'Impacts A'!J219-'Impacts B'!J219</f>
        <v>-1.180806613493246E-2</v>
      </c>
      <c r="K219" s="35">
        <f>'Impacts A'!K219-'Impacts B'!K219</f>
        <v>-2.5773928678063385E-2</v>
      </c>
      <c r="L219" s="35">
        <f>'Impacts A'!L219-'Impacts B'!L219</f>
        <v>-7.1006178449124491E-2</v>
      </c>
      <c r="M219" s="6"/>
      <c r="N219" s="1" t="str">
        <f t="shared" si="6"/>
        <v>$million/million</v>
      </c>
      <c r="O219" s="1"/>
    </row>
    <row r="220" spans="1:15" x14ac:dyDescent="0.25">
      <c r="A220" t="str">
        <v>OT sea level</v>
      </c>
      <c r="C220" s="35">
        <f>'Impacts A'!C220-'Impacts B'!C220</f>
        <v>0</v>
      </c>
      <c r="D220" s="35">
        <f>'Impacts A'!D220-'Impacts B'!D220</f>
        <v>0</v>
      </c>
      <c r="E220" s="35">
        <f>'Impacts A'!E220-'Impacts B'!E220</f>
        <v>0</v>
      </c>
      <c r="F220" s="35">
        <f>'Impacts A'!F220-'Impacts B'!F220</f>
        <v>-5.4017058827362519E-3</v>
      </c>
      <c r="G220" s="35">
        <f>'Impacts A'!G220-'Impacts B'!G220</f>
        <v>-5.9933005733654454E-3</v>
      </c>
      <c r="H220" s="35">
        <f>'Impacts A'!H220-'Impacts B'!H220</f>
        <v>-6.6172945498053082E-3</v>
      </c>
      <c r="I220" s="35">
        <f>'Impacts A'!I220-'Impacts B'!I220</f>
        <v>-1.1163974913927177E-2</v>
      </c>
      <c r="J220" s="35">
        <f>'Impacts A'!J220-'Impacts B'!J220</f>
        <v>-1.6415572053574579E-2</v>
      </c>
      <c r="K220" s="35">
        <f>'Impacts A'!K220-'Impacts B'!K220</f>
        <v>-3.8118508662591921E-2</v>
      </c>
      <c r="L220" s="35">
        <f>'Impacts A'!L220-'Impacts B'!L220</f>
        <v>-0.10501254519476788</v>
      </c>
      <c r="M220" s="6"/>
      <c r="N220" s="1" t="str">
        <f t="shared" si="6"/>
        <v>$million/million</v>
      </c>
      <c r="O220" s="1"/>
    </row>
    <row r="221" spans="1:15" x14ac:dyDescent="0.25">
      <c r="A221" t="str">
        <v>EE sea level</v>
      </c>
      <c r="C221" s="35">
        <f>'Impacts A'!C221-'Impacts B'!C221</f>
        <v>0</v>
      </c>
      <c r="D221" s="35">
        <f>'Impacts A'!D221-'Impacts B'!D221</f>
        <v>0</v>
      </c>
      <c r="E221" s="35">
        <f>'Impacts A'!E221-'Impacts B'!E221</f>
        <v>0</v>
      </c>
      <c r="F221" s="35">
        <f>'Impacts A'!F221-'Impacts B'!F221</f>
        <v>-6.5996118828826056E-4</v>
      </c>
      <c r="G221" s="35">
        <f>'Impacts A'!G221-'Impacts B'!G221</f>
        <v>-7.3235580250319288E-4</v>
      </c>
      <c r="H221" s="35">
        <f>'Impacts A'!H221-'Impacts B'!H221</f>
        <v>-8.0862843431983578E-4</v>
      </c>
      <c r="I221" s="35">
        <f>'Impacts A'!I221-'Impacts B'!I221</f>
        <v>-1.3647820491513585E-3</v>
      </c>
      <c r="J221" s="35">
        <f>'Impacts A'!J221-'Impacts B'!J221</f>
        <v>-2.0063481117134074E-3</v>
      </c>
      <c r="K221" s="35">
        <f>'Impacts A'!K221-'Impacts B'!K221</f>
        <v>-4.6567816712581589E-3</v>
      </c>
      <c r="L221" s="35">
        <f>'Impacts A'!L221-'Impacts B'!L221</f>
        <v>-1.2827368622083668E-2</v>
      </c>
      <c r="M221" s="6"/>
      <c r="N221" s="1" t="str">
        <f t="shared" si="6"/>
        <v>$million/million</v>
      </c>
      <c r="O221" s="1"/>
    </row>
    <row r="222" spans="1:15" x14ac:dyDescent="0.25">
      <c r="A222" t="str">
        <v>CA sea level</v>
      </c>
      <c r="C222" s="35">
        <f>'Impacts A'!C222-'Impacts B'!C222</f>
        <v>0</v>
      </c>
      <c r="D222" s="35">
        <f>'Impacts A'!D222-'Impacts B'!D222</f>
        <v>-1.6032813040034455E-4</v>
      </c>
      <c r="E222" s="35">
        <f>'Impacts A'!E222-'Impacts B'!E222</f>
        <v>-6.1290963312643498E-4</v>
      </c>
      <c r="F222" s="35">
        <f>'Impacts A'!F222-'Impacts B'!F222</f>
        <v>-1.0370421868586277E-3</v>
      </c>
      <c r="G222" s="35">
        <f>'Impacts A'!G222-'Impacts B'!G222</f>
        <v>-1.5282444014665941E-3</v>
      </c>
      <c r="H222" s="35">
        <f>'Impacts A'!H222-'Impacts B'!H222</f>
        <v>-2.0566864448348099E-3</v>
      </c>
      <c r="I222" s="35">
        <f>'Impacts A'!I222-'Impacts B'!I222</f>
        <v>-3.6304748282276478E-3</v>
      </c>
      <c r="J222" s="35">
        <f>'Impacts A'!J222-'Impacts B'!J222</f>
        <v>-5.4527502263539418E-3</v>
      </c>
      <c r="K222" s="35">
        <f>'Impacts A'!K222-'Impacts B'!K222</f>
        <v>-1.3012475132256895E-2</v>
      </c>
      <c r="L222" s="35">
        <f>'Impacts A'!L222-'Impacts B'!L222</f>
        <v>-2.2667806573053895E-2</v>
      </c>
      <c r="M222" s="6"/>
      <c r="N222" s="1" t="str">
        <f t="shared" si="6"/>
        <v>$million/million</v>
      </c>
      <c r="O222" s="1"/>
    </row>
    <row r="223" spans="1:15" x14ac:dyDescent="0.25">
      <c r="A223" t="str">
        <v>IA sea level</v>
      </c>
      <c r="C223" s="35">
        <f>'Impacts A'!C223-'Impacts B'!C223</f>
        <v>0</v>
      </c>
      <c r="D223" s="35">
        <f>'Impacts A'!D223-'Impacts B'!D223</f>
        <v>-1.0438090646225362E-4</v>
      </c>
      <c r="E223" s="35">
        <f>'Impacts A'!E223-'Impacts B'!E223</f>
        <v>-3.9903235102123347E-4</v>
      </c>
      <c r="F223" s="35">
        <f>'Impacts A'!F223-'Impacts B'!F223</f>
        <v>-6.7715403992352208E-4</v>
      </c>
      <c r="G223" s="35">
        <f>'Impacts A'!G223-'Impacts B'!G223</f>
        <v>-9.9353329395057699E-4</v>
      </c>
      <c r="H223" s="35">
        <f>'Impacts A'!H223-'Impacts B'!H223</f>
        <v>-1.3334835322247329E-3</v>
      </c>
      <c r="I223" s="35">
        <f>'Impacts A'!I223-'Impacts B'!I223</f>
        <v>-2.349270032432571E-3</v>
      </c>
      <c r="J223" s="35">
        <f>'Impacts A'!J223-'Impacts B'!J223</f>
        <v>-3.5392145094661487E-3</v>
      </c>
      <c r="K223" s="35">
        <f>'Impacts A'!K223-'Impacts B'!K223</f>
        <v>-8.4697623157694579E-3</v>
      </c>
      <c r="L223" s="35">
        <f>'Impacts A'!L223-'Impacts B'!L223</f>
        <v>-1.4751441374983187E-2</v>
      </c>
      <c r="M223" s="6"/>
      <c r="N223" s="1" t="str">
        <f t="shared" si="6"/>
        <v>$million/million</v>
      </c>
      <c r="O223" s="1"/>
    </row>
    <row r="224" spans="1:15" x14ac:dyDescent="0.25">
      <c r="A224" t="str">
        <v>AF sea level</v>
      </c>
      <c r="C224" s="35">
        <f>'Impacts A'!C224-'Impacts B'!C224</f>
        <v>0</v>
      </c>
      <c r="D224" s="35">
        <f>'Impacts A'!D224-'Impacts B'!D224</f>
        <v>-1.1584298563782625E-4</v>
      </c>
      <c r="E224" s="35">
        <f>'Impacts A'!E224-'Impacts B'!E224</f>
        <v>-4.429163338270925E-4</v>
      </c>
      <c r="F224" s="35">
        <f>'Impacts A'!F224-'Impacts B'!F224</f>
        <v>-7.5092982401336883E-4</v>
      </c>
      <c r="G224" s="35">
        <f>'Impacts A'!G224-'Impacts B'!G224</f>
        <v>-1.1027258574678456E-3</v>
      </c>
      <c r="H224" s="35">
        <f>'Impacts A'!H224-'Impacts B'!H224</f>
        <v>-1.4796770241503054E-3</v>
      </c>
      <c r="I224" s="35">
        <f>'Impacts A'!I224-'Impacts B'!I224</f>
        <v>-2.6089928875236978E-3</v>
      </c>
      <c r="J224" s="35">
        <f>'Impacts A'!J224-'Impacts B'!J224</f>
        <v>-3.9318552901619341E-3</v>
      </c>
      <c r="K224" s="35">
        <f>'Impacts A'!K224-'Impacts B'!K224</f>
        <v>-9.4025326536097964E-3</v>
      </c>
      <c r="L224" s="35">
        <f>'Impacts A'!L224-'Impacts B'!L224</f>
        <v>-1.6376181670693768E-2</v>
      </c>
      <c r="M224" s="6"/>
      <c r="N224" s="1" t="str">
        <f t="shared" si="6"/>
        <v>$million/million</v>
      </c>
      <c r="O224" s="1"/>
    </row>
    <row r="225" spans="1:15" x14ac:dyDescent="0.25">
      <c r="A225" t="str">
        <v>LA sea level</v>
      </c>
      <c r="C225" s="35">
        <f>'Impacts A'!C225-'Impacts B'!C225</f>
        <v>0</v>
      </c>
      <c r="D225" s="35">
        <f>'Impacts A'!D225-'Impacts B'!D225</f>
        <v>-1.7674641419951342E-4</v>
      </c>
      <c r="E225" s="35">
        <f>'Impacts A'!E225-'Impacts B'!E225</f>
        <v>-6.7577458855971884E-4</v>
      </c>
      <c r="F225" s="35">
        <f>'Impacts A'!F225-'Impacts B'!F225</f>
        <v>-1.1442968422876731E-3</v>
      </c>
      <c r="G225" s="35">
        <f>'Impacts A'!G225-'Impacts B'!G225</f>
        <v>-1.6865946403541443E-3</v>
      </c>
      <c r="H225" s="35">
        <f>'Impacts A'!H225-'Impacts B'!H225</f>
        <v>-2.2692000453545802E-3</v>
      </c>
      <c r="I225" s="35">
        <f>'Impacts A'!I225-'Impacts B'!I225</f>
        <v>-4.0060524297444999E-3</v>
      </c>
      <c r="J225" s="35">
        <f>'Impacts A'!J225-'Impacts B'!J225</f>
        <v>-6.0166766839131469E-3</v>
      </c>
      <c r="K225" s="35">
        <f>'Impacts A'!K225-'Impacts B'!K225</f>
        <v>-1.4350268743726247E-2</v>
      </c>
      <c r="L225" s="35">
        <f>'Impacts A'!L225-'Impacts B'!L225</f>
        <v>-2.4996812099516319E-2</v>
      </c>
      <c r="M225" s="6"/>
      <c r="N225" s="1" t="str">
        <f t="shared" si="6"/>
        <v>$million/million</v>
      </c>
      <c r="O225" s="1"/>
    </row>
    <row r="226" spans="1:15" s="2" customFormat="1" ht="15" x14ac:dyDescent="0.4">
      <c r="A226" s="2" t="s">
        <v>282</v>
      </c>
      <c r="C226" s="2" t="s">
        <v>283</v>
      </c>
    </row>
    <row r="227" spans="1:15" x14ac:dyDescent="0.25">
      <c r="A227" t="str">
        <f t="array" ref="A227:A234">R_CODE&amp;" sea level"</f>
        <v>EU sea level</v>
      </c>
      <c r="C227" s="39">
        <f>'Impacts A'!C227-'Impacts B'!C227</f>
        <v>0</v>
      </c>
      <c r="D227" s="39">
        <f>'Impacts A'!D227-'Impacts B'!D227</f>
        <v>0</v>
      </c>
      <c r="E227" s="39">
        <f>'Impacts A'!E227-'Impacts B'!E227</f>
        <v>0</v>
      </c>
      <c r="F227" s="39">
        <f>'Impacts A'!F227-'Impacts B'!F227</f>
        <v>5.322743279975839E-3</v>
      </c>
      <c r="G227" s="39">
        <f>'Impacts A'!G227-'Impacts B'!G227</f>
        <v>5.4182961248443462E-3</v>
      </c>
      <c r="H227" s="39">
        <f>'Impacts A'!H227-'Impacts B'!H227</f>
        <v>5.5264102702494711E-3</v>
      </c>
      <c r="I227" s="39">
        <f>'Impacts A'!I227-'Impacts B'!I227</f>
        <v>8.2675752346403897E-3</v>
      </c>
      <c r="J227" s="39">
        <f>'Impacts A'!J227-'Impacts B'!J227</f>
        <v>1.1107756006822456E-2</v>
      </c>
      <c r="K227" s="39">
        <f>'Impacts A'!K227-'Impacts B'!K227</f>
        <v>2.6246342953527346E-2</v>
      </c>
      <c r="L227" s="39">
        <f>'Impacts A'!L227-'Impacts B'!L227</f>
        <v>7.2310154209844768E-2</v>
      </c>
      <c r="M227" s="6"/>
      <c r="N227" s="1" t="str">
        <f t="shared" ref="N227:N234" si="7">CURRENCY_NAME&amp;"/"&amp;POP_UNIT_NAME</f>
        <v>$million/million</v>
      </c>
      <c r="O227" s="1"/>
    </row>
    <row r="228" spans="1:15" x14ac:dyDescent="0.25">
      <c r="A228" t="str">
        <v>US sea level</v>
      </c>
      <c r="C228" s="35">
        <f>'Impacts A'!C228-'Impacts B'!C228</f>
        <v>0</v>
      </c>
      <c r="D228" s="35">
        <f>'Impacts A'!D228-'Impacts B'!D228</f>
        <v>0</v>
      </c>
      <c r="E228" s="35">
        <f>'Impacts A'!E228-'Impacts B'!E228</f>
        <v>0</v>
      </c>
      <c r="F228" s="35">
        <f>'Impacts A'!F228-'Impacts B'!F228</f>
        <v>5.910833970119711E-3</v>
      </c>
      <c r="G228" s="35">
        <f>'Impacts A'!G228-'Impacts B'!G228</f>
        <v>5.9165434358874336E-3</v>
      </c>
      <c r="H228" s="35">
        <f>'Impacts A'!H228-'Impacts B'!H228</f>
        <v>5.964817275526002E-3</v>
      </c>
      <c r="I228" s="35">
        <f>'Impacts A'!I228-'Impacts B'!I228</f>
        <v>8.8116013357648626E-3</v>
      </c>
      <c r="J228" s="35">
        <f>'Impacts A'!J228-'Impacts B'!J228</f>
        <v>1.180806613410823E-2</v>
      </c>
      <c r="K228" s="35">
        <f>'Impacts A'!K228-'Impacts B'!K228</f>
        <v>2.5773928675334901E-2</v>
      </c>
      <c r="L228" s="35">
        <f>'Impacts A'!L228-'Impacts B'!L228</f>
        <v>7.100617844844237E-2</v>
      </c>
      <c r="M228" s="6"/>
      <c r="N228" s="1" t="str">
        <f t="shared" si="7"/>
        <v>$million/million</v>
      </c>
      <c r="O228" s="1"/>
    </row>
    <row r="229" spans="1:15" x14ac:dyDescent="0.25">
      <c r="A229" t="str">
        <v>OT sea level</v>
      </c>
      <c r="C229" s="35">
        <f>'Impacts A'!C229-'Impacts B'!C229</f>
        <v>0</v>
      </c>
      <c r="D229" s="35">
        <f>'Impacts A'!D229-'Impacts B'!D229</f>
        <v>0</v>
      </c>
      <c r="E229" s="35">
        <f>'Impacts A'!E229-'Impacts B'!E229</f>
        <v>0</v>
      </c>
      <c r="F229" s="35">
        <f>'Impacts A'!F229-'Impacts B'!F229</f>
        <v>5.4017058864701539E-3</v>
      </c>
      <c r="G229" s="35">
        <f>'Impacts A'!G229-'Impacts B'!G229</f>
        <v>5.9933005759376101E-3</v>
      </c>
      <c r="H229" s="35">
        <f>'Impacts A'!H229-'Impacts B'!H229</f>
        <v>6.6172945516882464E-3</v>
      </c>
      <c r="I229" s="35">
        <f>'Impacts A'!I229-'Impacts B'!I229</f>
        <v>1.1163974922965281E-2</v>
      </c>
      <c r="J229" s="35">
        <f>'Impacts A'!J229-'Impacts B'!J229</f>
        <v>1.6415572055848315E-2</v>
      </c>
      <c r="K229" s="35">
        <f>'Impacts A'!K229-'Impacts B'!K229</f>
        <v>3.8118508644402027E-2</v>
      </c>
      <c r="L229" s="35">
        <f>'Impacts A'!L229-'Impacts B'!L229</f>
        <v>0.10501254512928426</v>
      </c>
      <c r="M229" s="6"/>
      <c r="N229" s="1" t="str">
        <f t="shared" si="7"/>
        <v>$million/million</v>
      </c>
      <c r="O229" s="1"/>
    </row>
    <row r="230" spans="1:15" x14ac:dyDescent="0.25">
      <c r="A230" t="str">
        <v>EE sea level</v>
      </c>
      <c r="C230" s="35">
        <f>'Impacts A'!C230-'Impacts B'!C230</f>
        <v>0</v>
      </c>
      <c r="D230" s="35">
        <f>'Impacts A'!D230-'Impacts B'!D230</f>
        <v>0</v>
      </c>
      <c r="E230" s="35">
        <f>'Impacts A'!E230-'Impacts B'!E230</f>
        <v>0</v>
      </c>
      <c r="F230" s="35">
        <f>'Impacts A'!F230-'Impacts B'!F230</f>
        <v>6.5996118792099878E-4</v>
      </c>
      <c r="G230" s="35">
        <f>'Impacts A'!G230-'Impacts B'!G230</f>
        <v>7.323558020289056E-4</v>
      </c>
      <c r="H230" s="35">
        <f>'Impacts A'!H230-'Impacts B'!H230</f>
        <v>8.0862843424256425E-4</v>
      </c>
      <c r="I230" s="35">
        <f>'Impacts A'!I230-'Impacts B'!I230</f>
        <v>1.3647820505866548E-3</v>
      </c>
      <c r="J230" s="35">
        <f>'Impacts A'!J230-'Impacts B'!J230</f>
        <v>2.0063481097167823E-3</v>
      </c>
      <c r="K230" s="35">
        <f>'Impacts A'!K230-'Impacts B'!K230</f>
        <v>4.6567816752940416E-3</v>
      </c>
      <c r="L230" s="35">
        <f>'Impacts A'!L230-'Impacts B'!L230</f>
        <v>1.282736862776801E-2</v>
      </c>
      <c r="M230" s="6"/>
      <c r="N230" s="1" t="str">
        <f t="shared" si="7"/>
        <v>$million/million</v>
      </c>
      <c r="O230" s="1"/>
    </row>
    <row r="231" spans="1:15" x14ac:dyDescent="0.25">
      <c r="A231" t="str">
        <v>CA sea level</v>
      </c>
      <c r="C231" s="35">
        <f>'Impacts A'!C231-'Impacts B'!C231</f>
        <v>0</v>
      </c>
      <c r="D231" s="35">
        <f>'Impacts A'!D231-'Impacts B'!D231</f>
        <v>1.6032813027777593E-4</v>
      </c>
      <c r="E231" s="35">
        <f>'Impacts A'!E231-'Impacts B'!E231</f>
        <v>6.1290963321880554E-4</v>
      </c>
      <c r="F231" s="35">
        <f>'Impacts A'!F231-'Impacts B'!F231</f>
        <v>1.0370421869083657E-3</v>
      </c>
      <c r="G231" s="35">
        <f>'Impacts A'!G231-'Impacts B'!G231</f>
        <v>1.5282444019248942E-3</v>
      </c>
      <c r="H231" s="35">
        <f>'Impacts A'!H231-'Impacts B'!H231</f>
        <v>2.0566864441207144E-3</v>
      </c>
      <c r="I231" s="35">
        <f>'Impacts A'!I231-'Impacts B'!I231</f>
        <v>3.6304748282418586E-3</v>
      </c>
      <c r="J231" s="35">
        <f>'Impacts A'!J231-'Impacts B'!J231</f>
        <v>5.4527502252312843E-3</v>
      </c>
      <c r="K231" s="35">
        <f>'Impacts A'!K231-'Impacts B'!K231</f>
        <v>1.301247513765702E-2</v>
      </c>
      <c r="L231" s="35">
        <f>'Impacts A'!L231-'Impacts B'!L231</f>
        <v>2.2667806566460058E-2</v>
      </c>
      <c r="M231" s="6"/>
      <c r="N231" s="1" t="str">
        <f t="shared" si="7"/>
        <v>$million/million</v>
      </c>
      <c r="O231" s="1"/>
    </row>
    <row r="232" spans="1:15" x14ac:dyDescent="0.25">
      <c r="A232" t="str">
        <v>IA sea level</v>
      </c>
      <c r="C232" s="35">
        <f>'Impacts A'!C232-'Impacts B'!C232</f>
        <v>0</v>
      </c>
      <c r="D232" s="35">
        <f>'Impacts A'!D232-'Impacts B'!D232</f>
        <v>1.0438090657771681E-4</v>
      </c>
      <c r="E232" s="35">
        <f>'Impacts A'!E232-'Impacts B'!E232</f>
        <v>3.9903235119709279E-4</v>
      </c>
      <c r="F232" s="35">
        <f>'Impacts A'!F232-'Impacts B'!F232</f>
        <v>6.7715403974943911E-4</v>
      </c>
      <c r="G232" s="35">
        <f>'Impacts A'!G232-'Impacts B'!G232</f>
        <v>9.9353329369478161E-4</v>
      </c>
      <c r="H232" s="35">
        <f>'Impacts A'!H232-'Impacts B'!H232</f>
        <v>1.3334835321074934E-3</v>
      </c>
      <c r="I232" s="35">
        <f>'Impacts A'!I232-'Impacts B'!I232</f>
        <v>2.3492700329370564E-3</v>
      </c>
      <c r="J232" s="35">
        <f>'Impacts A'!J232-'Impacts B'!J232</f>
        <v>3.5392145091464045E-3</v>
      </c>
      <c r="K232" s="35">
        <f>'Impacts A'!K232-'Impacts B'!K232</f>
        <v>8.4697623133251909E-3</v>
      </c>
      <c r="L232" s="35">
        <f>'Impacts A'!L232-'Impacts B'!L232</f>
        <v>1.4751441369298846E-2</v>
      </c>
      <c r="M232" s="6"/>
      <c r="N232" s="1" t="str">
        <f t="shared" si="7"/>
        <v>$million/million</v>
      </c>
      <c r="O232" s="1"/>
    </row>
    <row r="233" spans="1:15" x14ac:dyDescent="0.25">
      <c r="A233" t="str">
        <v>AF sea level</v>
      </c>
      <c r="C233" s="35">
        <f>'Impacts A'!C233-'Impacts B'!C233</f>
        <v>0</v>
      </c>
      <c r="D233" s="35">
        <f>'Impacts A'!D233-'Impacts B'!D233</f>
        <v>1.1584298590605613E-4</v>
      </c>
      <c r="E233" s="35">
        <f>'Impacts A'!E233-'Impacts B'!E233</f>
        <v>4.4291633412285591E-4</v>
      </c>
      <c r="F233" s="35">
        <f>'Impacts A'!F233-'Impacts B'!F233</f>
        <v>7.5092982478963677E-4</v>
      </c>
      <c r="G233" s="35">
        <f>'Impacts A'!G233-'Impacts B'!G233</f>
        <v>1.1027258578906185E-3</v>
      </c>
      <c r="H233" s="35">
        <f>'Impacts A'!H233-'Impacts B'!H233</f>
        <v>1.4796770246903179E-3</v>
      </c>
      <c r="I233" s="35">
        <f>'Impacts A'!I233-'Impacts B'!I233</f>
        <v>2.6089928887813585E-3</v>
      </c>
      <c r="J233" s="35">
        <f>'Impacts A'!J233-'Impacts B'!J233</f>
        <v>3.9318552881013602E-3</v>
      </c>
      <c r="K233" s="35">
        <f>'Impacts A'!K233-'Impacts B'!K233</f>
        <v>9.4025326543487608E-3</v>
      </c>
      <c r="L233" s="35">
        <f>'Impacts A'!L233-'Impacts B'!L233</f>
        <v>1.6376181680243462E-2</v>
      </c>
      <c r="M233" s="6"/>
      <c r="N233" s="1" t="str">
        <f t="shared" si="7"/>
        <v>$million/million</v>
      </c>
      <c r="O233" s="1"/>
    </row>
    <row r="234" spans="1:15" x14ac:dyDescent="0.25">
      <c r="A234" t="str">
        <v>LA sea level</v>
      </c>
      <c r="C234" s="35">
        <f>'Impacts A'!C234-'Impacts B'!C234</f>
        <v>0</v>
      </c>
      <c r="D234" s="35">
        <f>'Impacts A'!D234-'Impacts B'!D234</f>
        <v>1.7674641367193544E-4</v>
      </c>
      <c r="E234" s="35">
        <f>'Impacts A'!E234-'Impacts B'!E234</f>
        <v>6.7577458867162932E-4</v>
      </c>
      <c r="F234" s="35">
        <f>'Impacts A'!F234-'Impacts B'!F234</f>
        <v>1.1442968425399158E-3</v>
      </c>
      <c r="G234" s="35">
        <f>'Impacts A'!G234-'Impacts B'!G234</f>
        <v>1.6865946417965461E-3</v>
      </c>
      <c r="H234" s="35">
        <f>'Impacts A'!H234-'Impacts B'!H234</f>
        <v>2.2692000457027461E-3</v>
      </c>
      <c r="I234" s="35">
        <f>'Impacts A'!I234-'Impacts B'!I234</f>
        <v>4.0060524297587108E-3</v>
      </c>
      <c r="J234" s="35">
        <f>'Impacts A'!J234-'Impacts B'!J234</f>
        <v>6.0166766852489673E-3</v>
      </c>
      <c r="K234" s="35">
        <f>'Impacts A'!K234-'Impacts B'!K234</f>
        <v>1.4350268742418848E-2</v>
      </c>
      <c r="L234" s="35">
        <f>'Impacts A'!L234-'Impacts B'!L234</f>
        <v>2.4996812106110156E-2</v>
      </c>
      <c r="M234" s="6"/>
      <c r="N234" s="1" t="str">
        <f t="shared" si="7"/>
        <v>$million/million</v>
      </c>
      <c r="O234" s="1"/>
    </row>
    <row r="235" spans="1:15" s="2" customFormat="1" ht="15" x14ac:dyDescent="0.4">
      <c r="A235" s="2" t="s">
        <v>284</v>
      </c>
      <c r="C235" s="2" t="s">
        <v>285</v>
      </c>
    </row>
    <row r="236" spans="1:15" x14ac:dyDescent="0.25">
      <c r="A236" t="str">
        <f t="array" ref="A236:A243">R_CODE&amp;" sea level"</f>
        <v>EU sea level</v>
      </c>
      <c r="C236" s="39">
        <f>'Impacts A'!C236-'Impacts B'!C236</f>
        <v>0</v>
      </c>
      <c r="D236" s="39">
        <f>'Impacts A'!D236-'Impacts B'!D236</f>
        <v>0</v>
      </c>
      <c r="E236" s="39">
        <f>'Impacts A'!E236-'Impacts B'!E236</f>
        <v>0</v>
      </c>
      <c r="F236" s="39">
        <f>'Impacts A'!F236-'Impacts B'!F236</f>
        <v>6.2620509197586216E-3</v>
      </c>
      <c r="G236" s="39">
        <f>'Impacts A'!G236-'Impacts B'!G236</f>
        <v>6.3744660292286426E-3</v>
      </c>
      <c r="H236" s="39">
        <f>'Impacts A'!H236-'Impacts B'!H236</f>
        <v>6.5016591470339336E-3</v>
      </c>
      <c r="I236" s="39">
        <f>'Impacts A'!I236-'Impacts B'!I236</f>
        <v>9.7265591030009091E-3</v>
      </c>
      <c r="J236" s="39">
        <f>'Impacts A'!J236-'Impacts B'!J236</f>
        <v>1.3067948239040561E-2</v>
      </c>
      <c r="K236" s="39">
        <f>'Impacts A'!K236-'Impacts B'!K236</f>
        <v>3.0878050543833524E-2</v>
      </c>
      <c r="L236" s="39">
        <f>'Impacts A'!L236-'Impacts B'!L236</f>
        <v>8.5070769651792943E-2</v>
      </c>
      <c r="M236" s="6"/>
      <c r="N236" s="1" t="str">
        <f t="shared" ref="N236:N243" si="8">CURRENCY_NAME&amp;"/"&amp;POP_UNIT_NAME</f>
        <v>$million/million</v>
      </c>
      <c r="O236" s="1"/>
    </row>
    <row r="237" spans="1:15" x14ac:dyDescent="0.25">
      <c r="A237" t="str">
        <v>US sea level</v>
      </c>
      <c r="C237" s="35">
        <f>'Impacts A'!C237-'Impacts B'!C237</f>
        <v>0</v>
      </c>
      <c r="D237" s="35">
        <f>'Impacts A'!D237-'Impacts B'!D237</f>
        <v>0</v>
      </c>
      <c r="E237" s="35">
        <f>'Impacts A'!E237-'Impacts B'!E237</f>
        <v>0</v>
      </c>
      <c r="F237" s="35">
        <f>'Impacts A'!F237-'Impacts B'!F237</f>
        <v>6.9539223186438903E-3</v>
      </c>
      <c r="G237" s="35">
        <f>'Impacts A'!G237-'Impacts B'!G237</f>
        <v>6.9606393371941522E-3</v>
      </c>
      <c r="H237" s="35">
        <f>'Impacts A'!H237-'Impacts B'!H237</f>
        <v>7.017432086286135E-3</v>
      </c>
      <c r="I237" s="35">
        <f>'Impacts A'!I237-'Impacts B'!I237</f>
        <v>1.0366589805926196E-2</v>
      </c>
      <c r="J237" s="35">
        <f>'Impacts A'!J237-'Impacts B'!J237</f>
        <v>1.3891842507291585E-2</v>
      </c>
      <c r="K237" s="35">
        <f>'Impacts A'!K237-'Impacts B'!K237</f>
        <v>3.0322269012685865E-2</v>
      </c>
      <c r="L237" s="35">
        <f>'Impacts A'!L237-'Impacts B'!L237</f>
        <v>8.3536680496763438E-2</v>
      </c>
      <c r="M237" s="6"/>
      <c r="N237" s="1" t="str">
        <f t="shared" si="8"/>
        <v>$million/million</v>
      </c>
      <c r="O237" s="1"/>
    </row>
    <row r="238" spans="1:15" x14ac:dyDescent="0.25">
      <c r="A238" t="str">
        <v>OT sea level</v>
      </c>
      <c r="C238" s="35">
        <f>'Impacts A'!C238-'Impacts B'!C238</f>
        <v>0</v>
      </c>
      <c r="D238" s="35">
        <f>'Impacts A'!D238-'Impacts B'!D238</f>
        <v>0</v>
      </c>
      <c r="E238" s="35">
        <f>'Impacts A'!E238-'Impacts B'!E238</f>
        <v>0</v>
      </c>
      <c r="F238" s="35">
        <f>'Impacts A'!F238-'Impacts B'!F238</f>
        <v>6.3549481055815704E-3</v>
      </c>
      <c r="G238" s="35">
        <f>'Impacts A'!G238-'Impacts B'!G238</f>
        <v>7.0509418510482647E-3</v>
      </c>
      <c r="H238" s="35">
        <f>'Impacts A'!H238-'Impacts B'!H238</f>
        <v>7.7850524103268981E-3</v>
      </c>
      <c r="I238" s="35">
        <f>'Impacts A'!I238-'Impacts B'!I238</f>
        <v>1.3134088134393096E-2</v>
      </c>
      <c r="J238" s="35">
        <f>'Impacts A'!J238-'Impacts B'!J238</f>
        <v>1.9312437711050734E-2</v>
      </c>
      <c r="K238" s="35">
        <f>'Impacts A'!K238-'Impacts B'!K238</f>
        <v>4.4845304277259856E-2</v>
      </c>
      <c r="L238" s="35">
        <f>'Impacts A'!L238-'Impacts B'!L238</f>
        <v>0.12354417075403035</v>
      </c>
      <c r="M238" s="6"/>
      <c r="N238" s="1" t="str">
        <f t="shared" si="8"/>
        <v>$million/million</v>
      </c>
      <c r="O238" s="1"/>
    </row>
    <row r="239" spans="1:15" x14ac:dyDescent="0.25">
      <c r="A239" t="str">
        <v>EE sea level</v>
      </c>
      <c r="C239" s="35">
        <f>'Impacts A'!C239-'Impacts B'!C239</f>
        <v>0</v>
      </c>
      <c r="D239" s="35">
        <f>'Impacts A'!D239-'Impacts B'!D239</f>
        <v>0</v>
      </c>
      <c r="E239" s="35">
        <f>'Impacts A'!E239-'Impacts B'!E239</f>
        <v>0</v>
      </c>
      <c r="F239" s="35">
        <f>'Impacts A'!F239-'Impacts B'!F239</f>
        <v>7.7642492669838248E-4</v>
      </c>
      <c r="G239" s="35">
        <f>'Impacts A'!G239-'Impacts B'!G239</f>
        <v>8.6159506099647842E-4</v>
      </c>
      <c r="H239" s="35">
        <f>'Impacts A'!H239-'Impacts B'!H239</f>
        <v>9.5132756905513816E-4</v>
      </c>
      <c r="I239" s="35">
        <f>'Impacts A'!I239-'Impacts B'!I239</f>
        <v>1.6056259428296471E-3</v>
      </c>
      <c r="J239" s="35">
        <f>'Impacts A'!J239-'Impacts B'!J239</f>
        <v>2.3604095404152758E-3</v>
      </c>
      <c r="K239" s="35">
        <f>'Impacts A'!K239-'Impacts B'!K239</f>
        <v>5.4785666725365445E-3</v>
      </c>
      <c r="L239" s="35">
        <f>'Impacts A'!L239-'Impacts B'!L239</f>
        <v>1.5091021909029223E-2</v>
      </c>
      <c r="M239" s="6"/>
      <c r="N239" s="1" t="str">
        <f t="shared" si="8"/>
        <v>$million/million</v>
      </c>
      <c r="O239" s="1"/>
    </row>
    <row r="240" spans="1:15" x14ac:dyDescent="0.25">
      <c r="A240" t="str">
        <v>CA sea level</v>
      </c>
      <c r="C240" s="35">
        <f>'Impacts A'!C240-'Impacts B'!C240</f>
        <v>0</v>
      </c>
      <c r="D240" s="35">
        <f>'Impacts A'!D240-'Impacts B'!D240</f>
        <v>1.8862132992580882E-4</v>
      </c>
      <c r="E240" s="35">
        <f>'Impacts A'!E240-'Impacts B'!E240</f>
        <v>7.2107015694200527E-4</v>
      </c>
      <c r="F240" s="35">
        <f>'Impacts A'!F240-'Impacts B'!F240</f>
        <v>1.2200496312289033E-3</v>
      </c>
      <c r="G240" s="35">
        <f>'Impacts A'!G240-'Impacts B'!G240</f>
        <v>1.7979345902858768E-3</v>
      </c>
      <c r="H240" s="35">
        <f>'Impacts A'!H240-'Impacts B'!H240</f>
        <v>2.4196311114792479E-3</v>
      </c>
      <c r="I240" s="35">
        <f>'Impacts A'!I240-'Impacts B'!I240</f>
        <v>4.2711468558991328E-3</v>
      </c>
      <c r="J240" s="35">
        <f>'Impacts A'!J240-'Impacts B'!J240</f>
        <v>6.415000265405979E-3</v>
      </c>
      <c r="K240" s="35">
        <f>'Impacts A'!K240-'Impacts B'!K240</f>
        <v>1.5308794281736482E-2</v>
      </c>
      <c r="L240" s="35">
        <f>'Impacts A'!L240-'Impacts B'!L240</f>
        <v>2.6668007718399167E-2</v>
      </c>
      <c r="M240" s="6"/>
      <c r="N240" s="1" t="str">
        <f t="shared" si="8"/>
        <v>$million/million</v>
      </c>
      <c r="O240" s="1"/>
    </row>
    <row r="241" spans="1:15" x14ac:dyDescent="0.25">
      <c r="A241" t="str">
        <v>IA sea level</v>
      </c>
      <c r="C241" s="35">
        <f>'Impacts A'!C241-'Impacts B'!C241</f>
        <v>0</v>
      </c>
      <c r="D241" s="35">
        <f>'Impacts A'!D241-'Impacts B'!D241</f>
        <v>1.2280106648177025E-4</v>
      </c>
      <c r="E241" s="35">
        <f>'Impacts A'!E241-'Impacts B'!E241</f>
        <v>4.6944982477725716E-4</v>
      </c>
      <c r="F241" s="35">
        <f>'Impacts A'!F241-'Impacts B'!F241</f>
        <v>7.9665181146992836E-4</v>
      </c>
      <c r="G241" s="35">
        <f>'Impacts A'!G241-'Impacts B'!G241</f>
        <v>1.1688626987051975E-3</v>
      </c>
      <c r="H241" s="35">
        <f>'Impacts A'!H241-'Impacts B'!H241</f>
        <v>1.5688041548855836E-3</v>
      </c>
      <c r="I241" s="35">
        <f>'Impacts A'!I241-'Impacts B'!I241</f>
        <v>2.7638470974125084E-3</v>
      </c>
      <c r="J241" s="35">
        <f>'Impacts A'!J241-'Impacts B'!J241</f>
        <v>4.1637817757873563E-3</v>
      </c>
      <c r="K241" s="35">
        <f>'Impacts A'!K241-'Impacts B'!K241</f>
        <v>9.9644262518268079E-3</v>
      </c>
      <c r="L241" s="35">
        <f>'Impacts A'!L241-'Impacts B'!L241</f>
        <v>1.735463690420147E-2</v>
      </c>
      <c r="M241" s="6"/>
      <c r="N241" s="1" t="str">
        <f t="shared" si="8"/>
        <v>$million/million</v>
      </c>
      <c r="O241" s="1"/>
    </row>
    <row r="242" spans="1:15" x14ac:dyDescent="0.25">
      <c r="A242" t="str">
        <v>AF sea level</v>
      </c>
      <c r="C242" s="35">
        <f>'Impacts A'!C242-'Impacts B'!C242</f>
        <v>0</v>
      </c>
      <c r="D242" s="35">
        <f>'Impacts A'!D242-'Impacts B'!D242</f>
        <v>1.3628586611957871E-4</v>
      </c>
      <c r="E242" s="35">
        <f>'Impacts A'!E242-'Impacts B'!E242</f>
        <v>5.210780409470317E-4</v>
      </c>
      <c r="F242" s="35">
        <f>'Impacts A'!F242-'Impacts B'!F242</f>
        <v>8.8344685354968533E-4</v>
      </c>
      <c r="G242" s="35">
        <f>'Impacts A'!G242-'Impacts B'!G242</f>
        <v>1.2973245393368416E-3</v>
      </c>
      <c r="H242" s="35">
        <f>'Impacts A'!H242-'Impacts B'!H242</f>
        <v>1.7407964987796731E-3</v>
      </c>
      <c r="I242" s="35">
        <f>'Impacts A'!I242-'Impacts B'!I242</f>
        <v>3.0694033994222991E-3</v>
      </c>
      <c r="J242" s="35">
        <f>'Impacts A'!J242-'Impacts B'!J242</f>
        <v>4.6257121030066628E-3</v>
      </c>
      <c r="K242" s="35">
        <f>'Impacts A'!K242-'Impacts B'!K242</f>
        <v>1.1061803124903236E-2</v>
      </c>
      <c r="L242" s="35">
        <f>'Impacts A'!L242-'Impacts B'!L242</f>
        <v>1.9266096089268103E-2</v>
      </c>
      <c r="M242" s="6"/>
      <c r="N242" s="1" t="str">
        <f t="shared" si="8"/>
        <v>$million/million</v>
      </c>
      <c r="O242" s="1"/>
    </row>
    <row r="243" spans="1:15" x14ac:dyDescent="0.25">
      <c r="A243" t="str">
        <v>LA sea level</v>
      </c>
      <c r="C243" s="35">
        <f>'Impacts A'!C243-'Impacts B'!C243</f>
        <v>0</v>
      </c>
      <c r="D243" s="35">
        <f>'Impacts A'!D243-'Impacts B'!D243</f>
        <v>2.0793695694010239E-4</v>
      </c>
      <c r="E243" s="35">
        <f>'Impacts A'!E243-'Impacts B'!E243</f>
        <v>7.9502892822347349E-4</v>
      </c>
      <c r="F243" s="35">
        <f>'Impacts A'!F243-'Impacts B'!F243</f>
        <v>1.3462315782817313E-3</v>
      </c>
      <c r="G243" s="35">
        <f>'Impacts A'!G243-'Impacts B'!G243</f>
        <v>1.9842289912048727E-3</v>
      </c>
      <c r="H243" s="35">
        <f>'Impacts A'!H243-'Impacts B'!H243</f>
        <v>2.6696471140894573E-3</v>
      </c>
      <c r="I243" s="35">
        <f>'Impacts A'!I243-'Impacts B'!I243</f>
        <v>4.7130028578976635E-3</v>
      </c>
      <c r="J243" s="35">
        <f>'Impacts A'!J243-'Impacts B'!J243</f>
        <v>7.0784431591164321E-3</v>
      </c>
      <c r="K243" s="35">
        <f>'Impacts A'!K243-'Impacts B'!K243</f>
        <v>1.6882669107872061E-2</v>
      </c>
      <c r="L243" s="35">
        <f>'Impacts A'!L243-'Impacts B'!L243</f>
        <v>2.9408014263026416E-2</v>
      </c>
      <c r="M243" s="6"/>
      <c r="N243" s="1" t="str">
        <f t="shared" si="8"/>
        <v>$million/million</v>
      </c>
      <c r="O243" s="1"/>
    </row>
    <row r="244" spans="1:15" s="2" customFormat="1" ht="15" x14ac:dyDescent="0.4">
      <c r="A244" s="2" t="s">
        <v>276</v>
      </c>
      <c r="C244" s="2" t="s">
        <v>289</v>
      </c>
    </row>
    <row r="245" spans="1:15" x14ac:dyDescent="0.25">
      <c r="A245" t="str">
        <f t="array" ref="A245:A252">R_CODE&amp;" "&amp;I_1_NAME</f>
        <v>EU Economic</v>
      </c>
      <c r="C245" s="39">
        <f>'Impacts A'!C245-'Impacts B'!C245</f>
        <v>0</v>
      </c>
      <c r="D245" s="39">
        <f>'Impacts A'!D245-'Impacts B'!D245</f>
        <v>6.2793574642366901E-6</v>
      </c>
      <c r="E245" s="39">
        <f>'Impacts A'!E245-'Impacts B'!E245</f>
        <v>-6.5430135694904967E-7</v>
      </c>
      <c r="F245" s="39">
        <f>'Impacts A'!F245-'Impacts B'!F245</f>
        <v>-1.8327674051563103E-5</v>
      </c>
      <c r="G245" s="39">
        <f>'Impacts A'!G245-'Impacts B'!G245</f>
        <v>-3.7646102489935496E-5</v>
      </c>
      <c r="H245" s="39">
        <f>'Impacts A'!H245-'Impacts B'!H245</f>
        <v>-5.6122585158885352E-5</v>
      </c>
      <c r="I245" s="39">
        <f>'Impacts A'!I245-'Impacts B'!I245</f>
        <v>-8.260961576422865E-5</v>
      </c>
      <c r="J245" s="39">
        <f>'Impacts A'!J245-'Impacts B'!J245</f>
        <v>-8.7286948105669282E-5</v>
      </c>
      <c r="K245" s="39">
        <f>'Impacts A'!K245-'Impacts B'!K245</f>
        <v>-5.0045738758552893E-5</v>
      </c>
      <c r="L245" s="39">
        <f>'Impacts A'!L245-'Impacts B'!L245</f>
        <v>-3.2520362196475361E-5</v>
      </c>
      <c r="M245" s="6"/>
      <c r="N245" s="84" t="s">
        <v>168</v>
      </c>
    </row>
    <row r="246" spans="1:15" x14ac:dyDescent="0.25">
      <c r="A246" t="str">
        <v>US Economic</v>
      </c>
      <c r="C246" s="35">
        <f>'Impacts A'!C246-'Impacts B'!C246</f>
        <v>0</v>
      </c>
      <c r="D246" s="35">
        <f>'Impacts A'!D246-'Impacts B'!D246</f>
        <v>2.1406903766979513E-6</v>
      </c>
      <c r="E246" s="35">
        <f>'Impacts A'!E246-'Impacts B'!E246</f>
        <v>-7.6340465018712167E-6</v>
      </c>
      <c r="F246" s="35">
        <f>'Impacts A'!F246-'Impacts B'!F246</f>
        <v>-2.5758399107700738E-5</v>
      </c>
      <c r="G246" s="35">
        <f>'Impacts A'!G246-'Impacts B'!G246</f>
        <v>-4.4722696660670636E-5</v>
      </c>
      <c r="H246" s="35">
        <f>'Impacts A'!H246-'Impacts B'!H246</f>
        <v>-6.1728787102269256E-5</v>
      </c>
      <c r="I246" s="35">
        <f>'Impacts A'!I246-'Impacts B'!I246</f>
        <v>-8.3972205007304401E-5</v>
      </c>
      <c r="J246" s="35">
        <f>'Impacts A'!J246-'Impacts B'!J246</f>
        <v>-8.4886978744314057E-5</v>
      </c>
      <c r="K246" s="35">
        <f>'Impacts A'!K246-'Impacts B'!K246</f>
        <v>-4.6561380869669655E-5</v>
      </c>
      <c r="L246" s="35">
        <f>'Impacts A'!L246-'Impacts B'!L246</f>
        <v>-2.9607154933608548E-5</v>
      </c>
      <c r="M246" s="6"/>
      <c r="N246" s="84" t="s">
        <v>168</v>
      </c>
    </row>
    <row r="247" spans="1:15" x14ac:dyDescent="0.25">
      <c r="A247" t="str">
        <v>OT Economic</v>
      </c>
      <c r="C247" s="35">
        <f>'Impacts A'!C247-'Impacts B'!C247</f>
        <v>0</v>
      </c>
      <c r="D247" s="35">
        <f>'Impacts A'!D247-'Impacts B'!D247</f>
        <v>-8.2625681436555853E-6</v>
      </c>
      <c r="E247" s="35">
        <f>'Impacts A'!E247-'Impacts B'!E247</f>
        <v>-3.1166586927013074E-5</v>
      </c>
      <c r="F247" s="35">
        <f>'Impacts A'!F247-'Impacts B'!F247</f>
        <v>-6.0916208038414021E-5</v>
      </c>
      <c r="G247" s="35">
        <f>'Impacts A'!G247-'Impacts B'!G247</f>
        <v>-8.9648038891193549E-5</v>
      </c>
      <c r="H247" s="35">
        <f>'Impacts A'!H247-'Impacts B'!H247</f>
        <v>-1.1264689031725839E-4</v>
      </c>
      <c r="I247" s="35">
        <f>'Impacts A'!I247-'Impacts B'!I247</f>
        <v>-1.3748705286853458E-4</v>
      </c>
      <c r="J247" s="35">
        <f>'Impacts A'!J247-'Impacts B'!J247</f>
        <v>-1.300274460974693E-4</v>
      </c>
      <c r="K247" s="35">
        <f>'Impacts A'!K247-'Impacts B'!K247</f>
        <v>-6.6186715942939678E-5</v>
      </c>
      <c r="L247" s="35">
        <f>'Impacts A'!L247-'Impacts B'!L247</f>
        <v>-4.0380152900310051E-5</v>
      </c>
      <c r="M247" s="6"/>
      <c r="N247" s="84" t="s">
        <v>168</v>
      </c>
    </row>
    <row r="248" spans="1:15" x14ac:dyDescent="0.25">
      <c r="A248" t="str">
        <v>EE Economic</v>
      </c>
      <c r="C248" s="35">
        <f>'Impacts A'!C248-'Impacts B'!C248</f>
        <v>0</v>
      </c>
      <c r="D248" s="35">
        <f>'Impacts A'!D248-'Impacts B'!D248</f>
        <v>-1.0411214361218113E-6</v>
      </c>
      <c r="E248" s="35">
        <f>'Impacts A'!E248-'Impacts B'!E248</f>
        <v>-8.0127050488543183E-6</v>
      </c>
      <c r="F248" s="35">
        <f>'Impacts A'!F248-'Impacts B'!F248</f>
        <v>-2.1052122918707034E-5</v>
      </c>
      <c r="G248" s="35">
        <f>'Impacts A'!G248-'Impacts B'!G248</f>
        <v>-3.5627763551523972E-5</v>
      </c>
      <c r="H248" s="35">
        <f>'Impacts A'!H248-'Impacts B'!H248</f>
        <v>-4.8237220742541886E-5</v>
      </c>
      <c r="I248" s="35">
        <f>'Impacts A'!I248-'Impacts B'!I248</f>
        <v>-6.4226581062420962E-5</v>
      </c>
      <c r="J248" s="35">
        <f>'Impacts A'!J248-'Impacts B'!J248</f>
        <v>-6.4305312050760843E-5</v>
      </c>
      <c r="K248" s="35">
        <f>'Impacts A'!K248-'Impacts B'!K248</f>
        <v>-3.4551266874793818E-5</v>
      </c>
      <c r="L248" s="35">
        <f>'Impacts A'!L248-'Impacts B'!L248</f>
        <v>-2.1046700452331812E-5</v>
      </c>
      <c r="M248" s="6"/>
      <c r="N248" s="84" t="s">
        <v>168</v>
      </c>
    </row>
    <row r="249" spans="1:15" x14ac:dyDescent="0.25">
      <c r="A249" t="str">
        <v>CA Economic</v>
      </c>
      <c r="C249" s="35">
        <f>'Impacts A'!C249-'Impacts B'!C249</f>
        <v>0</v>
      </c>
      <c r="D249" s="35">
        <f>'Impacts A'!D249-'Impacts B'!D249</f>
        <v>0</v>
      </c>
      <c r="E249" s="35">
        <f>'Impacts A'!E249-'Impacts B'!E249</f>
        <v>0</v>
      </c>
      <c r="F249" s="35">
        <f>'Impacts A'!F249-'Impacts B'!F249</f>
        <v>0</v>
      </c>
      <c r="G249" s="35">
        <f>'Impacts A'!G249-'Impacts B'!G249</f>
        <v>0</v>
      </c>
      <c r="H249" s="35">
        <f>'Impacts A'!H249-'Impacts B'!H249</f>
        <v>0</v>
      </c>
      <c r="I249" s="35">
        <f>'Impacts A'!I249-'Impacts B'!I249</f>
        <v>7.0129444198138713E-6</v>
      </c>
      <c r="J249" s="35">
        <f>'Impacts A'!J249-'Impacts B'!J249</f>
        <v>-2.2924067399676673E-5</v>
      </c>
      <c r="K249" s="35">
        <f>'Impacts A'!K249-'Impacts B'!K249</f>
        <v>-2.9208712927247804E-5</v>
      </c>
      <c r="L249" s="35">
        <f>'Impacts A'!L249-'Impacts B'!L249</f>
        <v>-2.0370529527413694E-5</v>
      </c>
      <c r="M249" s="6"/>
      <c r="N249" s="84" t="s">
        <v>168</v>
      </c>
    </row>
    <row r="250" spans="1:15" x14ac:dyDescent="0.25">
      <c r="A250" t="str">
        <v>IA Economic</v>
      </c>
      <c r="C250" s="35">
        <f>'Impacts A'!C250-'Impacts B'!C250</f>
        <v>0</v>
      </c>
      <c r="D250" s="35">
        <f>'Impacts A'!D250-'Impacts B'!D250</f>
        <v>3.6209161784275801E-6</v>
      </c>
      <c r="E250" s="35">
        <f>'Impacts A'!E250-'Impacts B'!E250</f>
        <v>8.6483064025075218E-6</v>
      </c>
      <c r="F250" s="35">
        <f>'Impacts A'!F250-'Impacts B'!F250</f>
        <v>6.449775998881857E-6</v>
      </c>
      <c r="G250" s="35">
        <f>'Impacts A'!G250-'Impacts B'!G250</f>
        <v>-1.2725985040075438E-5</v>
      </c>
      <c r="H250" s="35">
        <f>'Impacts A'!H250-'Impacts B'!H250</f>
        <v>-3.2909014741266604E-5</v>
      </c>
      <c r="I250" s="35">
        <f>'Impacts A'!I250-'Impacts B'!I250</f>
        <v>-6.4800103026382838E-5</v>
      </c>
      <c r="J250" s="35">
        <f>'Impacts A'!J250-'Impacts B'!J250</f>
        <v>-7.6215954628422455E-5</v>
      </c>
      <c r="K250" s="35">
        <f>'Impacts A'!K250-'Impacts B'!K250</f>
        <v>-4.7160105004551145E-5</v>
      </c>
      <c r="L250" s="35">
        <f>'Impacts A'!L250-'Impacts B'!L250</f>
        <v>-3.0081583717533888E-5</v>
      </c>
      <c r="M250" s="6"/>
      <c r="N250" s="84" t="s">
        <v>168</v>
      </c>
    </row>
    <row r="251" spans="1:15" x14ac:dyDescent="0.25">
      <c r="A251" t="str">
        <v>AF Economic</v>
      </c>
      <c r="C251" s="35">
        <f>'Impacts A'!C251-'Impacts B'!C251</f>
        <v>0</v>
      </c>
      <c r="D251" s="35">
        <f>'Impacts A'!D251-'Impacts B'!D251</f>
        <v>-3.3675809496744313E-6</v>
      </c>
      <c r="E251" s="35">
        <f>'Impacts A'!E251-'Impacts B'!E251</f>
        <v>-3.2808870018552483E-6</v>
      </c>
      <c r="F251" s="35">
        <f>'Impacts A'!F251-'Impacts B'!F251</f>
        <v>-1.8297544041173675E-6</v>
      </c>
      <c r="G251" s="35">
        <f>'Impacts A'!G251-'Impacts B'!G251</f>
        <v>-9.84998303862894E-6</v>
      </c>
      <c r="H251" s="35">
        <f>'Impacts A'!H251-'Impacts B'!H251</f>
        <v>-1.9165182814816911E-5</v>
      </c>
      <c r="I251" s="35">
        <f>'Impacts A'!I251-'Impacts B'!I251</f>
        <v>-3.7427667766626316E-5</v>
      </c>
      <c r="J251" s="35">
        <f>'Impacts A'!J251-'Impacts B'!J251</f>
        <v>-4.78952573013669E-5</v>
      </c>
      <c r="K251" s="35">
        <f>'Impacts A'!K251-'Impacts B'!K251</f>
        <v>-3.1467478813440586E-5</v>
      </c>
      <c r="L251" s="35">
        <f>'Impacts A'!L251-'Impacts B'!L251</f>
        <v>-2.0418503921926234E-5</v>
      </c>
      <c r="M251" s="6"/>
      <c r="N251" s="84" t="s">
        <v>168</v>
      </c>
    </row>
    <row r="252" spans="1:15" x14ac:dyDescent="0.25">
      <c r="A252" t="str">
        <v>LA Economic</v>
      </c>
      <c r="C252" s="35">
        <f>'Impacts A'!C252-'Impacts B'!C252</f>
        <v>0</v>
      </c>
      <c r="D252" s="35">
        <f>'Impacts A'!D252-'Impacts B'!D252</f>
        <v>-6.4127539129189837E-6</v>
      </c>
      <c r="E252" s="35">
        <f>'Impacts A'!E252-'Impacts B'!E252</f>
        <v>-1.0903990802779706E-5</v>
      </c>
      <c r="F252" s="35">
        <f>'Impacts A'!F252-'Impacts B'!F252</f>
        <v>-1.2371275492605027E-5</v>
      </c>
      <c r="G252" s="35">
        <f>'Impacts A'!G252-'Impacts B'!G252</f>
        <v>-2.3046181894942341E-5</v>
      </c>
      <c r="H252" s="35">
        <f>'Impacts A'!H252-'Impacts B'!H252</f>
        <v>-3.3812486224030908E-5</v>
      </c>
      <c r="I252" s="35">
        <f>'Impacts A'!I252-'Impacts B'!I252</f>
        <v>-5.1909230362259806E-5</v>
      </c>
      <c r="J252" s="35">
        <f>'Impacts A'!J252-'Impacts B'!J252</f>
        <v>-5.8988124926384611E-5</v>
      </c>
      <c r="K252" s="35">
        <f>'Impacts A'!K252-'Impacts B'!K252</f>
        <v>-3.5592352089386381E-5</v>
      </c>
      <c r="L252" s="35">
        <f>'Impacts A'!L252-'Impacts B'!L252</f>
        <v>-2.2664289116569591E-5</v>
      </c>
      <c r="M252" s="6"/>
      <c r="N252" s="84" t="s">
        <v>168</v>
      </c>
    </row>
    <row r="253" spans="1:15" s="2" customFormat="1" ht="15" x14ac:dyDescent="0.4">
      <c r="A253" s="2" t="s">
        <v>275</v>
      </c>
      <c r="C253" s="2" t="s">
        <v>290</v>
      </c>
    </row>
    <row r="254" spans="1:15" x14ac:dyDescent="0.25">
      <c r="A254" t="str">
        <f t="array" ref="A254:A261">R_CODE&amp;" "&amp;I_1_NAME</f>
        <v>EU Economic</v>
      </c>
      <c r="C254" s="39">
        <f>'Impacts A'!C254-'Impacts B'!C254</f>
        <v>0</v>
      </c>
      <c r="D254" s="39">
        <f>'Impacts A'!D254-'Impacts B'!D254</f>
        <v>6.0044439688725082E-6</v>
      </c>
      <c r="E254" s="39">
        <f>'Impacts A'!E254-'Impacts B'!E254</f>
        <v>-6.1247784662044058E-7</v>
      </c>
      <c r="F254" s="39">
        <f>'Impacts A'!F254-'Impacts B'!F254</f>
        <v>-1.6853441871730879E-5</v>
      </c>
      <c r="G254" s="39">
        <f>'Impacts A'!G254-'Impacts B'!G254</f>
        <v>-3.4068865614567817E-5</v>
      </c>
      <c r="H254" s="39">
        <f>'Impacts A'!H254-'Impacts B'!H254</f>
        <v>-4.9983518124182419E-5</v>
      </c>
      <c r="I254" s="39">
        <f>'Impacts A'!I254-'Impacts B'!I254</f>
        <v>-7.132205972290584E-5</v>
      </c>
      <c r="J254" s="39">
        <f>'Impacts A'!J254-'Impacts B'!J254</f>
        <v>-7.3118389514181814E-5</v>
      </c>
      <c r="K254" s="39">
        <f>'Impacts A'!K254-'Impacts B'!K254</f>
        <v>-3.6010271863617938E-5</v>
      </c>
      <c r="L254" s="39">
        <f>'Impacts A'!L254-'Impacts B'!L254</f>
        <v>-2.2360673299193223E-5</v>
      </c>
      <c r="M254" s="6"/>
      <c r="N254" s="84" t="s">
        <v>168</v>
      </c>
    </row>
    <row r="255" spans="1:15" x14ac:dyDescent="0.25">
      <c r="A255" t="str">
        <v>US Economic</v>
      </c>
      <c r="C255" s="35">
        <f>'Impacts A'!C255-'Impacts B'!C255</f>
        <v>0</v>
      </c>
      <c r="D255" s="35">
        <f>'Impacts A'!D255-'Impacts B'!D255</f>
        <v>1.902098171233102E-6</v>
      </c>
      <c r="E255" s="35">
        <f>'Impacts A'!E255-'Impacts B'!E255</f>
        <v>-6.6902728437859271E-6</v>
      </c>
      <c r="F255" s="35">
        <f>'Impacts A'!F255-'Impacts B'!F255</f>
        <v>-2.2252604427824146E-5</v>
      </c>
      <c r="G255" s="35">
        <f>'Impacts A'!G255-'Impacts B'!G255</f>
        <v>-3.8143063705628477E-5</v>
      </c>
      <c r="H255" s="35">
        <f>'Impacts A'!H255-'Impacts B'!H255</f>
        <v>-5.1925631779470294E-5</v>
      </c>
      <c r="I255" s="35">
        <f>'Impacts A'!I255-'Impacts B'!I255</f>
        <v>-6.8637502699947506E-5</v>
      </c>
      <c r="J255" s="35">
        <f>'Impacts A'!J255-'Impacts B'!J255</f>
        <v>-6.7352275541887607E-5</v>
      </c>
      <c r="K255" s="35">
        <f>'Impacts A'!K255-'Impacts B'!K255</f>
        <v>-3.2214659077933749E-5</v>
      </c>
      <c r="L255" s="35">
        <f>'Impacts A'!L255-'Impacts B'!L255</f>
        <v>-1.9570980868188759E-5</v>
      </c>
      <c r="M255" s="6"/>
      <c r="N255" s="84" t="s">
        <v>168</v>
      </c>
    </row>
    <row r="256" spans="1:15" x14ac:dyDescent="0.25">
      <c r="A256" t="str">
        <v>OT Economic</v>
      </c>
      <c r="C256" s="35">
        <f>'Impacts A'!C256-'Impacts B'!C256</f>
        <v>0</v>
      </c>
      <c r="D256" s="35">
        <f>'Impacts A'!D256-'Impacts B'!D256</f>
        <v>-7.790409351723232E-6</v>
      </c>
      <c r="E256" s="35">
        <f>'Impacts A'!E256-'Impacts B'!E256</f>
        <v>-2.8364288437277008E-5</v>
      </c>
      <c r="F256" s="35">
        <f>'Impacts A'!F256-'Impacts B'!F256</f>
        <v>-5.3538548067263991E-5</v>
      </c>
      <c r="G256" s="35">
        <f>'Impacts A'!G256-'Impacts B'!G256</f>
        <v>-7.6273744018223733E-5</v>
      </c>
      <c r="H256" s="35">
        <f>'Impacts A'!H256-'Impacts B'!H256</f>
        <v>-9.2903812581313083E-5</v>
      </c>
      <c r="I256" s="35">
        <f>'Impacts A'!I256-'Impacts B'!I256</f>
        <v>-1.0742728924933997E-4</v>
      </c>
      <c r="J256" s="35">
        <f>'Impacts A'!J256-'Impacts B'!J256</f>
        <v>-9.689196525985988E-5</v>
      </c>
      <c r="K256" s="35">
        <f>'Impacts A'!K256-'Impacts B'!K256</f>
        <v>-4.2502022064683231E-5</v>
      </c>
      <c r="L256" s="35">
        <f>'Impacts A'!L256-'Impacts B'!L256</f>
        <v>-2.4774214548495266E-5</v>
      </c>
      <c r="M256" s="6"/>
      <c r="N256" s="84" t="s">
        <v>168</v>
      </c>
    </row>
    <row r="257" spans="1:15" x14ac:dyDescent="0.25">
      <c r="A257" t="str">
        <v>EE Economic</v>
      </c>
      <c r="C257" s="35">
        <f>'Impacts A'!C257-'Impacts B'!C257</f>
        <v>0</v>
      </c>
      <c r="D257" s="35">
        <f>'Impacts A'!D257-'Impacts B'!D257</f>
        <v>-1.2840264495619924E-6</v>
      </c>
      <c r="E257" s="35">
        <f>'Impacts A'!E257-'Impacts B'!E257</f>
        <v>-9.5376940541808813E-6</v>
      </c>
      <c r="F257" s="35">
        <f>'Impacts A'!F257-'Impacts B'!F257</f>
        <v>-2.4198352092295872E-5</v>
      </c>
      <c r="G257" s="35">
        <f>'Impacts A'!G257-'Impacts B'!G257</f>
        <v>-3.9643106886463886E-5</v>
      </c>
      <c r="H257" s="35">
        <f>'Impacts A'!H257-'Impacts B'!H257</f>
        <v>-5.202836822146284E-5</v>
      </c>
      <c r="I257" s="35">
        <f>'Impacts A'!I257-'Impacts B'!I257</f>
        <v>-6.5626026176601737E-5</v>
      </c>
      <c r="J257" s="35">
        <f>'Impacts A'!J257-'Impacts B'!J257</f>
        <v>-6.2664989331218113E-5</v>
      </c>
      <c r="K257" s="35">
        <f>'Impacts A'!K257-'Impacts B'!K257</f>
        <v>-2.9017615905180261E-5</v>
      </c>
      <c r="L257" s="35">
        <f>'Impacts A'!L257-'Impacts B'!L257</f>
        <v>-1.6887513876961968E-5</v>
      </c>
      <c r="M257" s="6"/>
      <c r="N257" s="84" t="s">
        <v>168</v>
      </c>
    </row>
    <row r="258" spans="1:15" x14ac:dyDescent="0.25">
      <c r="A258" t="str">
        <v>CA Economic</v>
      </c>
      <c r="C258" s="35">
        <f>'Impacts A'!C258-'Impacts B'!C258</f>
        <v>0</v>
      </c>
      <c r="D258" s="35">
        <f>'Impacts A'!D258-'Impacts B'!D258</f>
        <v>0</v>
      </c>
      <c r="E258" s="35">
        <f>'Impacts A'!E258-'Impacts B'!E258</f>
        <v>0</v>
      </c>
      <c r="F258" s="35">
        <f>'Impacts A'!F258-'Impacts B'!F258</f>
        <v>0</v>
      </c>
      <c r="G258" s="35">
        <f>'Impacts A'!G258-'Impacts B'!G258</f>
        <v>0</v>
      </c>
      <c r="H258" s="35">
        <f>'Impacts A'!H258-'Impacts B'!H258</f>
        <v>0</v>
      </c>
      <c r="I258" s="35">
        <f>'Impacts A'!I258-'Impacts B'!I258</f>
        <v>7.2547785274976184E-6</v>
      </c>
      <c r="J258" s="35">
        <f>'Impacts A'!J258-'Impacts B'!J258</f>
        <v>-2.2601442030610597E-5</v>
      </c>
      <c r="K258" s="35">
        <f>'Impacts A'!K258-'Impacts B'!K258</f>
        <v>-2.4814925527041898E-5</v>
      </c>
      <c r="L258" s="35">
        <f>'Impacts A'!L258-'Impacts B'!L258</f>
        <v>-1.6537119743281758E-5</v>
      </c>
      <c r="M258" s="6"/>
      <c r="N258" s="84" t="s">
        <v>168</v>
      </c>
    </row>
    <row r="259" spans="1:15" x14ac:dyDescent="0.25">
      <c r="A259" t="str">
        <v>IA Economic</v>
      </c>
      <c r="C259" s="35">
        <f>'Impacts A'!C259-'Impacts B'!C259</f>
        <v>0</v>
      </c>
      <c r="D259" s="35">
        <f>'Impacts A'!D259-'Impacts B'!D259</f>
        <v>4.9014129617983015E-6</v>
      </c>
      <c r="E259" s="35">
        <f>'Impacts A'!E259-'Impacts B'!E259</f>
        <v>1.1295635478303367E-5</v>
      </c>
      <c r="F259" s="35">
        <f>'Impacts A'!F259-'Impacts B'!F259</f>
        <v>8.1275850003711958E-6</v>
      </c>
      <c r="G259" s="35">
        <f>'Impacts A'!G259-'Impacts B'!G259</f>
        <v>-1.5542107958052553E-5</v>
      </c>
      <c r="H259" s="35">
        <f>'Impacts A'!H259-'Impacts B'!H259</f>
        <v>-3.9005805772179825E-5</v>
      </c>
      <c r="I259" s="35">
        <f>'Impacts A'!I259-'Impacts B'!I259</f>
        <v>-7.2825749202892753E-5</v>
      </c>
      <c r="J259" s="35">
        <f>'Impacts A'!J259-'Impacts B'!J259</f>
        <v>-8.1617466264255478E-5</v>
      </c>
      <c r="K259" s="35">
        <f>'Impacts A'!K259-'Impacts B'!K259</f>
        <v>-4.3498473981495867E-5</v>
      </c>
      <c r="L259" s="35">
        <f>'Impacts A'!L259-'Impacts B'!L259</f>
        <v>-2.6523114537657655E-5</v>
      </c>
      <c r="M259" s="6"/>
      <c r="N259" s="84" t="s">
        <v>168</v>
      </c>
    </row>
    <row r="260" spans="1:15" x14ac:dyDescent="0.25">
      <c r="A260" t="str">
        <v>AF Economic</v>
      </c>
      <c r="C260" s="35">
        <f>'Impacts A'!C260-'Impacts B'!C260</f>
        <v>0</v>
      </c>
      <c r="D260" s="35">
        <f>'Impacts A'!D260-'Impacts B'!D260</f>
        <v>-4.2291200170255228E-6</v>
      </c>
      <c r="E260" s="35">
        <f>'Impacts A'!E260-'Impacts B'!E260</f>
        <v>-3.9753961712171715E-6</v>
      </c>
      <c r="F260" s="35">
        <f>'Impacts A'!F260-'Impacts B'!F260</f>
        <v>-2.1386184849772616E-6</v>
      </c>
      <c r="G260" s="35">
        <f>'Impacts A'!G260-'Impacts B'!G260</f>
        <v>-1.1162622513882781E-5</v>
      </c>
      <c r="H260" s="35">
        <f>'Impacts A'!H260-'Impacts B'!H260</f>
        <v>-2.1077839392581038E-5</v>
      </c>
      <c r="I260" s="35">
        <f>'Impacts A'!I260-'Impacts B'!I260</f>
        <v>-3.9020421537652727E-5</v>
      </c>
      <c r="J260" s="35">
        <f>'Impacts A'!J260-'Impacts B'!J260</f>
        <v>-4.7573012498330902E-5</v>
      </c>
      <c r="K260" s="35">
        <f>'Impacts A'!K260-'Impacts B'!K260</f>
        <v>-2.6918497534417218E-5</v>
      </c>
      <c r="L260" s="35">
        <f>'Impacts A'!L260-'Impacts B'!L260</f>
        <v>-1.6689237077482932E-5</v>
      </c>
      <c r="M260" s="6"/>
      <c r="N260" s="84" t="s">
        <v>168</v>
      </c>
    </row>
    <row r="261" spans="1:15" x14ac:dyDescent="0.25">
      <c r="A261" t="str">
        <v>LA Economic</v>
      </c>
      <c r="C261" s="35">
        <f>'Impacts A'!C261-'Impacts B'!C261</f>
        <v>0</v>
      </c>
      <c r="D261" s="35">
        <f>'Impacts A'!D261-'Impacts B'!D261</f>
        <v>-7.430469572949211E-6</v>
      </c>
      <c r="E261" s="35">
        <f>'Impacts A'!E261-'Impacts B'!E261</f>
        <v>-1.2191859064640542E-5</v>
      </c>
      <c r="F261" s="35">
        <f>'Impacts A'!F261-'Impacts B'!F261</f>
        <v>-1.3348681614698543E-5</v>
      </c>
      <c r="G261" s="35">
        <f>'Impacts A'!G261-'Impacts B'!G261</f>
        <v>-2.4086970301109845E-5</v>
      </c>
      <c r="H261" s="35">
        <f>'Impacts A'!H261-'Impacts B'!H261</f>
        <v>-3.4277206000445093E-5</v>
      </c>
      <c r="I261" s="35">
        <f>'Impacts A'!I261-'Impacts B'!I261</f>
        <v>-4.9870287843367667E-5</v>
      </c>
      <c r="J261" s="35">
        <f>'Impacts A'!J261-'Impacts B'!J261</f>
        <v>-5.4026164606646443E-5</v>
      </c>
      <c r="K261" s="35">
        <f>'Impacts A'!K261-'Impacts B'!K261</f>
        <v>-2.8087308095392505E-5</v>
      </c>
      <c r="L261" s="35">
        <f>'Impacts A'!L261-'Impacts B'!L261</f>
        <v>-1.708718300635903E-5</v>
      </c>
      <c r="M261" s="6"/>
      <c r="N261" s="84" t="s">
        <v>168</v>
      </c>
    </row>
    <row r="262" spans="1:15" s="2" customFormat="1" ht="15" x14ac:dyDescent="0.4">
      <c r="A262" s="2" t="s">
        <v>279</v>
      </c>
      <c r="C262" s="2" t="s">
        <v>291</v>
      </c>
    </row>
    <row r="263" spans="1:15" x14ac:dyDescent="0.25">
      <c r="A263" t="str">
        <f t="array" ref="A263:A270">R_CODE&amp;" "&amp;I_1_NAME</f>
        <v>EU Economic</v>
      </c>
      <c r="C263" s="39">
        <f>'Impacts A'!C263-'Impacts B'!C263</f>
        <v>0</v>
      </c>
      <c r="D263" s="39">
        <f>'Impacts A'!D263-'Impacts B'!D263</f>
        <v>5.1037773735398972E-6</v>
      </c>
      <c r="E263" s="39">
        <f>'Impacts A'!E263-'Impacts B'!E263</f>
        <v>-4.2873449263708396E-7</v>
      </c>
      <c r="F263" s="39">
        <f>'Impacts A'!F263-'Impacts B'!F263</f>
        <v>-1.1797409310211615E-5</v>
      </c>
      <c r="G263" s="39">
        <f>'Impacts A'!G263-'Impacts B'!G263</f>
        <v>-2.3848205930197298E-5</v>
      </c>
      <c r="H263" s="39">
        <f>'Impacts A'!H263-'Impacts B'!H263</f>
        <v>-3.4988462686930122E-5</v>
      </c>
      <c r="I263" s="39">
        <f>'Impacts A'!I263-'Impacts B'!I263</f>
        <v>-5.4819738070699398E-5</v>
      </c>
      <c r="J263" s="39">
        <f>'Impacts A'!J263-'Impacts B'!J263</f>
        <v>-5.9108166763383041E-5</v>
      </c>
      <c r="K263" s="39">
        <f>'Impacts A'!K263-'Impacts B'!K263</f>
        <v>-3.0534255805236832E-5</v>
      </c>
      <c r="L263" s="39">
        <f>'Impacts A'!L263-'Impacts B'!L263</f>
        <v>-1.9469281606898647E-5</v>
      </c>
      <c r="M263" s="6"/>
      <c r="N263" s="84" t="s">
        <v>168</v>
      </c>
    </row>
    <row r="264" spans="1:15" x14ac:dyDescent="0.25">
      <c r="A264" t="str">
        <v>US Economic</v>
      </c>
      <c r="C264" s="35">
        <f>'Impacts A'!C264-'Impacts B'!C264</f>
        <v>0</v>
      </c>
      <c r="D264" s="35">
        <f>'Impacts A'!D264-'Impacts B'!D264</f>
        <v>1.6167834455474428E-6</v>
      </c>
      <c r="E264" s="35">
        <f>'Impacts A'!E264-'Impacts B'!E264</f>
        <v>-4.6831909906522307E-6</v>
      </c>
      <c r="F264" s="35">
        <f>'Impacts A'!F264-'Impacts B'!F264</f>
        <v>-1.5576823099477249E-5</v>
      </c>
      <c r="G264" s="35">
        <f>'Impacts A'!G264-'Impacts B'!G264</f>
        <v>-2.6700144593942016E-5</v>
      </c>
      <c r="H264" s="35">
        <f>'Impacts A'!H264-'Impacts B'!H264</f>
        <v>-3.6347942245627818E-5</v>
      </c>
      <c r="I264" s="35">
        <f>'Impacts A'!I264-'Impacts B'!I264</f>
        <v>-5.5833194630455774E-5</v>
      </c>
      <c r="J264" s="35">
        <f>'Impacts A'!J264-'Impacts B'!J264</f>
        <v>-5.6513678477893015E-5</v>
      </c>
      <c r="K264" s="35">
        <f>'Impacts A'!K264-'Impacts B'!K264</f>
        <v>-2.7930335713688415E-5</v>
      </c>
      <c r="L264" s="35">
        <f>'Impacts A'!L264-'Impacts B'!L264</f>
        <v>-1.7313655735262667E-5</v>
      </c>
      <c r="M264" s="6"/>
      <c r="N264" s="84" t="s">
        <v>168</v>
      </c>
    </row>
    <row r="265" spans="1:15" x14ac:dyDescent="0.25">
      <c r="A265" t="str">
        <v>OT Economic</v>
      </c>
      <c r="C265" s="35">
        <f>'Impacts A'!C265-'Impacts B'!C265</f>
        <v>0</v>
      </c>
      <c r="D265" s="35">
        <f>'Impacts A'!D265-'Impacts B'!D265</f>
        <v>-6.6218479489663085E-6</v>
      </c>
      <c r="E265" s="35">
        <f>'Impacts A'!E265-'Impacts B'!E265</f>
        <v>-1.9855001906095987E-5</v>
      </c>
      <c r="F265" s="35">
        <f>'Impacts A'!F265-'Impacts B'!F265</f>
        <v>-4.240110270413433E-5</v>
      </c>
      <c r="G265" s="35">
        <f>'Impacts A'!G265-'Impacts B'!G265</f>
        <v>-6.3580274776930956E-5</v>
      </c>
      <c r="H265" s="35">
        <f>'Impacts A'!H265-'Impacts B'!H265</f>
        <v>-7.9607599217129676E-5</v>
      </c>
      <c r="I265" s="35">
        <f>'Impacts A'!I265-'Impacts B'!I265</f>
        <v>-9.4500343345793603E-5</v>
      </c>
      <c r="J265" s="35">
        <f>'Impacts A'!J265-'Impacts B'!J265</f>
        <v>-8.620591824964885E-5</v>
      </c>
      <c r="K265" s="35">
        <f>'Impacts A'!K265-'Impacts B'!K265</f>
        <v>-3.8357262594213015E-5</v>
      </c>
      <c r="L265" s="35">
        <f>'Impacts A'!L265-'Impacts B'!L265</f>
        <v>-2.2599005334744682E-5</v>
      </c>
      <c r="M265" s="6"/>
      <c r="N265" s="84" t="s">
        <v>168</v>
      </c>
    </row>
    <row r="266" spans="1:15" x14ac:dyDescent="0.25">
      <c r="A266" t="str">
        <v>EE Economic</v>
      </c>
      <c r="C266" s="35">
        <f>'Impacts A'!C266-'Impacts B'!C266</f>
        <v>0</v>
      </c>
      <c r="D266" s="35">
        <f>'Impacts A'!D266-'Impacts B'!D266</f>
        <v>-1.0914224821273466E-6</v>
      </c>
      <c r="E266" s="35">
        <f>'Impacts A'!E266-'Impacts B'!E266</f>
        <v>-6.6763858379264435E-6</v>
      </c>
      <c r="F266" s="35">
        <f>'Impacts A'!F266-'Impacts B'!F266</f>
        <v>-1.6938846464607804E-5</v>
      </c>
      <c r="G266" s="35">
        <f>'Impacts A'!G266-'Impacts B'!G266</f>
        <v>-3.1539912433153905E-5</v>
      </c>
      <c r="H266" s="35">
        <f>'Impacts A'!H266-'Impacts B'!H266</f>
        <v>-4.3481161531411239E-5</v>
      </c>
      <c r="I266" s="35">
        <f>'Impacts A'!I266-'Impacts B'!I266</f>
        <v>-5.7240049831458473E-5</v>
      </c>
      <c r="J266" s="35">
        <f>'Impacts A'!J266-'Impacts B'!J266</f>
        <v>-5.5686734500293156E-5</v>
      </c>
      <c r="K266" s="35">
        <f>'Impacts A'!K266-'Impacts B'!K266</f>
        <v>-2.6292998360488706E-5</v>
      </c>
      <c r="L266" s="35">
        <f>'Impacts A'!L266-'Impacts B'!L266</f>
        <v>-1.5457802438501034E-5</v>
      </c>
      <c r="M266" s="6"/>
      <c r="N266" s="84" t="s">
        <v>168</v>
      </c>
    </row>
    <row r="267" spans="1:15" x14ac:dyDescent="0.25">
      <c r="A267" t="str">
        <v>CA Economic</v>
      </c>
      <c r="C267" s="35">
        <f>'Impacts A'!C267-'Impacts B'!C267</f>
        <v>0</v>
      </c>
      <c r="D267" s="35">
        <f>'Impacts A'!D267-'Impacts B'!D267</f>
        <v>0</v>
      </c>
      <c r="E267" s="35">
        <f>'Impacts A'!E267-'Impacts B'!E267</f>
        <v>0</v>
      </c>
      <c r="F267" s="35">
        <f>'Impacts A'!F267-'Impacts B'!F267</f>
        <v>0</v>
      </c>
      <c r="G267" s="35">
        <f>'Impacts A'!G267-'Impacts B'!G267</f>
        <v>0</v>
      </c>
      <c r="H267" s="35">
        <f>'Impacts A'!H267-'Impacts B'!H267</f>
        <v>0</v>
      </c>
      <c r="I267" s="35">
        <f>'Impacts A'!I267-'Impacts B'!I267</f>
        <v>6.1665617483719348E-6</v>
      </c>
      <c r="J267" s="35">
        <f>'Impacts A'!J267-'Impacts B'!J267</f>
        <v>-1.9211225726019354E-5</v>
      </c>
      <c r="K267" s="35">
        <f>'Impacts A'!K267-'Impacts B'!K267</f>
        <v>-2.2313924573039157E-5</v>
      </c>
      <c r="L267" s="35">
        <f>'Impacts A'!L267-'Impacts B'!L267</f>
        <v>-1.5208600906729819E-5</v>
      </c>
      <c r="M267" s="6"/>
      <c r="N267" s="84" t="s">
        <v>168</v>
      </c>
    </row>
    <row r="268" spans="1:15" x14ac:dyDescent="0.25">
      <c r="A268" t="str">
        <v>IA Economic</v>
      </c>
      <c r="C268" s="35">
        <f>'Impacts A'!C268-'Impacts B'!C268</f>
        <v>0</v>
      </c>
      <c r="D268" s="35">
        <f>'Impacts A'!D268-'Impacts B'!D268</f>
        <v>4.6563423137038762E-6</v>
      </c>
      <c r="E268" s="35">
        <f>'Impacts A'!E268-'Impacts B'!E268</f>
        <v>1.0166071930474418E-5</v>
      </c>
      <c r="F268" s="35">
        <f>'Impacts A'!F268-'Impacts B'!F268</f>
        <v>6.9084472503200267E-6</v>
      </c>
      <c r="G268" s="35">
        <f>'Impacts A'!G268-'Impacts B'!G268</f>
        <v>-1.3210791764341201E-5</v>
      </c>
      <c r="H268" s="35">
        <f>'Impacts A'!H268-'Impacts B'!H268</f>
        <v>-3.3154934906352504E-5</v>
      </c>
      <c r="I268" s="35">
        <f>'Impacts A'!I268-'Impacts B'!I268</f>
        <v>-6.4249515439540605E-5</v>
      </c>
      <c r="J268" s="35">
        <f>'Impacts A'!J268-'Impacts B'!J268</f>
        <v>-7.4387147551618904E-5</v>
      </c>
      <c r="K268" s="35">
        <f>'Impacts A'!K268-'Impacts B'!K268</f>
        <v>-4.0638204199527905E-5</v>
      </c>
      <c r="L268" s="35">
        <f>'Impacts A'!L268-'Impacts B'!L268</f>
        <v>-2.501446673486285E-5</v>
      </c>
      <c r="M268" s="6"/>
      <c r="N268" s="84" t="s">
        <v>168</v>
      </c>
    </row>
    <row r="269" spans="1:15" x14ac:dyDescent="0.25">
      <c r="A269" t="str">
        <v>AF Economic</v>
      </c>
      <c r="C269" s="35">
        <f>'Impacts A'!C269-'Impacts B'!C269</f>
        <v>0</v>
      </c>
      <c r="D269" s="35">
        <f>'Impacts A'!D269-'Impacts B'!D269</f>
        <v>-4.0176640161704302E-6</v>
      </c>
      <c r="E269" s="35">
        <f>'Impacts A'!E269-'Impacts B'!E269</f>
        <v>-3.5778565540961482E-6</v>
      </c>
      <c r="F269" s="35">
        <f>'Impacts A'!F269-'Impacts B'!F269</f>
        <v>-1.8178257122358765E-6</v>
      </c>
      <c r="G269" s="35">
        <f>'Impacts A'!G269-'Impacts B'!G269</f>
        <v>-9.4882291367982818E-6</v>
      </c>
      <c r="H269" s="35">
        <f>'Impacts A'!H269-'Impacts B'!H269</f>
        <v>-1.7916163483693362E-5</v>
      </c>
      <c r="I269" s="35">
        <f>'Impacts A'!I269-'Impacts B'!I269</f>
        <v>-3.3167358307006206E-5</v>
      </c>
      <c r="J269" s="35">
        <f>'Impacts A'!J269-'Impacts B'!J269</f>
        <v>-4.2634547526052002E-5</v>
      </c>
      <c r="K269" s="35">
        <f>'Impacts A'!K269-'Impacts B'!K269</f>
        <v>-2.4955203978410667E-5</v>
      </c>
      <c r="L269" s="35">
        <f>'Impacts A'!L269-'Impacts B'!L269</f>
        <v>-1.5652736077675922E-5</v>
      </c>
      <c r="M269" s="6"/>
      <c r="N269" s="84" t="s">
        <v>168</v>
      </c>
    </row>
    <row r="270" spans="1:15" x14ac:dyDescent="0.25">
      <c r="A270" t="str">
        <v>LA Economic</v>
      </c>
      <c r="C270" s="35">
        <f>'Impacts A'!C270-'Impacts B'!C270</f>
        <v>0</v>
      </c>
      <c r="D270" s="35">
        <f>'Impacts A'!D270-'Impacts B'!D270</f>
        <v>-7.0589460943043525E-6</v>
      </c>
      <c r="E270" s="35">
        <f>'Impacts A'!E270-'Impacts B'!E270</f>
        <v>-1.0972673158176488E-5</v>
      </c>
      <c r="F270" s="35">
        <f>'Impacts A'!F270-'Impacts B'!F270</f>
        <v>-1.1346379372494109E-5</v>
      </c>
      <c r="G270" s="35">
        <f>'Impacts A'!G270-'Impacts B'!G270</f>
        <v>-2.0473924755943715E-5</v>
      </c>
      <c r="H270" s="35">
        <f>'Impacts A'!H270-'Impacts B'!H270</f>
        <v>-2.9135625100379023E-5</v>
      </c>
      <c r="I270" s="35">
        <f>'Impacts A'!I270-'Impacts B'!I270</f>
        <v>-4.4336328076030607E-5</v>
      </c>
      <c r="J270" s="35">
        <f>'Impacts A'!J270-'Impacts B'!J270</f>
        <v>-4.9372836542244114E-5</v>
      </c>
      <c r="K270" s="35">
        <f>'Impacts A'!K270-'Impacts B'!K270</f>
        <v>-2.6250777044239948E-5</v>
      </c>
      <c r="L270" s="35">
        <f>'Impacts A'!L270-'Impacts B'!L270</f>
        <v>-1.6119393049518482E-5</v>
      </c>
      <c r="M270" s="6"/>
      <c r="N270" s="84" t="s">
        <v>168</v>
      </c>
    </row>
    <row r="271" spans="1:15" s="2" customFormat="1" ht="15" x14ac:dyDescent="0.4">
      <c r="A271" s="2" t="s">
        <v>280</v>
      </c>
      <c r="C271" s="2" t="s">
        <v>292</v>
      </c>
    </row>
    <row r="272" spans="1:15" x14ac:dyDescent="0.25">
      <c r="A272" t="str">
        <f t="array" ref="A272:A279">R_CODE&amp;" "&amp;I_1_NAME</f>
        <v>EU Economic</v>
      </c>
      <c r="C272" s="39">
        <f>'Impacts A'!C272-'Impacts B'!C272</f>
        <v>0</v>
      </c>
      <c r="D272" s="39">
        <f>'Impacts A'!D272-'Impacts B'!D272</f>
        <v>1.3102886593863161E-3</v>
      </c>
      <c r="E272" s="39">
        <f>'Impacts A'!E272-'Impacts B'!E272</f>
        <v>-1.2912233727568889E-4</v>
      </c>
      <c r="F272" s="39">
        <f>'Impacts A'!F272-'Impacts B'!F272</f>
        <v>-4.0605455496329768E-3</v>
      </c>
      <c r="G272" s="39">
        <f>'Impacts A'!G272-'Impacts B'!G272</f>
        <v>-9.2540213831941998E-3</v>
      </c>
      <c r="H272" s="39">
        <f>'Impacts A'!H272-'Impacts B'!H272</f>
        <v>-1.5307821607661865E-2</v>
      </c>
      <c r="I272" s="39">
        <f>'Impacts A'!I272-'Impacts B'!I272</f>
        <v>-3.0279835185027082E-2</v>
      </c>
      <c r="J272" s="39">
        <f>'Impacts A'!J272-'Impacts B'!J272</f>
        <v>-4.0948771540996631E-2</v>
      </c>
      <c r="K272" s="39">
        <f>'Impacts A'!K272-'Impacts B'!K272</f>
        <v>-6.6150952913858418E-2</v>
      </c>
      <c r="L272" s="39">
        <f>'Impacts A'!L272-'Impacts B'!L272</f>
        <v>-5.9317603440604216E-2</v>
      </c>
      <c r="M272" s="6"/>
      <c r="N272" s="1" t="str">
        <f t="shared" ref="N272:N279" si="9">CURRENCY_NAME&amp;"/"&amp;POP_UNIT_NAME</f>
        <v>$million/million</v>
      </c>
      <c r="O272" s="1"/>
    </row>
    <row r="273" spans="1:15" x14ac:dyDescent="0.25">
      <c r="A273" t="str">
        <v>US Economic</v>
      </c>
      <c r="C273" s="35">
        <f>'Impacts A'!C273-'Impacts B'!C273</f>
        <v>0</v>
      </c>
      <c r="D273" s="35">
        <f>'Impacts A'!D273-'Impacts B'!D273</f>
        <v>7.1980689430795053E-4</v>
      </c>
      <c r="E273" s="35">
        <f>'Impacts A'!E273-'Impacts B'!E273</f>
        <v>-2.3122316344981186E-3</v>
      </c>
      <c r="F273" s="35">
        <f>'Impacts A'!F273-'Impacts B'!F273</f>
        <v>-8.5638927900948403E-3</v>
      </c>
      <c r="G273" s="35">
        <f>'Impacts A'!G273-'Impacts B'!G273</f>
        <v>-1.6162698220913541E-2</v>
      </c>
      <c r="H273" s="35">
        <f>'Impacts A'!H273-'Impacts B'!H273</f>
        <v>-2.4402350827205765E-2</v>
      </c>
      <c r="I273" s="35">
        <f>'Impacts A'!I273-'Impacts B'!I273</f>
        <v>-4.6490554409672313E-2</v>
      </c>
      <c r="J273" s="35">
        <f>'Impacts A'!J273-'Impacts B'!J273</f>
        <v>-5.8815395300086948E-2</v>
      </c>
      <c r="K273" s="35">
        <f>'Impacts A'!K273-'Impacts B'!K273</f>
        <v>-8.1199921839584022E-2</v>
      </c>
      <c r="L273" s="35">
        <f>'Impacts A'!L273-'Impacts B'!L273</f>
        <v>-7.0883279910503916E-2</v>
      </c>
      <c r="M273" s="6"/>
      <c r="N273" s="1" t="str">
        <f t="shared" si="9"/>
        <v>$million/million</v>
      </c>
      <c r="O273" s="1"/>
    </row>
    <row r="274" spans="1:15" x14ac:dyDescent="0.25">
      <c r="A274" t="str">
        <v>OT Economic</v>
      </c>
      <c r="C274" s="35">
        <f>'Impacts A'!C274-'Impacts B'!C274</f>
        <v>0</v>
      </c>
      <c r="D274" s="35">
        <f>'Impacts A'!D274-'Impacts B'!D274</f>
        <v>-1.8892838190041061E-3</v>
      </c>
      <c r="E274" s="35">
        <f>'Impacts A'!E274-'Impacts B'!E274</f>
        <v>-7.3859651733538811E-3</v>
      </c>
      <c r="F274" s="35">
        <f>'Impacts A'!F274-'Impacts B'!F274</f>
        <v>-2.0489980602931723E-2</v>
      </c>
      <c r="G274" s="35">
        <f>'Impacts A'!G274-'Impacts B'!G274</f>
        <v>-3.9195233960825249E-2</v>
      </c>
      <c r="H274" s="35">
        <f>'Impacts A'!H274-'Impacts B'!H274</f>
        <v>-6.1981851047193004E-2</v>
      </c>
      <c r="I274" s="35">
        <f>'Impacts A'!I274-'Impacts B'!I274</f>
        <v>-0.11033356915925197</v>
      </c>
      <c r="J274" s="35">
        <f>'Impacts A'!J274-'Impacts B'!J274</f>
        <v>-0.14365327431971764</v>
      </c>
      <c r="K274" s="35">
        <f>'Impacts A'!K274-'Impacts B'!K274</f>
        <v>-0.19509436386169909</v>
      </c>
      <c r="L274" s="35">
        <f>'Impacts A'!L274-'Impacts B'!L274</f>
        <v>-0.16185269836205407</v>
      </c>
      <c r="M274" s="6"/>
      <c r="N274" s="1" t="str">
        <f t="shared" si="9"/>
        <v>$million/million</v>
      </c>
      <c r="O274" s="1"/>
    </row>
    <row r="275" spans="1:15" x14ac:dyDescent="0.25">
      <c r="A275" t="str">
        <v>EE Economic</v>
      </c>
      <c r="C275" s="35">
        <f>'Impacts A'!C275-'Impacts B'!C275</f>
        <v>0</v>
      </c>
      <c r="D275" s="35">
        <f>'Impacts A'!D275-'Impacts B'!D275</f>
        <v>-4.1553318990916743E-5</v>
      </c>
      <c r="E275" s="35">
        <f>'Impacts A'!E275-'Impacts B'!E275</f>
        <v>-3.316781628979748E-4</v>
      </c>
      <c r="F275" s="35">
        <f>'Impacts A'!F275-'Impacts B'!F275</f>
        <v>-1.0936209046001899E-3</v>
      </c>
      <c r="G275" s="35">
        <f>'Impacts A'!G275-'Impacts B'!G275</f>
        <v>-2.5982535867710155E-3</v>
      </c>
      <c r="H275" s="35">
        <f>'Impacts A'!H275-'Impacts B'!H275</f>
        <v>-4.5240985871490835E-3</v>
      </c>
      <c r="I275" s="35">
        <f>'Impacts A'!I275-'Impacts B'!I275</f>
        <v>-8.9363257047914146E-3</v>
      </c>
      <c r="J275" s="35">
        <f>'Impacts A'!J275-'Impacts B'!J275</f>
        <v>-1.2404757334266492E-2</v>
      </c>
      <c r="K275" s="35">
        <f>'Impacts A'!K275-'Impacts B'!K275</f>
        <v>-1.786663157739099E-2</v>
      </c>
      <c r="L275" s="35">
        <f>'Impacts A'!L275-'Impacts B'!L275</f>
        <v>-1.4792687668432336E-2</v>
      </c>
      <c r="M275" s="6"/>
      <c r="N275" s="1" t="str">
        <f t="shared" si="9"/>
        <v>$million/million</v>
      </c>
      <c r="O275" s="1"/>
    </row>
    <row r="276" spans="1:15" x14ac:dyDescent="0.25">
      <c r="A276" t="str">
        <v>CA Economic</v>
      </c>
      <c r="C276" s="35">
        <f>'Impacts A'!C276-'Impacts B'!C276</f>
        <v>0</v>
      </c>
      <c r="D276" s="35">
        <f>'Impacts A'!D276-'Impacts B'!D276</f>
        <v>0</v>
      </c>
      <c r="E276" s="35">
        <f>'Impacts A'!E276-'Impacts B'!E276</f>
        <v>0</v>
      </c>
      <c r="F276" s="35">
        <f>'Impacts A'!F276-'Impacts B'!F276</f>
        <v>0</v>
      </c>
      <c r="G276" s="35">
        <f>'Impacts A'!G276-'Impacts B'!G276</f>
        <v>0</v>
      </c>
      <c r="H276" s="35">
        <f>'Impacts A'!H276-'Impacts B'!H276</f>
        <v>0</v>
      </c>
      <c r="I276" s="35">
        <f>'Impacts A'!I276-'Impacts B'!I276</f>
        <v>8.7754911507609279E-4</v>
      </c>
      <c r="J276" s="35">
        <f>'Impacts A'!J276-'Impacts B'!J276</f>
        <v>-3.920836210343559E-3</v>
      </c>
      <c r="K276" s="35">
        <f>'Impacts A'!K276-'Impacts B'!K276</f>
        <v>-1.3907465627681859E-2</v>
      </c>
      <c r="L276" s="35">
        <f>'Impacts A'!L276-'Impacts B'!L276</f>
        <v>-1.3331343399443085E-2</v>
      </c>
      <c r="M276" s="6"/>
      <c r="N276" s="1" t="str">
        <f t="shared" si="9"/>
        <v>$million/million</v>
      </c>
      <c r="O276" s="1"/>
    </row>
    <row r="277" spans="1:15" x14ac:dyDescent="0.25">
      <c r="A277" t="str">
        <v>IA Economic</v>
      </c>
      <c r="C277" s="35">
        <f>'Impacts A'!C277-'Impacts B'!C277</f>
        <v>0</v>
      </c>
      <c r="D277" s="35">
        <f>'Impacts A'!D277-'Impacts B'!D277</f>
        <v>8.8192328273950515E-5</v>
      </c>
      <c r="E277" s="35">
        <f>'Impacts A'!E277-'Impacts B'!E277</f>
        <v>2.5174637762770402E-4</v>
      </c>
      <c r="F277" s="35">
        <f>'Impacts A'!F277-'Impacts B'!F277</f>
        <v>2.2382597500025803E-4</v>
      </c>
      <c r="G277" s="35">
        <f>'Impacts A'!G277-'Impacts B'!G277</f>
        <v>-5.4131124249967577E-4</v>
      </c>
      <c r="H277" s="35">
        <f>'Impacts A'!H277-'Impacts B'!H277</f>
        <v>-1.7005819254242716E-3</v>
      </c>
      <c r="I277" s="35">
        <f>'Impacts A'!I277-'Impacts B'!I277</f>
        <v>-4.911510972259947E-3</v>
      </c>
      <c r="J277" s="35">
        <f>'Impacts A'!J277-'Impacts B'!J277</f>
        <v>-8.1684954266236787E-3</v>
      </c>
      <c r="K277" s="35">
        <f>'Impacts A'!K277-'Impacts B'!K277</f>
        <v>-1.367369694015963E-2</v>
      </c>
      <c r="L277" s="35">
        <f>'Impacts A'!L277-'Impacts B'!L277</f>
        <v>-1.1803539768862947E-2</v>
      </c>
      <c r="M277" s="6"/>
      <c r="N277" s="1" t="str">
        <f t="shared" si="9"/>
        <v>$million/million</v>
      </c>
      <c r="O277" s="1"/>
    </row>
    <row r="278" spans="1:15" x14ac:dyDescent="0.25">
      <c r="A278" t="str">
        <v>AF Economic</v>
      </c>
      <c r="C278" s="35">
        <f>'Impacts A'!C278-'Impacts B'!C278</f>
        <v>0</v>
      </c>
      <c r="D278" s="35">
        <f>'Impacts A'!D278-'Impacts B'!D278</f>
        <v>-1.3354911975138606E-4</v>
      </c>
      <c r="E278" s="35">
        <f>'Impacts A'!E278-'Impacts B'!E278</f>
        <v>-1.5554687286223334E-4</v>
      </c>
      <c r="F278" s="35">
        <f>'Impacts A'!F278-'Impacts B'!F278</f>
        <v>-1.0355094882896765E-4</v>
      </c>
      <c r="G278" s="35">
        <f>'Impacts A'!G278-'Impacts B'!G278</f>
        <v>-6.8133645797630038E-4</v>
      </c>
      <c r="H278" s="35">
        <f>'Impacts A'!H278-'Impacts B'!H278</f>
        <v>-1.610845021839058E-3</v>
      </c>
      <c r="I278" s="35">
        <f>'Impacts A'!I278-'Impacts B'!I278</f>
        <v>-4.4527070862629969E-3</v>
      </c>
      <c r="J278" s="35">
        <f>'Impacts A'!J278-'Impacts B'!J278</f>
        <v>-8.2302987101385838E-3</v>
      </c>
      <c r="K278" s="35">
        <f>'Impacts A'!K278-'Impacts B'!K278</f>
        <v>-1.4771491020198368E-2</v>
      </c>
      <c r="L278" s="35">
        <f>'Impacts A'!L278-'Impacts B'!L278</f>
        <v>-1.3037985810484543E-2</v>
      </c>
      <c r="M278" s="6"/>
      <c r="N278" s="1" t="str">
        <f t="shared" si="9"/>
        <v>$million/million</v>
      </c>
      <c r="O278" s="1"/>
    </row>
    <row r="279" spans="1:15" x14ac:dyDescent="0.25">
      <c r="A279" t="str">
        <v>LA Economic</v>
      </c>
      <c r="C279" s="35">
        <f>'Impacts A'!C279-'Impacts B'!C279</f>
        <v>0</v>
      </c>
      <c r="D279" s="35">
        <f>'Impacts A'!D279-'Impacts B'!D279</f>
        <v>-4.2915028283263545E-4</v>
      </c>
      <c r="E279" s="35">
        <f>'Impacts A'!E279-'Impacts B'!E279</f>
        <v>-8.7163807157386586E-4</v>
      </c>
      <c r="F279" s="35">
        <f>'Impacts A'!F279-'Impacts B'!F279</f>
        <v>-1.1771593301945771E-3</v>
      </c>
      <c r="G279" s="35">
        <f>'Impacts A'!G279-'Impacts B'!G279</f>
        <v>-2.697642197353578E-3</v>
      </c>
      <c r="H279" s="35">
        <f>'Impacts A'!H279-'Impacts B'!H279</f>
        <v>-4.8263543439657219E-3</v>
      </c>
      <c r="I279" s="35">
        <f>'Impacts A'!I279-'Impacts B'!I279</f>
        <v>-1.0988588025366397E-2</v>
      </c>
      <c r="J279" s="35">
        <f>'Impacts A'!J279-'Impacts B'!J279</f>
        <v>-1.7512878090713002E-2</v>
      </c>
      <c r="K279" s="35">
        <f>'Impacts A'!K279-'Impacts B'!K279</f>
        <v>-2.8455709381631777E-2</v>
      </c>
      <c r="L279" s="35">
        <f>'Impacts A'!L279-'Impacts B'!L279</f>
        <v>-2.4609015011265001E-2</v>
      </c>
      <c r="M279" s="6"/>
      <c r="N279" s="1" t="str">
        <f t="shared" si="9"/>
        <v>$million/million</v>
      </c>
      <c r="O279" s="1"/>
    </row>
    <row r="280" spans="1:15" s="2" customFormat="1" ht="15" x14ac:dyDescent="0.4">
      <c r="A280" s="2" t="s">
        <v>282</v>
      </c>
      <c r="C280" s="2" t="s">
        <v>294</v>
      </c>
    </row>
    <row r="281" spans="1:15" x14ac:dyDescent="0.25">
      <c r="A281" t="str">
        <f t="array" ref="A281:A288">R_CODE&amp;" "&amp;I_1_NAME</f>
        <v>EU Economic</v>
      </c>
      <c r="C281" s="39">
        <f>'Impacts A'!C281-'Impacts B'!C281</f>
        <v>0</v>
      </c>
      <c r="D281" s="39">
        <f>'Impacts A'!D281-'Impacts B'!D281</f>
        <v>-1.3102886587148532E-3</v>
      </c>
      <c r="E281" s="39">
        <f>'Impacts A'!E281-'Impacts B'!E281</f>
        <v>1.291223343287129E-4</v>
      </c>
      <c r="F281" s="39">
        <f>'Impacts A'!F281-'Impacts B'!F281</f>
        <v>9.3832888269389514E-3</v>
      </c>
      <c r="G281" s="39">
        <f>'Impacts A'!G281-'Impacts B'!G281</f>
        <v>1.4672317505755927E-2</v>
      </c>
      <c r="H281" s="39">
        <f>'Impacts A'!H281-'Impacts B'!H281</f>
        <v>2.0834231880144216E-2</v>
      </c>
      <c r="I281" s="39">
        <f>'Impacts A'!I281-'Impacts B'!I281</f>
        <v>3.8547410418686923E-2</v>
      </c>
      <c r="J281" s="39">
        <f>'Impacts A'!J281-'Impacts B'!J281</f>
        <v>5.2056527543754783E-2</v>
      </c>
      <c r="K281" s="39">
        <f>'Impacts A'!K281-'Impacts B'!K281</f>
        <v>9.2397295869886875E-2</v>
      </c>
      <c r="L281" s="39">
        <f>'Impacts A'!L281-'Impacts B'!L281</f>
        <v>0.13162775765522383</v>
      </c>
      <c r="M281" s="6"/>
      <c r="N281" s="1" t="str">
        <f t="shared" ref="N281:N288" si="10">CURRENCY_NAME&amp;"/"&amp;POP_UNIT_NAME</f>
        <v>$million/million</v>
      </c>
      <c r="O281" s="1"/>
    </row>
    <row r="282" spans="1:15" x14ac:dyDescent="0.25">
      <c r="A282" t="str">
        <v>US Economic</v>
      </c>
      <c r="C282" s="35">
        <f>'Impacts A'!C282-'Impacts B'!C282</f>
        <v>0</v>
      </c>
      <c r="D282" s="35">
        <f>'Impacts A'!D282-'Impacts B'!D282</f>
        <v>-7.1980689244810492E-4</v>
      </c>
      <c r="E282" s="35">
        <f>'Impacts A'!E282-'Impacts B'!E282</f>
        <v>2.3122316342778504E-3</v>
      </c>
      <c r="F282" s="35">
        <f>'Impacts A'!F282-'Impacts B'!F282</f>
        <v>1.4474726762273349E-2</v>
      </c>
      <c r="G282" s="35">
        <f>'Impacts A'!G282-'Impacts B'!G282</f>
        <v>2.2079241658502724E-2</v>
      </c>
      <c r="H282" s="35">
        <f>'Impacts A'!H282-'Impacts B'!H282</f>
        <v>3.0367168103111908E-2</v>
      </c>
      <c r="I282" s="35">
        <f>'Impacts A'!I282-'Impacts B'!I282</f>
        <v>5.5302155742538162E-2</v>
      </c>
      <c r="J282" s="35">
        <f>'Impacts A'!J282-'Impacts B'!J282</f>
        <v>7.0623461433569901E-2</v>
      </c>
      <c r="K282" s="35">
        <f>'Impacts A'!K282-'Impacts B'!K282</f>
        <v>0.10697385051753372</v>
      </c>
      <c r="L282" s="35">
        <f>'Impacts A'!L282-'Impacts B'!L282</f>
        <v>0.14188945840578526</v>
      </c>
      <c r="M282" s="6"/>
      <c r="N282" s="1" t="str">
        <f t="shared" si="10"/>
        <v>$million/million</v>
      </c>
      <c r="O282" s="1"/>
    </row>
    <row r="283" spans="1:15" x14ac:dyDescent="0.25">
      <c r="A283" t="str">
        <v>OT Economic</v>
      </c>
      <c r="C283" s="35">
        <f>'Impacts A'!C283-'Impacts B'!C283</f>
        <v>0</v>
      </c>
      <c r="D283" s="35">
        <f>'Impacts A'!D283-'Impacts B'!D283</f>
        <v>1.8892838161264081E-3</v>
      </c>
      <c r="E283" s="35">
        <f>'Impacts A'!E283-'Impacts B'!E283</f>
        <v>7.3859651747625321E-3</v>
      </c>
      <c r="F283" s="35">
        <f>'Impacts A'!F283-'Impacts B'!F283</f>
        <v>2.5891686484101228E-2</v>
      </c>
      <c r="G283" s="35">
        <f>'Impacts A'!G283-'Impacts B'!G283</f>
        <v>4.5188534539192915E-2</v>
      </c>
      <c r="H283" s="35">
        <f>'Impacts A'!H283-'Impacts B'!H283</f>
        <v>6.859914559754543E-2</v>
      </c>
      <c r="I283" s="35">
        <f>'Impacts A'!I283-'Impacts B'!I283</f>
        <v>0.12149754408164881</v>
      </c>
      <c r="J283" s="35">
        <f>'Impacts A'!J283-'Impacts B'!J283</f>
        <v>0.1600688463950064</v>
      </c>
      <c r="K283" s="35">
        <f>'Impacts A'!K283-'Impacts B'!K283</f>
        <v>0.23321287252474576</v>
      </c>
      <c r="L283" s="35">
        <f>'Impacts A'!L283-'Impacts B'!L283</f>
        <v>0.26686524343676865</v>
      </c>
      <c r="M283" s="6"/>
      <c r="N283" s="1" t="str">
        <f t="shared" si="10"/>
        <v>$million/million</v>
      </c>
      <c r="O283" s="1"/>
    </row>
    <row r="284" spans="1:15" x14ac:dyDescent="0.25">
      <c r="A284" t="str">
        <v>EE Economic</v>
      </c>
      <c r="C284" s="35">
        <f>'Impacts A'!C284-'Impacts B'!C284</f>
        <v>0</v>
      </c>
      <c r="D284" s="35">
        <f>'Impacts A'!D284-'Impacts B'!D284</f>
        <v>4.1553319078957429E-5</v>
      </c>
      <c r="E284" s="35">
        <f>'Impacts A'!E284-'Impacts B'!E284</f>
        <v>3.3167816309287446E-4</v>
      </c>
      <c r="F284" s="35">
        <f>'Impacts A'!F284-'Impacts B'!F284</f>
        <v>1.7535820925331791E-3</v>
      </c>
      <c r="G284" s="35">
        <f>'Impacts A'!G284-'Impacts B'!G284</f>
        <v>3.3306093891951605E-3</v>
      </c>
      <c r="H284" s="35">
        <f>'Impacts A'!H284-'Impacts B'!H284</f>
        <v>5.3327270215959288E-3</v>
      </c>
      <c r="I284" s="35">
        <f>'Impacts A'!I284-'Impacts B'!I284</f>
        <v>1.0301107755367411E-2</v>
      </c>
      <c r="J284" s="35">
        <f>'Impacts A'!J284-'Impacts B'!J284</f>
        <v>1.4411105443286942E-2</v>
      </c>
      <c r="K284" s="35">
        <f>'Impacts A'!K284-'Impacts B'!K284</f>
        <v>2.2523413252201863E-2</v>
      </c>
      <c r="L284" s="35">
        <f>'Impacts A'!L284-'Impacts B'!L284</f>
        <v>2.7620056294836104E-2</v>
      </c>
      <c r="M284" s="6"/>
      <c r="N284" s="1" t="str">
        <f t="shared" si="10"/>
        <v>$million/million</v>
      </c>
      <c r="O284" s="1"/>
    </row>
    <row r="285" spans="1:15" x14ac:dyDescent="0.25">
      <c r="A285" t="str">
        <v>CA Economic</v>
      </c>
      <c r="C285" s="35">
        <f>'Impacts A'!C285-'Impacts B'!C285</f>
        <v>0</v>
      </c>
      <c r="D285" s="35">
        <f>'Impacts A'!D285-'Impacts B'!D285</f>
        <v>1.6032813027777593E-4</v>
      </c>
      <c r="E285" s="35">
        <f>'Impacts A'!E285-'Impacts B'!E285</f>
        <v>6.1290963321880554E-4</v>
      </c>
      <c r="F285" s="35">
        <f>'Impacts A'!F285-'Impacts B'!F285</f>
        <v>1.0370421869083657E-3</v>
      </c>
      <c r="G285" s="35">
        <f>'Impacts A'!G285-'Impacts B'!G285</f>
        <v>1.5282444019248942E-3</v>
      </c>
      <c r="H285" s="35">
        <f>'Impacts A'!H285-'Impacts B'!H285</f>
        <v>2.0566864441207144E-3</v>
      </c>
      <c r="I285" s="35">
        <f>'Impacts A'!I285-'Impacts B'!I285</f>
        <v>2.7529257131391205E-3</v>
      </c>
      <c r="J285" s="35">
        <f>'Impacts A'!J285-'Impacts B'!J285</f>
        <v>9.3735864356858656E-3</v>
      </c>
      <c r="K285" s="35">
        <f>'Impacts A'!K285-'Impacts B'!K285</f>
        <v>2.691994076303672E-2</v>
      </c>
      <c r="L285" s="35">
        <f>'Impacts A'!L285-'Impacts B'!L285</f>
        <v>3.59991499572061E-2</v>
      </c>
      <c r="M285" s="6"/>
      <c r="N285" s="1" t="str">
        <f t="shared" si="10"/>
        <v>$million/million</v>
      </c>
      <c r="O285" s="1"/>
    </row>
    <row r="286" spans="1:15" x14ac:dyDescent="0.25">
      <c r="A286" t="str">
        <v>IA Economic</v>
      </c>
      <c r="C286" s="35">
        <f>'Impacts A'!C286-'Impacts B'!C286</f>
        <v>0</v>
      </c>
      <c r="D286" s="35">
        <f>'Impacts A'!D286-'Impacts B'!D286</f>
        <v>1.6188578229048289E-5</v>
      </c>
      <c r="E286" s="35">
        <f>'Impacts A'!E286-'Impacts B'!E286</f>
        <v>1.4728597352586803E-4</v>
      </c>
      <c r="F286" s="35">
        <f>'Impacts A'!F286-'Impacts B'!F286</f>
        <v>4.5332806439546403E-4</v>
      </c>
      <c r="G286" s="35">
        <f>'Impacts A'!G286-'Impacts B'!G286</f>
        <v>1.5348445363088103E-3</v>
      </c>
      <c r="H286" s="35">
        <f>'Impacts A'!H286-'Impacts B'!H286</f>
        <v>3.0340654575411463E-3</v>
      </c>
      <c r="I286" s="35">
        <f>'Impacts A'!I286-'Impacts B'!I286</f>
        <v>7.2607810052431887E-3</v>
      </c>
      <c r="J286" s="35">
        <f>'Impacts A'!J286-'Impacts B'!J286</f>
        <v>1.1707709934853483E-2</v>
      </c>
      <c r="K286" s="35">
        <f>'Impacts A'!K286-'Impacts B'!K286</f>
        <v>2.2143459253129549E-2</v>
      </c>
      <c r="L286" s="35">
        <f>'Impacts A'!L286-'Impacts B'!L286</f>
        <v>2.655498113745125E-2</v>
      </c>
      <c r="M286" s="6"/>
      <c r="N286" s="1" t="str">
        <f t="shared" si="10"/>
        <v>$million/million</v>
      </c>
      <c r="O286" s="1"/>
    </row>
    <row r="287" spans="1:15" x14ac:dyDescent="0.25">
      <c r="A287" t="str">
        <v>AF Economic</v>
      </c>
      <c r="C287" s="35">
        <f>'Impacts A'!C287-'Impacts B'!C287</f>
        <v>0</v>
      </c>
      <c r="D287" s="35">
        <f>'Impacts A'!D287-'Impacts B'!D287</f>
        <v>2.493921056156978E-4</v>
      </c>
      <c r="E287" s="35">
        <f>'Impacts A'!E287-'Impacts B'!E287</f>
        <v>5.9846320709766587E-4</v>
      </c>
      <c r="F287" s="35">
        <f>'Impacts A'!F287-'Impacts B'!F287</f>
        <v>8.5448077334149275E-4</v>
      </c>
      <c r="G287" s="35">
        <f>'Impacts A'!G287-'Impacts B'!G287</f>
        <v>1.7840623158917879E-3</v>
      </c>
      <c r="H287" s="35">
        <f>'Impacts A'!H287-'Impacts B'!H287</f>
        <v>3.0905220464774175E-3</v>
      </c>
      <c r="I287" s="35">
        <f>'Impacts A'!I287-'Impacts B'!I287</f>
        <v>7.0616999764752109E-3</v>
      </c>
      <c r="J287" s="35">
        <f>'Impacts A'!J287-'Impacts B'!J287</f>
        <v>1.2162153998360736E-2</v>
      </c>
      <c r="K287" s="35">
        <f>'Impacts A'!K287-'Impacts B'!K287</f>
        <v>2.4174023674277123E-2</v>
      </c>
      <c r="L287" s="35">
        <f>'Impacts A'!L287-'Impacts B'!L287</f>
        <v>2.9414167496724986E-2</v>
      </c>
      <c r="M287" s="6"/>
      <c r="N287" s="1" t="str">
        <f t="shared" si="10"/>
        <v>$million/million</v>
      </c>
      <c r="O287" s="1"/>
    </row>
    <row r="288" spans="1:15" x14ac:dyDescent="0.25">
      <c r="A288" t="str">
        <v>LA Economic</v>
      </c>
      <c r="C288" s="35">
        <f>'Impacts A'!C288-'Impacts B'!C288</f>
        <v>0</v>
      </c>
      <c r="D288" s="35">
        <f>'Impacts A'!D288-'Impacts B'!D288</f>
        <v>6.0589669647015398E-4</v>
      </c>
      <c r="E288" s="35">
        <f>'Impacts A'!E288-'Impacts B'!E288</f>
        <v>1.547412660329428E-3</v>
      </c>
      <c r="F288" s="35">
        <f>'Impacts A'!F288-'Impacts B'!F288</f>
        <v>2.3214561733766459E-3</v>
      </c>
      <c r="G288" s="35">
        <f>'Impacts A'!G288-'Impacts B'!G288</f>
        <v>4.3842368377227103E-3</v>
      </c>
      <c r="H288" s="35">
        <f>'Impacts A'!H288-'Impacts B'!H288</f>
        <v>7.0955543906165985E-3</v>
      </c>
      <c r="I288" s="35">
        <f>'Impacts A'!I288-'Impacts B'!I288</f>
        <v>1.4994640452641761E-2</v>
      </c>
      <c r="J288" s="35">
        <f>'Impacts A'!J288-'Impacts B'!J288</f>
        <v>2.3529554775450379E-2</v>
      </c>
      <c r="K288" s="35">
        <f>'Impacts A'!K288-'Impacts B'!K288</f>
        <v>4.280597812612541E-2</v>
      </c>
      <c r="L288" s="35">
        <f>'Impacts A'!L288-'Impacts B'!L288</f>
        <v>4.9605827109189704E-2</v>
      </c>
      <c r="M288" s="6"/>
      <c r="N288" s="1" t="str">
        <f t="shared" si="10"/>
        <v>$million/million</v>
      </c>
      <c r="O288" s="1"/>
    </row>
    <row r="289" spans="1:15" s="2" customFormat="1" ht="15" x14ac:dyDescent="0.4">
      <c r="A289" s="2" t="s">
        <v>284</v>
      </c>
      <c r="C289" s="2" t="s">
        <v>293</v>
      </c>
    </row>
    <row r="290" spans="1:15" x14ac:dyDescent="0.25">
      <c r="A290" t="str">
        <f t="array" ref="A290:A297">R_CODE&amp;" "&amp;I_1_NAME</f>
        <v>EU Economic</v>
      </c>
      <c r="C290" s="39">
        <f>'Impacts A'!C290-'Impacts B'!C290</f>
        <v>0</v>
      </c>
      <c r="D290" s="39">
        <f>'Impacts A'!D290-'Impacts B'!D290</f>
        <v>-1.5415160705742892E-3</v>
      </c>
      <c r="E290" s="39">
        <f>'Impacts A'!E290-'Impacts B'!E290</f>
        <v>1.5190862905001268E-4</v>
      </c>
      <c r="F290" s="39">
        <f>'Impacts A'!F290-'Impacts B'!F290</f>
        <v>1.1039163327950519E-2</v>
      </c>
      <c r="G290" s="39">
        <f>'Impacts A'!G290-'Impacts B'!G290</f>
        <v>1.7261550005059689E-2</v>
      </c>
      <c r="H290" s="39">
        <f>'Impacts A'!H290-'Impacts B'!H290</f>
        <v>2.4510861032467801E-2</v>
      </c>
      <c r="I290" s="39">
        <f>'Impacts A'!I290-'Impacts B'!I290</f>
        <v>4.5349894608079921E-2</v>
      </c>
      <c r="J290" s="39">
        <f>'Impacts A'!J290-'Impacts B'!J290</f>
        <v>6.1242973577463999E-2</v>
      </c>
      <c r="K290" s="39">
        <f>'Impacts A'!K290-'Impacts B'!K290</f>
        <v>0.10870270102168433</v>
      </c>
      <c r="L290" s="39">
        <f>'Impacts A'!L290-'Impacts B'!L290</f>
        <v>0.15485618548700586</v>
      </c>
      <c r="M290" s="6"/>
      <c r="N290" s="1" t="str">
        <f t="shared" ref="N290:N297" si="11">CURRENCY_NAME&amp;"/"&amp;POP_UNIT_NAME</f>
        <v>$million/million</v>
      </c>
      <c r="O290" s="1"/>
    </row>
    <row r="291" spans="1:15" x14ac:dyDescent="0.25">
      <c r="A291" t="str">
        <v>US Economic</v>
      </c>
      <c r="C291" s="35">
        <f>'Impacts A'!C291-'Impacts B'!C291</f>
        <v>0</v>
      </c>
      <c r="D291" s="35">
        <f>'Impacts A'!D291-'Impacts B'!D291</f>
        <v>-8.4683163731824607E-4</v>
      </c>
      <c r="E291" s="35">
        <f>'Impacts A'!E291-'Impacts B'!E291</f>
        <v>2.7202725104871206E-3</v>
      </c>
      <c r="F291" s="35">
        <f>'Impacts A'!F291-'Impacts B'!F291</f>
        <v>1.7029090304276906E-2</v>
      </c>
      <c r="G291" s="35">
        <f>'Impacts A'!G291-'Impacts B'!G291</f>
        <v>2.5975578420911916E-2</v>
      </c>
      <c r="H291" s="35">
        <f>'Impacts A'!H291-'Impacts B'!H291</f>
        <v>3.5726080110180192E-2</v>
      </c>
      <c r="I291" s="35">
        <f>'Impacts A'!I291-'Impacts B'!I291</f>
        <v>6.5061359695391729E-2</v>
      </c>
      <c r="J291" s="35">
        <f>'Impacts A'!J291-'Impacts B'!J291</f>
        <v>8.3086425205692649E-2</v>
      </c>
      <c r="K291" s="35">
        <f>'Impacts A'!K291-'Impacts B'!K291</f>
        <v>0.1258515888475813</v>
      </c>
      <c r="L291" s="35">
        <f>'Impacts A'!L291-'Impacts B'!L291</f>
        <v>0.16692877461900935</v>
      </c>
      <c r="M291" s="6"/>
      <c r="N291" s="1" t="str">
        <f t="shared" si="11"/>
        <v>$million/million</v>
      </c>
      <c r="O291" s="1"/>
    </row>
    <row r="292" spans="1:15" x14ac:dyDescent="0.25">
      <c r="A292" t="str">
        <v>OT Economic</v>
      </c>
      <c r="C292" s="35">
        <f>'Impacts A'!C292-'Impacts B'!C292</f>
        <v>0</v>
      </c>
      <c r="D292" s="35">
        <f>'Impacts A'!D292-'Impacts B'!D292</f>
        <v>2.2226868459256366E-3</v>
      </c>
      <c r="E292" s="35">
        <f>'Impacts A'!E292-'Impacts B'!E292</f>
        <v>8.689370792126283E-3</v>
      </c>
      <c r="F292" s="35">
        <f>'Impacts A'!F292-'Impacts B'!F292</f>
        <v>3.0460807625786401E-2</v>
      </c>
      <c r="G292" s="35">
        <f>'Impacts A'!G292-'Impacts B'!G292</f>
        <v>5.3162981806963217E-2</v>
      </c>
      <c r="H292" s="35">
        <f>'Impacts A'!H292-'Impacts B'!H292</f>
        <v>8.0704877182142809E-2</v>
      </c>
      <c r="I292" s="35">
        <f>'Impacts A'!I292-'Impacts B'!I292</f>
        <v>0.14293828715744894</v>
      </c>
      <c r="J292" s="35">
        <f>'Impacts A'!J292-'Impacts B'!J292</f>
        <v>0.18831628988846205</v>
      </c>
      <c r="K292" s="35">
        <f>'Impacts A'!K292-'Impacts B'!K292</f>
        <v>0.27436808531638235</v>
      </c>
      <c r="L292" s="35">
        <f>'Impacts A'!L292-'Impacts B'!L292</f>
        <v>0.31395910994615406</v>
      </c>
      <c r="M292" s="6"/>
      <c r="N292" s="1" t="str">
        <f t="shared" si="11"/>
        <v>$million/million</v>
      </c>
      <c r="O292" s="1"/>
    </row>
    <row r="293" spans="1:15" x14ac:dyDescent="0.25">
      <c r="A293" t="str">
        <v>EE Economic</v>
      </c>
      <c r="C293" s="35">
        <f>'Impacts A'!C293-'Impacts B'!C293</f>
        <v>0</v>
      </c>
      <c r="D293" s="35">
        <f>'Impacts A'!D293-'Impacts B'!D293</f>
        <v>4.8886257900448982E-5</v>
      </c>
      <c r="E293" s="35">
        <f>'Impacts A'!E293-'Impacts B'!E293</f>
        <v>3.9020960321067832E-4</v>
      </c>
      <c r="F293" s="35">
        <f>'Impacts A'!F293-'Impacts B'!F293</f>
        <v>2.0630377557608881E-3</v>
      </c>
      <c r="G293" s="35">
        <f>'Impacts A'!G293-'Impacts B'!G293</f>
        <v>3.9183639873954235E-3</v>
      </c>
      <c r="H293" s="35">
        <f>'Impacts A'!H293-'Impacts B'!H293</f>
        <v>6.2737964963162085E-3</v>
      </c>
      <c r="I293" s="35">
        <f>'Impacts A'!I293-'Impacts B'!I293</f>
        <v>1.2118950300646247E-2</v>
      </c>
      <c r="J293" s="35">
        <f>'Impacts A'!J293-'Impacts B'!J293</f>
        <v>1.6954241698840633E-2</v>
      </c>
      <c r="K293" s="35">
        <f>'Impacts A'!K293-'Impacts B'!K293</f>
        <v>2.6498133229324594E-2</v>
      </c>
      <c r="L293" s="35">
        <f>'Impacts A'!L293-'Impacts B'!L293</f>
        <v>3.2494183877133764E-2</v>
      </c>
      <c r="M293" s="6"/>
      <c r="N293" s="1" t="str">
        <f t="shared" si="11"/>
        <v>$million/million</v>
      </c>
      <c r="O293" s="1"/>
    </row>
    <row r="294" spans="1:15" x14ac:dyDescent="0.25">
      <c r="A294" t="str">
        <v>CA Economic</v>
      </c>
      <c r="C294" s="35">
        <f>'Impacts A'!C294-'Impacts B'!C294</f>
        <v>0</v>
      </c>
      <c r="D294" s="35">
        <f>'Impacts A'!D294-'Impacts B'!D294</f>
        <v>1.8862132992580882E-4</v>
      </c>
      <c r="E294" s="35">
        <f>'Impacts A'!E294-'Impacts B'!E294</f>
        <v>7.2107015694200527E-4</v>
      </c>
      <c r="F294" s="35">
        <f>'Impacts A'!F294-'Impacts B'!F294</f>
        <v>1.2200496312289033E-3</v>
      </c>
      <c r="G294" s="35">
        <f>'Impacts A'!G294-'Impacts B'!G294</f>
        <v>1.7979345902858768E-3</v>
      </c>
      <c r="H294" s="35">
        <f>'Impacts A'!H294-'Impacts B'!H294</f>
        <v>2.4196311114792479E-3</v>
      </c>
      <c r="I294" s="35">
        <f>'Impacts A'!I294-'Impacts B'!I294</f>
        <v>3.2387361334258458E-3</v>
      </c>
      <c r="J294" s="35">
        <f>'Impacts A'!J294-'Impacts B'!J294</f>
        <v>1.1027748747437727E-2</v>
      </c>
      <c r="K294" s="35">
        <f>'Impacts A'!K294-'Impacts B'!K294</f>
        <v>3.1670518539613113E-2</v>
      </c>
      <c r="L294" s="35">
        <f>'Impacts A'!L294-'Impacts B'!L294</f>
        <v>4.2351941126980819E-2</v>
      </c>
      <c r="M294" s="6"/>
      <c r="N294" s="1" t="str">
        <f t="shared" si="11"/>
        <v>$million/million</v>
      </c>
      <c r="O294" s="1"/>
    </row>
    <row r="295" spans="1:15" x14ac:dyDescent="0.25">
      <c r="A295" t="str">
        <v>IA Economic</v>
      </c>
      <c r="C295" s="35">
        <f>'Impacts A'!C295-'Impacts B'!C295</f>
        <v>0</v>
      </c>
      <c r="D295" s="35">
        <f>'Impacts A'!D295-'Impacts B'!D295</f>
        <v>1.9045386352445348E-5</v>
      </c>
      <c r="E295" s="35">
        <f>'Impacts A'!E295-'Impacts B'!E295</f>
        <v>1.7327761634078342E-4</v>
      </c>
      <c r="F295" s="35">
        <f>'Impacts A'!F295-'Impacts B'!F295</f>
        <v>5.3332713468989823E-4</v>
      </c>
      <c r="G295" s="35">
        <f>'Impacts A'!G295-'Impacts B'!G295</f>
        <v>1.8056994545077032E-3</v>
      </c>
      <c r="H295" s="35">
        <f>'Impacts A'!H295-'Impacts B'!H295</f>
        <v>3.5694887737918179E-3</v>
      </c>
      <c r="I295" s="35">
        <f>'Impacts A'!I295-'Impacts B'!I295</f>
        <v>8.5420953000721056E-3</v>
      </c>
      <c r="J295" s="35">
        <f>'Impacts A'!J295-'Impacts B'!J295</f>
        <v>1.3773776394373272E-2</v>
      </c>
      <c r="K295" s="35">
        <f>'Impacts A'!K295-'Impacts B'!K295</f>
        <v>2.6051128530525602E-2</v>
      </c>
      <c r="L295" s="35">
        <f>'Impacts A'!L295-'Impacts B'!L295</f>
        <v>3.1241154283634387E-2</v>
      </c>
      <c r="M295" s="6"/>
      <c r="N295" s="1" t="str">
        <f t="shared" si="11"/>
        <v>$million/million</v>
      </c>
      <c r="O295" s="1"/>
    </row>
    <row r="296" spans="1:15" x14ac:dyDescent="0.25">
      <c r="A296" t="str">
        <v>AF Economic</v>
      </c>
      <c r="C296" s="35">
        <f>'Impacts A'!C296-'Impacts B'!C296</f>
        <v>0</v>
      </c>
      <c r="D296" s="35">
        <f>'Impacts A'!D296-'Impacts B'!D296</f>
        <v>2.9340247692744015E-4</v>
      </c>
      <c r="E296" s="35">
        <f>'Impacts A'!E296-'Impacts B'!E296</f>
        <v>7.0407436123787193E-4</v>
      </c>
      <c r="F296" s="35">
        <f>'Impacts A'!F296-'Impacts B'!F296</f>
        <v>1.0052714978883159E-3</v>
      </c>
      <c r="G296" s="35">
        <f>'Impacts A'!G296-'Impacts B'!G296</f>
        <v>2.0988968426536303E-3</v>
      </c>
      <c r="H296" s="35">
        <f>'Impacts A'!H296-'Impacts B'!H296</f>
        <v>3.6359082896524342E-3</v>
      </c>
      <c r="I296" s="35">
        <f>'Impacts A'!I296-'Impacts B'!I296</f>
        <v>8.3078823245159583E-3</v>
      </c>
      <c r="J296" s="35">
        <f>'Impacts A'!J296-'Impacts B'!J296</f>
        <v>1.4308416466519702E-2</v>
      </c>
      <c r="K296" s="35">
        <f>'Impacts A'!K296-'Impacts B'!K296</f>
        <v>2.8440027854230721E-2</v>
      </c>
      <c r="L296" s="35">
        <f>'Impacts A'!L296-'Impacts B'!L296</f>
        <v>3.4604902932187542E-2</v>
      </c>
      <c r="M296" s="6"/>
      <c r="N296" s="1" t="str">
        <f t="shared" si="11"/>
        <v>$million/million</v>
      </c>
      <c r="O296" s="1"/>
    </row>
    <row r="297" spans="1:15" x14ac:dyDescent="0.25">
      <c r="A297" t="str">
        <v>LA Economic</v>
      </c>
      <c r="C297" s="35">
        <f>'Impacts A'!C297-'Impacts B'!C297</f>
        <v>0</v>
      </c>
      <c r="D297" s="35">
        <f>'Impacts A'!D297-'Impacts B'!D297</f>
        <v>7.1281964301306289E-4</v>
      </c>
      <c r="E297" s="35">
        <f>'Impacts A'!E297-'Impacts B'!E297</f>
        <v>1.8204854832220008E-3</v>
      </c>
      <c r="F297" s="35">
        <f>'Impacts A'!F297-'Impacts B'!F297</f>
        <v>2.7311249104968738E-3</v>
      </c>
      <c r="G297" s="35">
        <f>'Impacts A'!G297-'Impacts B'!G297</f>
        <v>5.1579256905824877E-3</v>
      </c>
      <c r="H297" s="35">
        <f>'Impacts A'!H297-'Impacts B'!H297</f>
        <v>8.3477110492822248E-3</v>
      </c>
      <c r="I297" s="35">
        <f>'Impacts A'!I297-'Impacts B'!I297</f>
        <v>1.7640753470914206E-2</v>
      </c>
      <c r="J297" s="35">
        <f>'Impacts A'!J297-'Impacts B'!J297</f>
        <v>2.7681829145876691E-2</v>
      </c>
      <c r="K297" s="35">
        <f>'Impacts A'!K297-'Impacts B'!K297</f>
        <v>5.0359974266029894E-2</v>
      </c>
      <c r="L297" s="35">
        <f>'Impacts A'!L297-'Impacts B'!L297</f>
        <v>5.835979658877477E-2</v>
      </c>
      <c r="M297" s="6"/>
      <c r="N297" s="1" t="str">
        <f t="shared" si="11"/>
        <v>$million/million</v>
      </c>
      <c r="O297" s="1"/>
    </row>
    <row r="298" spans="1:15" s="2" customFormat="1" ht="15" x14ac:dyDescent="0.4">
      <c r="A298" s="2" t="s">
        <v>276</v>
      </c>
      <c r="C298" s="2" t="s">
        <v>295</v>
      </c>
    </row>
    <row r="299" spans="1:15" x14ac:dyDescent="0.25">
      <c r="A299" t="str">
        <f t="array" ref="A299:A306">R_CODE&amp;" "&amp;I_2_NAME</f>
        <v>EU Non-econ</v>
      </c>
      <c r="C299" s="39">
        <f>'Impacts A'!C299-'Impacts B'!C299</f>
        <v>0</v>
      </c>
      <c r="D299" s="39">
        <f>'Impacts A'!D299-'Impacts B'!D299</f>
        <v>-1.6245306362877576E-5</v>
      </c>
      <c r="E299" s="39">
        <f>'Impacts A'!E299-'Impacts B'!E299</f>
        <v>-4.1470029183920953E-5</v>
      </c>
      <c r="F299" s="39">
        <f>'Impacts A'!F299-'Impacts B'!F299</f>
        <v>-7.1046305107402841E-5</v>
      </c>
      <c r="G299" s="39">
        <f>'Impacts A'!G299-'Impacts B'!G299</f>
        <v>-9.7429763336209785E-5</v>
      </c>
      <c r="H299" s="39">
        <f>'Impacts A'!H299-'Impacts B'!H299</f>
        <v>-1.1865945982869608E-4</v>
      </c>
      <c r="I299" s="39">
        <f>'Impacts A'!I299-'Impacts B'!I299</f>
        <v>-1.4366055008774303E-4</v>
      </c>
      <c r="J299" s="39">
        <f>'Impacts A'!J299-'Impacts B'!J299</f>
        <v>-1.3838469131566278E-4</v>
      </c>
      <c r="K299" s="39">
        <f>'Impacts A'!K299-'Impacts B'!K299</f>
        <v>-7.1746970953467937E-5</v>
      </c>
      <c r="L299" s="39">
        <f>'Impacts A'!L299-'Impacts B'!L299</f>
        <v>-4.3796450154509614E-5</v>
      </c>
      <c r="M299" s="6"/>
      <c r="N299" s="84" t="s">
        <v>168</v>
      </c>
    </row>
    <row r="300" spans="1:15" x14ac:dyDescent="0.25">
      <c r="A300" t="str">
        <v>US Non-econ</v>
      </c>
      <c r="C300" s="35">
        <f>'Impacts A'!C300-'Impacts B'!C300</f>
        <v>0</v>
      </c>
      <c r="D300" s="35">
        <f>'Impacts A'!D300-'Impacts B'!D300</f>
        <v>-1.5982229628286326E-5</v>
      </c>
      <c r="E300" s="35">
        <f>'Impacts A'!E300-'Impacts B'!E300</f>
        <v>-4.0183370789648176E-5</v>
      </c>
      <c r="F300" s="35">
        <f>'Impacts A'!F300-'Impacts B'!F300</f>
        <v>-6.7476439754271533E-5</v>
      </c>
      <c r="G300" s="35">
        <f>'Impacts A'!G300-'Impacts B'!G300</f>
        <v>-9.174925026383951E-5</v>
      </c>
      <c r="H300" s="35">
        <f>'Impacts A'!H300-'Impacts B'!H300</f>
        <v>-1.1068690528415193E-4</v>
      </c>
      <c r="I300" s="35">
        <f>'Impacts A'!I300-'Impacts B'!I300</f>
        <v>-1.314940899750372E-4</v>
      </c>
      <c r="J300" s="35">
        <f>'Impacts A'!J300-'Impacts B'!J300</f>
        <v>-1.2457454292602588E-4</v>
      </c>
      <c r="K300" s="35">
        <f>'Impacts A'!K300-'Impacts B'!K300</f>
        <v>-6.3364506467267212E-5</v>
      </c>
      <c r="L300" s="35">
        <f>'Impacts A'!L300-'Impacts B'!L300</f>
        <v>-3.8305212485933993E-5</v>
      </c>
      <c r="M300" s="6"/>
      <c r="N300" s="84" t="s">
        <v>168</v>
      </c>
    </row>
    <row r="301" spans="1:15" x14ac:dyDescent="0.25">
      <c r="A301" t="str">
        <v>OT Non-econ</v>
      </c>
      <c r="C301" s="35">
        <f>'Impacts A'!C301-'Impacts B'!C301</f>
        <v>0</v>
      </c>
      <c r="D301" s="35">
        <f>'Impacts A'!D301-'Impacts B'!D301</f>
        <v>-2.6213035595384904E-5</v>
      </c>
      <c r="E301" s="35">
        <f>'Impacts A'!E301-'Impacts B'!E301</f>
        <v>-6.2631089527698247E-5</v>
      </c>
      <c r="F301" s="35">
        <f>'Impacts A'!F301-'Impacts B'!F301</f>
        <v>-1.0043352434774278E-4</v>
      </c>
      <c r="G301" s="35">
        <f>'Impacts A'!G301-'Impacts B'!G301</f>
        <v>-1.3344985468699555E-4</v>
      </c>
      <c r="H301" s="35">
        <f>'Impacts A'!H301-'Impacts B'!H301</f>
        <v>-1.5764671391116369E-4</v>
      </c>
      <c r="I301" s="35">
        <f>'Impacts A'!I301-'Impacts B'!I301</f>
        <v>-1.8049371863360086E-4</v>
      </c>
      <c r="J301" s="35">
        <f>'Impacts A'!J301-'Impacts B'!J301</f>
        <v>-1.6575572612609335E-4</v>
      </c>
      <c r="K301" s="35">
        <f>'Impacts A'!K301-'Impacts B'!K301</f>
        <v>-8.1184161419667333E-5</v>
      </c>
      <c r="L301" s="35">
        <f>'Impacts A'!L301-'Impacts B'!L301</f>
        <v>-4.8052135509735194E-5</v>
      </c>
      <c r="M301" s="6"/>
      <c r="N301" s="84" t="s">
        <v>168</v>
      </c>
    </row>
    <row r="302" spans="1:15" x14ac:dyDescent="0.25">
      <c r="A302" t="str">
        <v>EE Non-econ</v>
      </c>
      <c r="C302" s="35">
        <f>'Impacts A'!C302-'Impacts B'!C302</f>
        <v>0</v>
      </c>
      <c r="D302" s="35">
        <f>'Impacts A'!D302-'Impacts B'!D302</f>
        <v>-1.0103965842910012E-5</v>
      </c>
      <c r="E302" s="35">
        <f>'Impacts A'!E302-'Impacts B'!E302</f>
        <v>-2.4144029865988403E-5</v>
      </c>
      <c r="F302" s="35">
        <f>'Impacts A'!F302-'Impacts B'!F302</f>
        <v>-4.1454516189004531E-5</v>
      </c>
      <c r="G302" s="35">
        <f>'Impacts A'!G302-'Impacts B'!G302</f>
        <v>-5.8241867305297568E-5</v>
      </c>
      <c r="H302" s="35">
        <f>'Impacts A'!H302-'Impacts B'!H302</f>
        <v>-7.1410204476651806E-5</v>
      </c>
      <c r="I302" s="35">
        <f>'Impacts A'!I302-'Impacts B'!I302</f>
        <v>-8.6133904384499971E-5</v>
      </c>
      <c r="J302" s="35">
        <f>'Impacts A'!J302-'Impacts B'!J302</f>
        <v>-8.223500883519641E-5</v>
      </c>
      <c r="K302" s="35">
        <f>'Impacts A'!K302-'Impacts B'!K302</f>
        <v>-4.1909475845258726E-5</v>
      </c>
      <c r="L302" s="35">
        <f>'Impacts A'!L302-'Impacts B'!L302</f>
        <v>-2.4797931672648765E-5</v>
      </c>
      <c r="M302" s="6"/>
      <c r="N302" s="84" t="s">
        <v>168</v>
      </c>
    </row>
    <row r="303" spans="1:15" x14ac:dyDescent="0.25">
      <c r="A303" t="str">
        <v>CA Non-econ</v>
      </c>
      <c r="C303" s="35">
        <f>'Impacts A'!C303-'Impacts B'!C303</f>
        <v>0</v>
      </c>
      <c r="D303" s="35">
        <f>'Impacts A'!D303-'Impacts B'!D303</f>
        <v>0</v>
      </c>
      <c r="E303" s="35">
        <f>'Impacts A'!E303-'Impacts B'!E303</f>
        <v>0</v>
      </c>
      <c r="F303" s="35">
        <f>'Impacts A'!F303-'Impacts B'!F303</f>
        <v>0</v>
      </c>
      <c r="G303" s="35">
        <f>'Impacts A'!G303-'Impacts B'!G303</f>
        <v>1.0878217164651469E-5</v>
      </c>
      <c r="H303" s="35">
        <f>'Impacts A'!H303-'Impacts B'!H303</f>
        <v>-7.408112961359431E-6</v>
      </c>
      <c r="I303" s="35">
        <f>'Impacts A'!I303-'Impacts B'!I303</f>
        <v>-4.4741591171161554E-5</v>
      </c>
      <c r="J303" s="35">
        <f>'Impacts A'!J303-'Impacts B'!J303</f>
        <v>-6.6746464288863772E-5</v>
      </c>
      <c r="K303" s="35">
        <f>'Impacts A'!K303-'Impacts B'!K303</f>
        <v>-4.7428349471911879E-5</v>
      </c>
      <c r="L303" s="35">
        <f>'Impacts A'!L303-'Impacts B'!L303</f>
        <v>-2.9872285199905591E-5</v>
      </c>
      <c r="M303" s="6"/>
      <c r="N303" s="84" t="s">
        <v>168</v>
      </c>
    </row>
    <row r="304" spans="1:15" x14ac:dyDescent="0.25">
      <c r="A304" t="str">
        <v>IA Non-econ</v>
      </c>
      <c r="C304" s="35">
        <f>'Impacts A'!C304-'Impacts B'!C304</f>
        <v>0</v>
      </c>
      <c r="D304" s="35">
        <f>'Impacts A'!D304-'Impacts B'!D304</f>
        <v>-4.208177481075312E-6</v>
      </c>
      <c r="E304" s="35">
        <f>'Impacts A'!E304-'Impacts B'!E304</f>
        <v>-1.4456014541786E-5</v>
      </c>
      <c r="F304" s="35">
        <f>'Impacts A'!F304-'Impacts B'!F304</f>
        <v>-3.5925419441709683E-5</v>
      </c>
      <c r="G304" s="35">
        <f>'Impacts A'!G304-'Impacts B'!G304</f>
        <v>-6.1228581088590417E-5</v>
      </c>
      <c r="H304" s="35">
        <f>'Impacts A'!H304-'Impacts B'!H304</f>
        <v>-8.358918812145788E-5</v>
      </c>
      <c r="I304" s="35">
        <f>'Impacts A'!I304-'Impacts B'!I304</f>
        <v>-1.1373072760584302E-4</v>
      </c>
      <c r="J304" s="35">
        <f>'Impacts A'!J304-'Impacts B'!J304</f>
        <v>-1.1659930095408999E-4</v>
      </c>
      <c r="K304" s="35">
        <f>'Impacts A'!K304-'Impacts B'!K304</f>
        <v>-6.3910789258270206E-5</v>
      </c>
      <c r="L304" s="35">
        <f>'Impacts A'!L304-'Impacts B'!L304</f>
        <v>-3.873615950666931E-5</v>
      </c>
      <c r="M304" s="6"/>
      <c r="N304" s="84" t="s">
        <v>168</v>
      </c>
    </row>
    <row r="305" spans="1:14" x14ac:dyDescent="0.25">
      <c r="A305" t="str">
        <v>AF Non-econ</v>
      </c>
      <c r="C305" s="35">
        <f>'Impacts A'!C305-'Impacts B'!C305</f>
        <v>0</v>
      </c>
      <c r="D305" s="35">
        <f>'Impacts A'!D305-'Impacts B'!D305</f>
        <v>-8.7768385922670777E-6</v>
      </c>
      <c r="E305" s="35">
        <f>'Impacts A'!E305-'Impacts B'!E305</f>
        <v>-2.0371891000306452E-5</v>
      </c>
      <c r="F305" s="35">
        <f>'Impacts A'!F305-'Impacts B'!F305</f>
        <v>-3.3658933946231762E-5</v>
      </c>
      <c r="G305" s="35">
        <f>'Impacts A'!G305-'Impacts B'!G305</f>
        <v>-4.6218534677455736E-5</v>
      </c>
      <c r="H305" s="35">
        <f>'Impacts A'!H305-'Impacts B'!H305</f>
        <v>-5.7429509602358042E-5</v>
      </c>
      <c r="I305" s="35">
        <f>'Impacts A'!I305-'Impacts B'!I305</f>
        <v>-7.4860559495293355E-5</v>
      </c>
      <c r="J305" s="35">
        <f>'Impacts A'!J305-'Impacts B'!J305</f>
        <v>-7.8889431311013336E-5</v>
      </c>
      <c r="K305" s="35">
        <f>'Impacts A'!K305-'Impacts B'!K305</f>
        <v>-4.4367146190160689E-5</v>
      </c>
      <c r="L305" s="35">
        <f>'Impacts A'!L305-'Impacts B'!L305</f>
        <v>-2.7103657869953501E-5</v>
      </c>
      <c r="M305" s="6"/>
      <c r="N305" s="84" t="s">
        <v>168</v>
      </c>
    </row>
    <row r="306" spans="1:14" x14ac:dyDescent="0.25">
      <c r="A306" t="str">
        <v>LA Non-econ</v>
      </c>
      <c r="C306" s="35">
        <f>'Impacts A'!C306-'Impacts B'!C306</f>
        <v>0</v>
      </c>
      <c r="D306" s="35">
        <f>'Impacts A'!D306-'Impacts B'!D306</f>
        <v>-1.1542046360835112E-5</v>
      </c>
      <c r="E306" s="35">
        <f>'Impacts A'!E306-'Impacts B'!E306</f>
        <v>-2.7562613587744922E-5</v>
      </c>
      <c r="F306" s="35">
        <f>'Impacts A'!F306-'Impacts B'!F306</f>
        <v>-4.3954670201989954E-5</v>
      </c>
      <c r="G306" s="35">
        <f>'Impacts A'!G306-'Impacts B'!G306</f>
        <v>-5.8893941644433401E-5</v>
      </c>
      <c r="H306" s="35">
        <f>'Impacts A'!H306-'Impacts B'!H306</f>
        <v>-7.1326456164366725E-5</v>
      </c>
      <c r="I306" s="35">
        <f>'Impacts A'!I306-'Impacts B'!I306</f>
        <v>-8.83739172050646E-5</v>
      </c>
      <c r="J306" s="35">
        <f>'Impacts A'!J306-'Impacts B'!J306</f>
        <v>-8.9131088321869889E-5</v>
      </c>
      <c r="K306" s="35">
        <f>'Impacts A'!K306-'Impacts B'!K306</f>
        <v>-4.8135842482532887E-5</v>
      </c>
      <c r="L306" s="35">
        <f>'Impacts A'!L306-'Impacts B'!L306</f>
        <v>-2.9145746237246861E-5</v>
      </c>
      <c r="M306" s="6"/>
      <c r="N306" s="84" t="s">
        <v>168</v>
      </c>
    </row>
    <row r="307" spans="1:14" s="2" customFormat="1" ht="15" x14ac:dyDescent="0.4">
      <c r="A307" s="2" t="s">
        <v>275</v>
      </c>
      <c r="C307" s="2" t="s">
        <v>296</v>
      </c>
    </row>
    <row r="308" spans="1:14" x14ac:dyDescent="0.25">
      <c r="A308" t="str">
        <f t="array" ref="A308:A315">R_CODE&amp;" "&amp;I_2_NAME</f>
        <v>EU Non-econ</v>
      </c>
      <c r="C308" s="39">
        <f>'Impacts A'!C308-'Impacts B'!C308</f>
        <v>0</v>
      </c>
      <c r="D308" s="39">
        <f>'Impacts A'!D308-'Impacts B'!D308</f>
        <v>-1.6245306362877576E-5</v>
      </c>
      <c r="E308" s="39">
        <f>'Impacts A'!E308-'Impacts B'!E308</f>
        <v>-4.1470029183920953E-5</v>
      </c>
      <c r="F308" s="39">
        <f>'Impacts A'!F308-'Impacts B'!F308</f>
        <v>-7.1046305107402841E-5</v>
      </c>
      <c r="G308" s="39">
        <f>'Impacts A'!G308-'Impacts B'!G308</f>
        <v>-9.7429763336209785E-5</v>
      </c>
      <c r="H308" s="39">
        <f>'Impacts A'!H308-'Impacts B'!H308</f>
        <v>-1.1865945982869608E-4</v>
      </c>
      <c r="I308" s="39">
        <f>'Impacts A'!I308-'Impacts B'!I308</f>
        <v>-1.4366055008774303E-4</v>
      </c>
      <c r="J308" s="39">
        <f>'Impacts A'!J308-'Impacts B'!J308</f>
        <v>-1.3838469131566278E-4</v>
      </c>
      <c r="K308" s="39">
        <f>'Impacts A'!K308-'Impacts B'!K308</f>
        <v>-7.1746970953467937E-5</v>
      </c>
      <c r="L308" s="39">
        <f>'Impacts A'!L308-'Impacts B'!L308</f>
        <v>-4.3796450154509614E-5</v>
      </c>
      <c r="M308" s="6"/>
      <c r="N308" s="84" t="s">
        <v>168</v>
      </c>
    </row>
    <row r="309" spans="1:14" x14ac:dyDescent="0.25">
      <c r="A309" t="str">
        <v>US Non-econ</v>
      </c>
      <c r="C309" s="35">
        <f>'Impacts A'!C309-'Impacts B'!C309</f>
        <v>0</v>
      </c>
      <c r="D309" s="35">
        <f>'Impacts A'!D309-'Impacts B'!D309</f>
        <v>-1.5982229628286326E-5</v>
      </c>
      <c r="E309" s="35">
        <f>'Impacts A'!E309-'Impacts B'!E309</f>
        <v>-4.0183370789648176E-5</v>
      </c>
      <c r="F309" s="35">
        <f>'Impacts A'!F309-'Impacts B'!F309</f>
        <v>-6.7476439754271533E-5</v>
      </c>
      <c r="G309" s="35">
        <f>'Impacts A'!G309-'Impacts B'!G309</f>
        <v>-9.174925026383951E-5</v>
      </c>
      <c r="H309" s="35">
        <f>'Impacts A'!H309-'Impacts B'!H309</f>
        <v>-1.1068690528415193E-4</v>
      </c>
      <c r="I309" s="35">
        <f>'Impacts A'!I309-'Impacts B'!I309</f>
        <v>-1.314940899750372E-4</v>
      </c>
      <c r="J309" s="35">
        <f>'Impacts A'!J309-'Impacts B'!J309</f>
        <v>-1.2457454292602588E-4</v>
      </c>
      <c r="K309" s="35">
        <f>'Impacts A'!K309-'Impacts B'!K309</f>
        <v>-6.3364506467267212E-5</v>
      </c>
      <c r="L309" s="35">
        <f>'Impacts A'!L309-'Impacts B'!L309</f>
        <v>-3.8305212485933993E-5</v>
      </c>
      <c r="M309" s="6"/>
      <c r="N309" s="84" t="s">
        <v>168</v>
      </c>
    </row>
    <row r="310" spans="1:14" x14ac:dyDescent="0.25">
      <c r="A310" t="str">
        <v>OT Non-econ</v>
      </c>
      <c r="C310" s="35">
        <f>'Impacts A'!C310-'Impacts B'!C310</f>
        <v>0</v>
      </c>
      <c r="D310" s="35">
        <f>'Impacts A'!D310-'Impacts B'!D310</f>
        <v>-2.6213035595384904E-5</v>
      </c>
      <c r="E310" s="35">
        <f>'Impacts A'!E310-'Impacts B'!E310</f>
        <v>-6.2631089527698247E-5</v>
      </c>
      <c r="F310" s="35">
        <f>'Impacts A'!F310-'Impacts B'!F310</f>
        <v>-1.0043352434774278E-4</v>
      </c>
      <c r="G310" s="35">
        <f>'Impacts A'!G310-'Impacts B'!G310</f>
        <v>-1.3344985468699555E-4</v>
      </c>
      <c r="H310" s="35">
        <f>'Impacts A'!H310-'Impacts B'!H310</f>
        <v>-1.5764671391116369E-4</v>
      </c>
      <c r="I310" s="35">
        <f>'Impacts A'!I310-'Impacts B'!I310</f>
        <v>-1.8049371863360086E-4</v>
      </c>
      <c r="J310" s="35">
        <f>'Impacts A'!J310-'Impacts B'!J310</f>
        <v>-1.6575572612609335E-4</v>
      </c>
      <c r="K310" s="35">
        <f>'Impacts A'!K310-'Impacts B'!K310</f>
        <v>-8.1184161419667333E-5</v>
      </c>
      <c r="L310" s="35">
        <f>'Impacts A'!L310-'Impacts B'!L310</f>
        <v>-4.8052135509735194E-5</v>
      </c>
      <c r="M310" s="6"/>
      <c r="N310" s="84" t="s">
        <v>168</v>
      </c>
    </row>
    <row r="311" spans="1:14" x14ac:dyDescent="0.25">
      <c r="A311" t="str">
        <v>EE Non-econ</v>
      </c>
      <c r="C311" s="35">
        <f>'Impacts A'!C311-'Impacts B'!C311</f>
        <v>0</v>
      </c>
      <c r="D311" s="35">
        <f>'Impacts A'!D311-'Impacts B'!D311</f>
        <v>-1.0103965842910012E-5</v>
      </c>
      <c r="E311" s="35">
        <f>'Impacts A'!E311-'Impacts B'!E311</f>
        <v>-2.4144029865988403E-5</v>
      </c>
      <c r="F311" s="35">
        <f>'Impacts A'!F311-'Impacts B'!F311</f>
        <v>-4.1454516189004531E-5</v>
      </c>
      <c r="G311" s="35">
        <f>'Impacts A'!G311-'Impacts B'!G311</f>
        <v>-5.8241867305297568E-5</v>
      </c>
      <c r="H311" s="35">
        <f>'Impacts A'!H311-'Impacts B'!H311</f>
        <v>-7.1410204476651806E-5</v>
      </c>
      <c r="I311" s="35">
        <f>'Impacts A'!I311-'Impacts B'!I311</f>
        <v>-8.6133904384499971E-5</v>
      </c>
      <c r="J311" s="35">
        <f>'Impacts A'!J311-'Impacts B'!J311</f>
        <v>-8.223500883519641E-5</v>
      </c>
      <c r="K311" s="35">
        <f>'Impacts A'!K311-'Impacts B'!K311</f>
        <v>-4.1909475845258726E-5</v>
      </c>
      <c r="L311" s="35">
        <f>'Impacts A'!L311-'Impacts B'!L311</f>
        <v>-2.4797931672648765E-5</v>
      </c>
      <c r="M311" s="6"/>
      <c r="N311" s="84" t="s">
        <v>168</v>
      </c>
    </row>
    <row r="312" spans="1:14" x14ac:dyDescent="0.25">
      <c r="A312" t="str">
        <v>CA Non-econ</v>
      </c>
      <c r="C312" s="35">
        <f>'Impacts A'!C312-'Impacts B'!C312</f>
        <v>0</v>
      </c>
      <c r="D312" s="35">
        <f>'Impacts A'!D312-'Impacts B'!D312</f>
        <v>0</v>
      </c>
      <c r="E312" s="35">
        <f>'Impacts A'!E312-'Impacts B'!E312</f>
        <v>0</v>
      </c>
      <c r="F312" s="35">
        <f>'Impacts A'!F312-'Impacts B'!F312</f>
        <v>0</v>
      </c>
      <c r="G312" s="35">
        <f>'Impacts A'!G312-'Impacts B'!G312</f>
        <v>1.0878217164651469E-5</v>
      </c>
      <c r="H312" s="35">
        <f>'Impacts A'!H312-'Impacts B'!H312</f>
        <v>-7.408112961359431E-6</v>
      </c>
      <c r="I312" s="35">
        <f>'Impacts A'!I312-'Impacts B'!I312</f>
        <v>-4.4741591171161554E-5</v>
      </c>
      <c r="J312" s="35">
        <f>'Impacts A'!J312-'Impacts B'!J312</f>
        <v>-6.6746464288863772E-5</v>
      </c>
      <c r="K312" s="35">
        <f>'Impacts A'!K312-'Impacts B'!K312</f>
        <v>-4.7428349471911879E-5</v>
      </c>
      <c r="L312" s="35">
        <f>'Impacts A'!L312-'Impacts B'!L312</f>
        <v>-2.9872285199905591E-5</v>
      </c>
      <c r="M312" s="6"/>
      <c r="N312" s="84" t="s">
        <v>168</v>
      </c>
    </row>
    <row r="313" spans="1:14" x14ac:dyDescent="0.25">
      <c r="A313" t="str">
        <v>IA Non-econ</v>
      </c>
      <c r="C313" s="35">
        <f>'Impacts A'!C313-'Impacts B'!C313</f>
        <v>0</v>
      </c>
      <c r="D313" s="35">
        <f>'Impacts A'!D313-'Impacts B'!D313</f>
        <v>-4.208177481075312E-6</v>
      </c>
      <c r="E313" s="35">
        <f>'Impacts A'!E313-'Impacts B'!E313</f>
        <v>-1.4456014541786E-5</v>
      </c>
      <c r="F313" s="35">
        <f>'Impacts A'!F313-'Impacts B'!F313</f>
        <v>-3.5925419441709683E-5</v>
      </c>
      <c r="G313" s="35">
        <f>'Impacts A'!G313-'Impacts B'!G313</f>
        <v>-6.1228581088590417E-5</v>
      </c>
      <c r="H313" s="35">
        <f>'Impacts A'!H313-'Impacts B'!H313</f>
        <v>-8.358918812145788E-5</v>
      </c>
      <c r="I313" s="35">
        <f>'Impacts A'!I313-'Impacts B'!I313</f>
        <v>-1.1373072760584302E-4</v>
      </c>
      <c r="J313" s="35">
        <f>'Impacts A'!J313-'Impacts B'!J313</f>
        <v>-1.1659930095408999E-4</v>
      </c>
      <c r="K313" s="35">
        <f>'Impacts A'!K313-'Impacts B'!K313</f>
        <v>-6.3910789258270206E-5</v>
      </c>
      <c r="L313" s="35">
        <f>'Impacts A'!L313-'Impacts B'!L313</f>
        <v>-3.873615950666931E-5</v>
      </c>
      <c r="M313" s="6"/>
      <c r="N313" s="84" t="s">
        <v>168</v>
      </c>
    </row>
    <row r="314" spans="1:14" x14ac:dyDescent="0.25">
      <c r="A314" t="str">
        <v>AF Non-econ</v>
      </c>
      <c r="C314" s="35">
        <f>'Impacts A'!C314-'Impacts B'!C314</f>
        <v>0</v>
      </c>
      <c r="D314" s="35">
        <f>'Impacts A'!D314-'Impacts B'!D314</f>
        <v>-8.7768385922670777E-6</v>
      </c>
      <c r="E314" s="35">
        <f>'Impacts A'!E314-'Impacts B'!E314</f>
        <v>-2.0371891000306452E-5</v>
      </c>
      <c r="F314" s="35">
        <f>'Impacts A'!F314-'Impacts B'!F314</f>
        <v>-3.3658933946231762E-5</v>
      </c>
      <c r="G314" s="35">
        <f>'Impacts A'!G314-'Impacts B'!G314</f>
        <v>-4.6218534677455736E-5</v>
      </c>
      <c r="H314" s="35">
        <f>'Impacts A'!H314-'Impacts B'!H314</f>
        <v>-5.7429509602358042E-5</v>
      </c>
      <c r="I314" s="35">
        <f>'Impacts A'!I314-'Impacts B'!I314</f>
        <v>-7.4860559495293355E-5</v>
      </c>
      <c r="J314" s="35">
        <f>'Impacts A'!J314-'Impacts B'!J314</f>
        <v>-7.8889431311013336E-5</v>
      </c>
      <c r="K314" s="35">
        <f>'Impacts A'!K314-'Impacts B'!K314</f>
        <v>-4.4367146190160689E-5</v>
      </c>
      <c r="L314" s="35">
        <f>'Impacts A'!L314-'Impacts B'!L314</f>
        <v>-2.7103657869953501E-5</v>
      </c>
      <c r="M314" s="6"/>
      <c r="N314" s="84" t="s">
        <v>168</v>
      </c>
    </row>
    <row r="315" spans="1:14" x14ac:dyDescent="0.25">
      <c r="A315" t="str">
        <v>LA Non-econ</v>
      </c>
      <c r="C315" s="35">
        <f>'Impacts A'!C315-'Impacts B'!C315</f>
        <v>0</v>
      </c>
      <c r="D315" s="35">
        <f>'Impacts A'!D315-'Impacts B'!D315</f>
        <v>-1.1542046360835112E-5</v>
      </c>
      <c r="E315" s="35">
        <f>'Impacts A'!E315-'Impacts B'!E315</f>
        <v>-2.7562613587744922E-5</v>
      </c>
      <c r="F315" s="35">
        <f>'Impacts A'!F315-'Impacts B'!F315</f>
        <v>-4.3954670201989954E-5</v>
      </c>
      <c r="G315" s="35">
        <f>'Impacts A'!G315-'Impacts B'!G315</f>
        <v>-5.8893941644433401E-5</v>
      </c>
      <c r="H315" s="35">
        <f>'Impacts A'!H315-'Impacts B'!H315</f>
        <v>-7.1326456164366725E-5</v>
      </c>
      <c r="I315" s="35">
        <f>'Impacts A'!I315-'Impacts B'!I315</f>
        <v>-8.83739172050646E-5</v>
      </c>
      <c r="J315" s="35">
        <f>'Impacts A'!J315-'Impacts B'!J315</f>
        <v>-8.9131088321869889E-5</v>
      </c>
      <c r="K315" s="35">
        <f>'Impacts A'!K315-'Impacts B'!K315</f>
        <v>-4.8135842482532887E-5</v>
      </c>
      <c r="L315" s="35">
        <f>'Impacts A'!L315-'Impacts B'!L315</f>
        <v>-2.9145746237246861E-5</v>
      </c>
      <c r="M315" s="6"/>
      <c r="N315" s="84" t="s">
        <v>168</v>
      </c>
    </row>
    <row r="316" spans="1:14" s="2" customFormat="1" ht="15" x14ac:dyDescent="0.4">
      <c r="A316" s="2" t="s">
        <v>279</v>
      </c>
      <c r="C316" s="2" t="s">
        <v>297</v>
      </c>
    </row>
    <row r="317" spans="1:14" x14ac:dyDescent="0.25">
      <c r="A317" t="str">
        <f t="array" ref="A317:A324">R_CODE&amp;" "&amp;I_2_NAME</f>
        <v>EU Non-econ</v>
      </c>
      <c r="C317" s="39">
        <f>'Impacts A'!C317-'Impacts B'!C317</f>
        <v>0</v>
      </c>
      <c r="D317" s="39">
        <f>'Impacts A'!D317-'Impacts B'!D317</f>
        <v>-1.5636107374275565E-5</v>
      </c>
      <c r="E317" s="39">
        <f>'Impacts A'!E317-'Impacts B'!E317</f>
        <v>-3.8359776995122719E-5</v>
      </c>
      <c r="F317" s="39">
        <f>'Impacts A'!F317-'Impacts B'!F317</f>
        <v>-6.5900397388768406E-5</v>
      </c>
      <c r="G317" s="39">
        <f>'Impacts A'!G317-'Impacts B'!G317</f>
        <v>-8.9397804693580607E-5</v>
      </c>
      <c r="H317" s="39">
        <f>'Impacts A'!H317-'Impacts B'!H317</f>
        <v>-1.1000114758735746E-4</v>
      </c>
      <c r="I317" s="39">
        <f>'Impacts A'!I317-'Impacts B'!I317</f>
        <v>-1.3477350838275726E-4</v>
      </c>
      <c r="J317" s="39">
        <f>'Impacts A'!J317-'Impacts B'!J317</f>
        <v>-1.3065968928172023E-4</v>
      </c>
      <c r="K317" s="39">
        <f>'Impacts A'!K317-'Impacts B'!K317</f>
        <v>-6.8259516724622493E-5</v>
      </c>
      <c r="L317" s="39">
        <f>'Impacts A'!L317-'Impacts B'!L317</f>
        <v>-4.1880032221719432E-5</v>
      </c>
      <c r="M317" s="6"/>
      <c r="N317" s="84" t="s">
        <v>168</v>
      </c>
    </row>
    <row r="318" spans="1:14" x14ac:dyDescent="0.25">
      <c r="A318" t="str">
        <v>US Non-econ</v>
      </c>
      <c r="C318" s="35">
        <f>'Impacts A'!C318-'Impacts B'!C318</f>
        <v>0</v>
      </c>
      <c r="D318" s="35">
        <f>'Impacts A'!D318-'Impacts B'!D318</f>
        <v>-1.5382896017220038E-5</v>
      </c>
      <c r="E318" s="35">
        <f>'Impacts A'!E318-'Impacts B'!E318</f>
        <v>-3.8091812539067793E-5</v>
      </c>
      <c r="F318" s="35">
        <f>'Impacts A'!F318-'Impacts B'!F318</f>
        <v>-6.3278624670232153E-5</v>
      </c>
      <c r="G318" s="35">
        <f>'Impacts A'!G318-'Impacts B'!G318</f>
        <v>-8.5199358265508618E-5</v>
      </c>
      <c r="H318" s="35">
        <f>'Impacts A'!H318-'Impacts B'!H318</f>
        <v>-1.0363120913886581E-4</v>
      </c>
      <c r="I318" s="35">
        <f>'Impacts A'!I318-'Impacts B'!I318</f>
        <v>-1.2426535272125339E-4</v>
      </c>
      <c r="J318" s="35">
        <f>'Impacts A'!J318-'Impacts B'!J318</f>
        <v>-1.1830259655942754E-4</v>
      </c>
      <c r="K318" s="35">
        <f>'Impacts A'!K318-'Impacts B'!K318</f>
        <v>-6.0539187516917004E-5</v>
      </c>
      <c r="L318" s="35">
        <f>'Impacts A'!L318-'Impacts B'!L318</f>
        <v>-3.6754359288737604E-5</v>
      </c>
      <c r="M318" s="6"/>
      <c r="N318" s="84" t="s">
        <v>168</v>
      </c>
    </row>
    <row r="319" spans="1:14" x14ac:dyDescent="0.25">
      <c r="A319" t="str">
        <v>OT Non-econ</v>
      </c>
      <c r="C319" s="35">
        <f>'Impacts A'!C319-'Impacts B'!C319</f>
        <v>0</v>
      </c>
      <c r="D319" s="35">
        <f>'Impacts A'!D319-'Impacts B'!D319</f>
        <v>-2.562153629795394E-5</v>
      </c>
      <c r="E319" s="35">
        <f>'Impacts A'!E319-'Impacts B'!E319</f>
        <v>-6.043024143870257E-5</v>
      </c>
      <c r="F319" s="35">
        <f>'Impacts A'!F319-'Impacts B'!F319</f>
        <v>-9.6031094573567621E-5</v>
      </c>
      <c r="G319" s="35">
        <f>'Impacts A'!G319-'Impacts B'!G319</f>
        <v>-1.2659211835286399E-4</v>
      </c>
      <c r="H319" s="35">
        <f>'Impacts A'!H319-'Impacts B'!H319</f>
        <v>-1.502732558200659E-4</v>
      </c>
      <c r="I319" s="35">
        <f>'Impacts A'!I319-'Impacts B'!I319</f>
        <v>-1.7296866121341292E-4</v>
      </c>
      <c r="J319" s="35">
        <f>'Impacts A'!J319-'Impacts B'!J319</f>
        <v>-1.5925021845619725E-4</v>
      </c>
      <c r="K319" s="35">
        <f>'Impacts A'!K319-'Impacts B'!K319</f>
        <v>-7.8266667169035742E-5</v>
      </c>
      <c r="L319" s="35">
        <f>'Impacts A'!L319-'Impacts B'!L319</f>
        <v>-4.64546392113796E-5</v>
      </c>
      <c r="M319" s="6"/>
      <c r="N319" s="84" t="s">
        <v>168</v>
      </c>
    </row>
    <row r="320" spans="1:14" x14ac:dyDescent="0.25">
      <c r="A320" t="str">
        <v>EE Non-econ</v>
      </c>
      <c r="C320" s="35">
        <f>'Impacts A'!C320-'Impacts B'!C320</f>
        <v>0</v>
      </c>
      <c r="D320" s="35">
        <f>'Impacts A'!D320-'Impacts B'!D320</f>
        <v>-9.7250671238016673E-6</v>
      </c>
      <c r="E320" s="35">
        <f>'Impacts A'!E320-'Impacts B'!E320</f>
        <v>-2.3076544119177145E-5</v>
      </c>
      <c r="F320" s="35">
        <f>'Impacts A'!F320-'Impacts B'!F320</f>
        <v>-3.9304056739963844E-5</v>
      </c>
      <c r="G320" s="35">
        <f>'Impacts A'!G320-'Impacts B'!G320</f>
        <v>-5.487061768205681E-5</v>
      </c>
      <c r="H320" s="35">
        <f>'Impacts A'!H320-'Impacts B'!H320</f>
        <v>-6.7769270441997431E-5</v>
      </c>
      <c r="I320" s="35">
        <f>'Impacts A'!I320-'Impacts B'!I320</f>
        <v>-8.2393895837806763E-5</v>
      </c>
      <c r="J320" s="35">
        <f>'Impacts A'!J320-'Impacts B'!J320</f>
        <v>-7.8985540900800011E-5</v>
      </c>
      <c r="K320" s="35">
        <f>'Impacts A'!K320-'Impacts B'!K320</f>
        <v>-4.0444604860190303E-5</v>
      </c>
      <c r="L320" s="35">
        <f>'Impacts A'!L320-'Impacts B'!L320</f>
        <v>-2.3995840353063791E-5</v>
      </c>
      <c r="M320" s="6"/>
      <c r="N320" s="84" t="s">
        <v>168</v>
      </c>
    </row>
    <row r="321" spans="1:15" x14ac:dyDescent="0.25">
      <c r="A321" t="str">
        <v>CA Non-econ</v>
      </c>
      <c r="C321" s="35">
        <f>'Impacts A'!C321-'Impacts B'!C321</f>
        <v>0</v>
      </c>
      <c r="D321" s="35">
        <f>'Impacts A'!D321-'Impacts B'!D321</f>
        <v>0</v>
      </c>
      <c r="E321" s="35">
        <f>'Impacts A'!E321-'Impacts B'!E321</f>
        <v>0</v>
      </c>
      <c r="F321" s="35">
        <f>'Impacts A'!F321-'Impacts B'!F321</f>
        <v>0</v>
      </c>
      <c r="G321" s="35">
        <f>'Impacts A'!G321-'Impacts B'!G321</f>
        <v>9.246484589954182E-6</v>
      </c>
      <c r="H321" s="35">
        <f>'Impacts A'!H321-'Impacts B'!H321</f>
        <v>-6.2968960171556898E-6</v>
      </c>
      <c r="I321" s="35">
        <f>'Impacts A'!I321-'Impacts B'!I321</f>
        <v>-3.8030352495485586E-5</v>
      </c>
      <c r="J321" s="35">
        <f>'Impacts A'!J321-'Impacts B'!J321</f>
        <v>-6.0929296800293908E-5</v>
      </c>
      <c r="K321" s="35">
        <f>'Impacts A'!K321-'Impacts B'!K321</f>
        <v>-4.4704233124415182E-5</v>
      </c>
      <c r="L321" s="35">
        <f>'Impacts A'!L321-'Impacts B'!L321</f>
        <v>-2.8369937651206989E-5</v>
      </c>
      <c r="M321" s="6"/>
      <c r="N321" s="84" t="s">
        <v>168</v>
      </c>
    </row>
    <row r="322" spans="1:15" x14ac:dyDescent="0.25">
      <c r="A322" t="str">
        <v>IA Non-econ</v>
      </c>
      <c r="C322" s="35">
        <f>'Impacts A'!C322-'Impacts B'!C322</f>
        <v>0</v>
      </c>
      <c r="D322" s="35">
        <f>'Impacts A'!D322-'Impacts B'!D322</f>
        <v>-4.0503708255354431E-6</v>
      </c>
      <c r="E322" s="35">
        <f>'Impacts A'!E322-'Impacts B'!E322</f>
        <v>-1.3371813451152118E-5</v>
      </c>
      <c r="F322" s="35">
        <f>'Impacts A'!F322-'Impacts B'!F322</f>
        <v>-3.1883809754516823E-5</v>
      </c>
      <c r="G322" s="35">
        <f>'Impacts A'!G322-'Impacts B'!G322</f>
        <v>-5.4975916467067676E-5</v>
      </c>
      <c r="H322" s="35">
        <f>'Impacts A'!H322-'Impacts B'!H322</f>
        <v>-7.6765189497118858E-5</v>
      </c>
      <c r="I322" s="35">
        <f>'Impacts A'!I322-'Impacts B'!I322</f>
        <v>-1.066301854397711E-4</v>
      </c>
      <c r="J322" s="35">
        <f>'Impacts A'!J322-'Impacts B'!J322</f>
        <v>-1.1037923520762494E-4</v>
      </c>
      <c r="K322" s="35">
        <f>'Impacts A'!K322-'Impacts B'!K322</f>
        <v>-6.1082362730946471E-5</v>
      </c>
      <c r="L322" s="35">
        <f>'Impacts A'!L322-'Impacts B'!L322</f>
        <v>-3.7183058163359206E-5</v>
      </c>
      <c r="M322" s="6"/>
      <c r="N322" s="84" t="s">
        <v>168</v>
      </c>
    </row>
    <row r="323" spans="1:15" x14ac:dyDescent="0.25">
      <c r="A323" t="str">
        <v>AF Non-econ</v>
      </c>
      <c r="C323" s="35">
        <f>'Impacts A'!C323-'Impacts B'!C323</f>
        <v>0</v>
      </c>
      <c r="D323" s="35">
        <f>'Impacts A'!D323-'Impacts B'!D323</f>
        <v>-8.4477071450560215E-6</v>
      </c>
      <c r="E323" s="35">
        <f>'Impacts A'!E323-'Impacts B'!E323</f>
        <v>-1.8843999175281734E-5</v>
      </c>
      <c r="F323" s="35">
        <f>'Impacts A'!F323-'Impacts B'!F323</f>
        <v>-2.9872303877284678E-5</v>
      </c>
      <c r="G323" s="35">
        <f>'Impacts A'!G323-'Impacts B'!G323</f>
        <v>-4.1525703111944257E-5</v>
      </c>
      <c r="H323" s="35">
        <f>'Impacts A'!H323-'Impacts B'!H323</f>
        <v>-5.236287905652226E-5</v>
      </c>
      <c r="I323" s="35">
        <f>'Impacts A'!I323-'Impacts B'!I323</f>
        <v>-6.9618495710049855E-5</v>
      </c>
      <c r="J323" s="35">
        <f>'Impacts A'!J323-'Impacts B'!J323</f>
        <v>-7.4283694819987645E-5</v>
      </c>
      <c r="K323" s="35">
        <f>'Impacts A'!K323-'Impacts B'!K323</f>
        <v>-4.2266647933497659E-5</v>
      </c>
      <c r="L323" s="35">
        <f>'Impacts A'!L323-'Impacts B'!L323</f>
        <v>-2.5949226665544778E-5</v>
      </c>
      <c r="M323" s="6"/>
      <c r="N323" s="84" t="s">
        <v>168</v>
      </c>
    </row>
    <row r="324" spans="1:15" x14ac:dyDescent="0.25">
      <c r="A324" t="str">
        <v>LA Non-econ</v>
      </c>
      <c r="C324" s="35">
        <f>'Impacts A'!C324-'Impacts B'!C324</f>
        <v>0</v>
      </c>
      <c r="D324" s="35">
        <f>'Impacts A'!D324-'Impacts B'!D324</f>
        <v>-1.1109219622301714E-5</v>
      </c>
      <c r="E324" s="35">
        <f>'Impacts A'!E324-'Impacts B'!E324</f>
        <v>-2.5495417568660583E-5</v>
      </c>
      <c r="F324" s="35">
        <f>'Impacts A'!F324-'Impacts B'!F324</f>
        <v>-4.0856505222758299E-5</v>
      </c>
      <c r="G324" s="35">
        <f>'Impacts A'!G324-'Impacts B'!G324</f>
        <v>-5.4070614599027733E-5</v>
      </c>
      <c r="H324" s="35">
        <f>'Impacts A'!H324-'Impacts B'!H324</f>
        <v>-6.6130336909470122E-5</v>
      </c>
      <c r="I324" s="35">
        <f>'Impacts A'!I324-'Impacts B'!I324</f>
        <v>-8.3025377073997486E-5</v>
      </c>
      <c r="J324" s="35">
        <f>'Impacts A'!J324-'Impacts B'!J324</f>
        <v>-8.4454902282093958E-5</v>
      </c>
      <c r="K324" s="35">
        <f>'Impacts A'!K324-'Impacts B'!K324</f>
        <v>-4.6013374882081237E-5</v>
      </c>
      <c r="L324" s="35">
        <f>'Impacts A'!L324-'Impacts B'!L324</f>
        <v>-2.7980434526342357E-5</v>
      </c>
      <c r="M324" s="6"/>
      <c r="N324" s="84" t="s">
        <v>168</v>
      </c>
    </row>
    <row r="325" spans="1:15" s="2" customFormat="1" ht="15" x14ac:dyDescent="0.4">
      <c r="A325" s="2" t="s">
        <v>280</v>
      </c>
      <c r="C325" s="2" t="s">
        <v>298</v>
      </c>
    </row>
    <row r="326" spans="1:15" x14ac:dyDescent="0.25">
      <c r="A326" t="str">
        <f t="array" ref="A326:A333">R_CODE&amp;" "&amp;I_2_NAME</f>
        <v>EU Non-econ</v>
      </c>
      <c r="C326" s="39">
        <f>'Impacts A'!C326-'Impacts B'!C326</f>
        <v>0</v>
      </c>
      <c r="D326" s="39">
        <f>'Impacts A'!D326-'Impacts B'!D326</f>
        <v>-4.0166096015266106E-3</v>
      </c>
      <c r="E326" s="39">
        <f>'Impacts A'!E326-'Impacts B'!E326</f>
        <v>-1.155762865242238E-2</v>
      </c>
      <c r="F326" s="39">
        <f>'Impacts A'!F326-'Impacts B'!F326</f>
        <v>-2.2660410223181771E-2</v>
      </c>
      <c r="G326" s="39">
        <f>'Impacts A'!G326-'Impacts B'!G326</f>
        <v>-3.4647300731521113E-2</v>
      </c>
      <c r="H326" s="39">
        <f>'Impacts A'!H326-'Impacts B'!H326</f>
        <v>-4.8036587179211665E-2</v>
      </c>
      <c r="I326" s="39">
        <f>'Impacts A'!I326-'Impacts B'!I326</f>
        <v>-7.4166746889261503E-2</v>
      </c>
      <c r="J326" s="39">
        <f>'Impacts A'!J326-'Impacts B'!J326</f>
        <v>-9.0025010811302764E-2</v>
      </c>
      <c r="K326" s="39">
        <f>'Impacts A'!K326-'Impacts B'!K326</f>
        <v>-0.14669992104268204</v>
      </c>
      <c r="L326" s="39">
        <f>'Impacts A'!L326-'Impacts B'!L326</f>
        <v>-0.12596325688309662</v>
      </c>
      <c r="M326" s="6"/>
      <c r="N326" s="1" t="str">
        <f t="shared" ref="N326:N333" si="12">CURRENCY_NAME&amp;"/"&amp;POP_UNIT_NAME</f>
        <v>$million/million</v>
      </c>
      <c r="O326" s="1"/>
    </row>
    <row r="327" spans="1:15" x14ac:dyDescent="0.25">
      <c r="A327" t="str">
        <v>US Non-econ</v>
      </c>
      <c r="C327" s="35">
        <f>'Impacts A'!C327-'Impacts B'!C327</f>
        <v>0</v>
      </c>
      <c r="D327" s="35">
        <f>'Impacts A'!D327-'Impacts B'!D327</f>
        <v>-6.8517073537144313E-3</v>
      </c>
      <c r="E327" s="35">
        <f>'Impacts A'!E327-'Impacts B'!E327</f>
        <v>-1.8809050257701188E-2</v>
      </c>
      <c r="F327" s="35">
        <f>'Impacts A'!F327-'Impacts B'!F327</f>
        <v>-3.475519749115108E-2</v>
      </c>
      <c r="G327" s="35">
        <f>'Impacts A'!G327-'Impacts B'!G327</f>
        <v>-5.1492988797974704E-2</v>
      </c>
      <c r="H327" s="35">
        <f>'Impacts A'!H327-'Impacts B'!H327</f>
        <v>-6.9409679889901099E-2</v>
      </c>
      <c r="I327" s="35">
        <f>'Impacts A'!I327-'Impacts B'!I327</f>
        <v>-0.10301833045934927</v>
      </c>
      <c r="J327" s="35">
        <f>'Impacts A'!J327-'Impacts B'!J327</f>
        <v>-0.12239421500908065</v>
      </c>
      <c r="K327" s="35">
        <f>'Impacts A'!K327-'Impacts B'!K327</f>
        <v>-0.17459283927701108</v>
      </c>
      <c r="L327" s="35">
        <f>'Impacts A'!L327-'Impacts B'!L327</f>
        <v>-0.14869041336351074</v>
      </c>
      <c r="M327" s="6"/>
      <c r="N327" s="1" t="str">
        <f t="shared" si="12"/>
        <v>$million/million</v>
      </c>
      <c r="O327" s="1"/>
    </row>
    <row r="328" spans="1:15" x14ac:dyDescent="0.25">
      <c r="A328" t="str">
        <v>OT Non-econ</v>
      </c>
      <c r="C328" s="35">
        <f>'Impacts A'!C328-'Impacts B'!C328</f>
        <v>0</v>
      </c>
      <c r="D328" s="35">
        <f>'Impacts A'!D328-'Impacts B'!D328</f>
        <v>-7.3078096043701635E-3</v>
      </c>
      <c r="E328" s="35">
        <f>'Impacts A'!E328-'Impacts B'!E328</f>
        <v>-2.2446076916025959E-2</v>
      </c>
      <c r="F328" s="35">
        <f>'Impacts A'!F328-'Impacts B'!F328</f>
        <v>-4.6228142250498649E-2</v>
      </c>
      <c r="G328" s="35">
        <f>'Impacts A'!G328-'Impacts B'!G328</f>
        <v>-7.7587758697518439E-2</v>
      </c>
      <c r="H328" s="35">
        <f>'Impacts A'!H328-'Impacts B'!H328</f>
        <v>-0.11609905575505763</v>
      </c>
      <c r="I328" s="35">
        <f>'Impacts A'!I328-'Impacts B'!I328</f>
        <v>-0.19979833925572166</v>
      </c>
      <c r="J328" s="35">
        <f>'Impacts A'!J328-'Impacts B'!J328</f>
        <v>-0.26210874525872896</v>
      </c>
      <c r="K328" s="35">
        <f>'Impacts A'!K328-'Impacts B'!K328</f>
        <v>-0.39249129812833417</v>
      </c>
      <c r="L328" s="35">
        <f>'Impacts A'!L328-'Impacts B'!L328</f>
        <v>-0.32668100097907882</v>
      </c>
      <c r="M328" s="6"/>
      <c r="N328" s="1" t="str">
        <f t="shared" si="12"/>
        <v>$million/million</v>
      </c>
      <c r="O328" s="1"/>
    </row>
    <row r="329" spans="1:15" x14ac:dyDescent="0.25">
      <c r="A329" t="str">
        <v>EE Non-econ</v>
      </c>
      <c r="C329" s="35">
        <f>'Impacts A'!C329-'Impacts B'!C329</f>
        <v>0</v>
      </c>
      <c r="D329" s="35">
        <f>'Impacts A'!D329-'Impacts B'!D329</f>
        <v>-3.7033226577043443E-4</v>
      </c>
      <c r="E329" s="35">
        <f>'Impacts A'!E329-'Impacts B'!E329</f>
        <v>-1.1461926015057244E-3</v>
      </c>
      <c r="F329" s="35">
        <f>'Impacts A'!F329-'Impacts B'!F329</f>
        <v>-2.534088385324651E-3</v>
      </c>
      <c r="G329" s="35">
        <f>'Impacts A'!G329-'Impacts B'!G329</f>
        <v>-4.5088368243426658E-3</v>
      </c>
      <c r="H329" s="35">
        <f>'Impacts A'!H329-'Impacts B'!H329</f>
        <v>-7.0243503103313287E-3</v>
      </c>
      <c r="I329" s="35">
        <f>'Impacts A'!I329-'Impacts B'!I329</f>
        <v>-1.2783762844222224E-2</v>
      </c>
      <c r="J329" s="35">
        <f>'Impacts A'!J329-'Impacts B'!J329</f>
        <v>-1.745475988053613E-2</v>
      </c>
      <c r="K329" s="35">
        <f>'Impacts A'!K329-'Impacts B'!K329</f>
        <v>-2.7205967524764674E-2</v>
      </c>
      <c r="L329" s="35">
        <f>'Impacts A'!L329-'Impacts B'!L329</f>
        <v>-2.2660536734406378E-2</v>
      </c>
      <c r="M329" s="6"/>
      <c r="N329" s="1" t="str">
        <f t="shared" si="12"/>
        <v>$million/million</v>
      </c>
      <c r="O329" s="1"/>
    </row>
    <row r="330" spans="1:15" x14ac:dyDescent="0.25">
      <c r="A330" t="str">
        <v>CA Non-econ</v>
      </c>
      <c r="C330" s="35">
        <f>'Impacts A'!C330-'Impacts B'!C330</f>
        <v>0</v>
      </c>
      <c r="D330" s="35">
        <f>'Impacts A'!D330-'Impacts B'!D330</f>
        <v>0</v>
      </c>
      <c r="E330" s="35">
        <f>'Impacts A'!E330-'Impacts B'!E330</f>
        <v>0</v>
      </c>
      <c r="F330" s="35">
        <f>'Impacts A'!F330-'Impacts B'!F330</f>
        <v>0</v>
      </c>
      <c r="G330" s="35">
        <f>'Impacts A'!G330-'Impacts B'!G330</f>
        <v>7.0054401124852728E-4</v>
      </c>
      <c r="H330" s="35">
        <f>'Impacts A'!H330-'Impacts B'!H330</f>
        <v>-6.0058078713320917E-4</v>
      </c>
      <c r="I330" s="35">
        <f>'Impacts A'!I330-'Impacts B'!I330</f>
        <v>-5.4226646841524229E-3</v>
      </c>
      <c r="J330" s="35">
        <f>'Impacts A'!J330-'Impacts B'!J330</f>
        <v>-1.2414682358148355E-2</v>
      </c>
      <c r="K330" s="35">
        <f>'Impacts A'!K330-'Impacts B'!K330</f>
        <v>-2.7708443718552189E-2</v>
      </c>
      <c r="L330" s="35">
        <f>'Impacts A'!L330-'Impacts B'!L330</f>
        <v>-2.463090538412871E-2</v>
      </c>
      <c r="M330" s="6"/>
      <c r="N330" s="1" t="str">
        <f t="shared" si="12"/>
        <v>$million/million</v>
      </c>
      <c r="O330" s="1"/>
    </row>
    <row r="331" spans="1:15" x14ac:dyDescent="0.25">
      <c r="A331" t="str">
        <v>IA Non-econ</v>
      </c>
      <c r="C331" s="35">
        <f>'Impacts A'!C331-'Impacts B'!C331</f>
        <v>0</v>
      </c>
      <c r="D331" s="35">
        <f>'Impacts A'!D331-'Impacts B'!D331</f>
        <v>-7.6819820101048375E-5</v>
      </c>
      <c r="E331" s="35">
        <f>'Impacts A'!E331-'Impacts B'!E331</f>
        <v>-3.3156919753798454E-4</v>
      </c>
      <c r="F331" s="35">
        <f>'Impacts A'!F331-'Impacts B'!F331</f>
        <v>-1.0349451147351196E-3</v>
      </c>
      <c r="G331" s="35">
        <f>'Impacts A'!G331-'Impacts B'!G331</f>
        <v>-2.2496276153551875E-3</v>
      </c>
      <c r="H331" s="35">
        <f>'Impacts A'!H331-'Impacts B'!H331</f>
        <v>-3.9301002811349406E-3</v>
      </c>
      <c r="I331" s="35">
        <f>'Impacts A'!I331-'Impacts B'!I331</f>
        <v>-8.1131681174753112E-3</v>
      </c>
      <c r="J331" s="35">
        <f>'Impacts A'!J331-'Impacts B'!J331</f>
        <v>-1.2026792295891653E-2</v>
      </c>
      <c r="K331" s="35">
        <f>'Impacts A'!K331-'Impacts B'!K331</f>
        <v>-2.0292137976127833E-2</v>
      </c>
      <c r="L331" s="35">
        <f>'Impacts A'!L331-'Impacts B'!L331</f>
        <v>-1.7228612183657788E-2</v>
      </c>
      <c r="M331" s="6"/>
      <c r="N331" s="1" t="str">
        <f t="shared" si="12"/>
        <v>$million/million</v>
      </c>
      <c r="O331" s="1"/>
    </row>
    <row r="332" spans="1:15" x14ac:dyDescent="0.25">
      <c r="A332" t="str">
        <v>AF Non-econ</v>
      </c>
      <c r="C332" s="35">
        <f>'Impacts A'!C332-'Impacts B'!C332</f>
        <v>0</v>
      </c>
      <c r="D332" s="35">
        <f>'Impacts A'!D332-'Impacts B'!D332</f>
        <v>-2.8077117536484675E-4</v>
      </c>
      <c r="E332" s="35">
        <f>'Impacts A'!E332-'Impacts B'!E332</f>
        <v>-8.183683221250071E-4</v>
      </c>
      <c r="F332" s="35">
        <f>'Impacts A'!F332-'Impacts B'!F332</f>
        <v>-1.6969181808721423E-3</v>
      </c>
      <c r="G332" s="35">
        <f>'Impacts A'!G332-'Impacts B'!G332</f>
        <v>-2.979425525284185E-3</v>
      </c>
      <c r="H332" s="35">
        <f>'Impacts A'!H332-'Impacts B'!H332</f>
        <v>-4.7033479776921183E-3</v>
      </c>
      <c r="I332" s="35">
        <f>'Impacts A'!I332-'Impacts B'!I332</f>
        <v>-9.3263709643842674E-3</v>
      </c>
      <c r="J332" s="35">
        <f>'Impacts A'!J332-'Impacts B'!J332</f>
        <v>-1.4282821214877117E-2</v>
      </c>
      <c r="K332" s="35">
        <f>'Impacts A'!K332-'Impacts B'!K332</f>
        <v>-2.4838227558234394E-2</v>
      </c>
      <c r="L332" s="35">
        <f>'Impacts A'!L332-'Impacts B'!L332</f>
        <v>-2.1384822930485825E-2</v>
      </c>
      <c r="M332" s="6"/>
      <c r="N332" s="1" t="str">
        <f t="shared" si="12"/>
        <v>$million/million</v>
      </c>
      <c r="O332" s="1"/>
    </row>
    <row r="333" spans="1:15" x14ac:dyDescent="0.25">
      <c r="A333" t="str">
        <v>LA Non-econ</v>
      </c>
      <c r="C333" s="35">
        <f>'Impacts A'!C333-'Impacts B'!C333</f>
        <v>0</v>
      </c>
      <c r="D333" s="35">
        <f>'Impacts A'!D333-'Impacts B'!D333</f>
        <v>-6.7519989563713523E-4</v>
      </c>
      <c r="E333" s="35">
        <f>'Impacts A'!E333-'Impacts B'!E333</f>
        <v>-2.0240222865197666E-3</v>
      </c>
      <c r="F333" s="35">
        <f>'Impacts A'!F333-'Impacts B'!F333</f>
        <v>-4.2356759687809387E-3</v>
      </c>
      <c r="G333" s="35">
        <f>'Impacts A'!G333-'Impacts B'!G333</f>
        <v>-7.1165360465705874E-3</v>
      </c>
      <c r="H333" s="35">
        <f>'Impacts A'!H333-'Impacts B'!H333</f>
        <v>-1.0936395376191399E-2</v>
      </c>
      <c r="I333" s="35">
        <f>'Impacts A'!I333-'Impacts B'!I333</f>
        <v>-2.0510890385907032E-2</v>
      </c>
      <c r="J333" s="35">
        <f>'Impacts A'!J333-'Impacts B'!J333</f>
        <v>-2.9803004884541906E-2</v>
      </c>
      <c r="K333" s="35">
        <f>'Impacts A'!K333-'Impacts B'!K333</f>
        <v>-4.947802486810815E-2</v>
      </c>
      <c r="L333" s="35">
        <f>'Impacts A'!L333-'Impacts B'!L333</f>
        <v>-4.2237769203438802E-2</v>
      </c>
      <c r="M333" s="6"/>
      <c r="N333" s="1" t="str">
        <f t="shared" si="12"/>
        <v>$million/million</v>
      </c>
      <c r="O333" s="1"/>
    </row>
    <row r="334" spans="1:15" s="2" customFormat="1" ht="15" x14ac:dyDescent="0.4">
      <c r="A334" s="2" t="s">
        <v>282</v>
      </c>
      <c r="C334" s="2" t="s">
        <v>300</v>
      </c>
    </row>
    <row r="335" spans="1:15" x14ac:dyDescent="0.25">
      <c r="A335" t="str">
        <f t="array" ref="A335:A342">R_CODE&amp;" "&amp;I_2_NAME</f>
        <v>EU Non-econ</v>
      </c>
      <c r="C335" s="39">
        <f>'Impacts A'!C335-'Impacts B'!C335</f>
        <v>0</v>
      </c>
      <c r="D335" s="39">
        <f>'Impacts A'!D335-'Impacts B'!D335</f>
        <v>2.7063209417974576E-3</v>
      </c>
      <c r="E335" s="39">
        <f>'Impacts A'!E335-'Impacts B'!E335</f>
        <v>1.1686750985973049E-2</v>
      </c>
      <c r="F335" s="39">
        <f>'Impacts A'!F335-'Impacts B'!F335</f>
        <v>3.2043699051428121E-2</v>
      </c>
      <c r="G335" s="39">
        <f>'Impacts A'!G335-'Impacts B'!G335</f>
        <v>4.9319618236040697E-2</v>
      </c>
      <c r="H335" s="39">
        <f>'Impacts A'!H335-'Impacts B'!H335</f>
        <v>6.8870819064613897E-2</v>
      </c>
      <c r="I335" s="39">
        <f>'Impacts A'!I335-'Impacts B'!I335</f>
        <v>0.11271415730152512</v>
      </c>
      <c r="J335" s="39">
        <f>'Impacts A'!J335-'Impacts B'!J335</f>
        <v>0.14208153836079873</v>
      </c>
      <c r="K335" s="39">
        <f>'Impacts A'!K335-'Impacts B'!K335</f>
        <v>0.23909721692325547</v>
      </c>
      <c r="L335" s="39">
        <f>'Impacts A'!L335-'Impacts B'!L335</f>
        <v>0.25759101452422328</v>
      </c>
      <c r="M335" s="6"/>
      <c r="N335" s="1" t="str">
        <f t="shared" ref="N335:N342" si="13">CURRENCY_NAME&amp;"/"&amp;POP_UNIT_NAME</f>
        <v>$million/million</v>
      </c>
      <c r="O335" s="1"/>
    </row>
    <row r="336" spans="1:15" x14ac:dyDescent="0.25">
      <c r="A336" t="str">
        <v>US Non-econ</v>
      </c>
      <c r="C336" s="35">
        <f>'Impacts A'!C336-'Impacts B'!C336</f>
        <v>0</v>
      </c>
      <c r="D336" s="35">
        <f>'Impacts A'!D336-'Impacts B'!D336</f>
        <v>6.1319004598772153E-3</v>
      </c>
      <c r="E336" s="35">
        <f>'Impacts A'!E336-'Impacts B'!E336</f>
        <v>2.1121281890373211E-2</v>
      </c>
      <c r="F336" s="35">
        <f>'Impacts A'!F336-'Impacts B'!F336</f>
        <v>4.9229924246901646E-2</v>
      </c>
      <c r="G336" s="35">
        <f>'Impacts A'!G336-'Impacts B'!G336</f>
        <v>7.3572230459831189E-2</v>
      </c>
      <c r="H336" s="35">
        <f>'Impacts A'!H336-'Impacts B'!H336</f>
        <v>9.9776847993780393E-2</v>
      </c>
      <c r="I336" s="35">
        <f>'Impacts A'!I336-'Impacts B'!I336</f>
        <v>0.15832048621086869</v>
      </c>
      <c r="J336" s="35">
        <f>'Impacts A'!J336-'Impacts B'!J336</f>
        <v>0.19301767644356005</v>
      </c>
      <c r="K336" s="35">
        <f>'Impacts A'!K336-'Impacts B'!K336</f>
        <v>0.28156668978044763</v>
      </c>
      <c r="L336" s="35">
        <f>'Impacts A'!L336-'Impacts B'!L336</f>
        <v>0.29057987179839984</v>
      </c>
      <c r="M336" s="6"/>
      <c r="N336" s="1" t="str">
        <f t="shared" si="13"/>
        <v>$million/million</v>
      </c>
      <c r="O336" s="1"/>
    </row>
    <row r="337" spans="1:15" x14ac:dyDescent="0.25">
      <c r="A337" t="str">
        <v>OT Non-econ</v>
      </c>
      <c r="C337" s="35">
        <f>'Impacts A'!C337-'Impacts B'!C337</f>
        <v>0</v>
      </c>
      <c r="D337" s="35">
        <f>'Impacts A'!D337-'Impacts B'!D337</f>
        <v>9.1970934190612752E-3</v>
      </c>
      <c r="E337" s="35">
        <f>'Impacts A'!E337-'Impacts B'!E337</f>
        <v>2.9832042091584299E-2</v>
      </c>
      <c r="F337" s="35">
        <f>'Impacts A'!F337-'Impacts B'!F337</f>
        <v>7.2119828735594638E-2</v>
      </c>
      <c r="G337" s="35">
        <f>'Impacts A'!G337-'Impacts B'!G337</f>
        <v>0.12277629323216388</v>
      </c>
      <c r="H337" s="35">
        <f>'Impacts A'!H337-'Impacts B'!H337</f>
        <v>0.18469820135214832</v>
      </c>
      <c r="I337" s="35">
        <f>'Impacts A'!I337-'Impacts B'!I337</f>
        <v>0.32129588334646542</v>
      </c>
      <c r="J337" s="35">
        <f>'Impacts A'!J337-'Impacts B'!J337</f>
        <v>0.42217759165214375</v>
      </c>
      <c r="K337" s="35">
        <f>'Impacts A'!K337-'Impacts B'!K337</f>
        <v>0.62570417067036033</v>
      </c>
      <c r="L337" s="35">
        <f>'Impacts A'!L337-'Impacts B'!L337</f>
        <v>0.59354624443221837</v>
      </c>
      <c r="M337" s="6"/>
      <c r="N337" s="1" t="str">
        <f t="shared" si="13"/>
        <v>$million/million</v>
      </c>
      <c r="O337" s="1"/>
    </row>
    <row r="338" spans="1:15" x14ac:dyDescent="0.25">
      <c r="A338" t="str">
        <v>EE Non-econ</v>
      </c>
      <c r="C338" s="35">
        <f>'Impacts A'!C338-'Impacts B'!C338</f>
        <v>0</v>
      </c>
      <c r="D338" s="35">
        <f>'Impacts A'!D338-'Impacts B'!D338</f>
        <v>4.1188558452631696E-4</v>
      </c>
      <c r="E338" s="35">
        <f>'Impacts A'!E338-'Impacts B'!E338</f>
        <v>1.4778707645746181E-3</v>
      </c>
      <c r="F338" s="35">
        <f>'Impacts A'!F338-'Impacts B'!F338</f>
        <v>4.2876704783338937E-3</v>
      </c>
      <c r="G338" s="35">
        <f>'Impacts A'!G338-'Impacts B'!G338</f>
        <v>7.8394462134383502E-3</v>
      </c>
      <c r="H338" s="35">
        <f>'Impacts A'!H338-'Impacts B'!H338</f>
        <v>1.235707733212621E-2</v>
      </c>
      <c r="I338" s="35">
        <f>'Impacts A'!I338-'Impacts B'!I338</f>
        <v>2.3084870599632268E-2</v>
      </c>
      <c r="J338" s="35">
        <f>'Impacts A'!J338-'Impacts B'!J338</f>
        <v>3.1865865326835774E-2</v>
      </c>
      <c r="K338" s="35">
        <f>'Impacts A'!K338-'Impacts B'!K338</f>
        <v>4.9729380778444465E-2</v>
      </c>
      <c r="L338" s="35">
        <f>'Impacts A'!L338-'Impacts B'!L338</f>
        <v>5.028059303003829E-2</v>
      </c>
      <c r="M338" s="6"/>
      <c r="N338" s="1" t="str">
        <f t="shared" si="13"/>
        <v>$million/million</v>
      </c>
      <c r="O338" s="1"/>
    </row>
    <row r="339" spans="1:15" x14ac:dyDescent="0.25">
      <c r="A339" t="str">
        <v>CA Non-econ</v>
      </c>
      <c r="C339" s="35">
        <f>'Impacts A'!C339-'Impacts B'!C339</f>
        <v>0</v>
      </c>
      <c r="D339" s="35">
        <f>'Impacts A'!D339-'Impacts B'!D339</f>
        <v>1.6032813027777593E-4</v>
      </c>
      <c r="E339" s="35">
        <f>'Impacts A'!E339-'Impacts B'!E339</f>
        <v>6.1290963321880554E-4</v>
      </c>
      <c r="F339" s="35">
        <f>'Impacts A'!F339-'Impacts B'!F339</f>
        <v>1.0370421869083657E-3</v>
      </c>
      <c r="G339" s="35">
        <f>'Impacts A'!G339-'Impacts B'!G339</f>
        <v>8.2770039080060087E-4</v>
      </c>
      <c r="H339" s="35">
        <f>'Impacts A'!H339-'Impacts B'!H339</f>
        <v>2.657267231370497E-3</v>
      </c>
      <c r="I339" s="35">
        <f>'Impacts A'!I339-'Impacts B'!I339</f>
        <v>8.175590397513588E-3</v>
      </c>
      <c r="J339" s="35">
        <f>'Impacts A'!J339-'Impacts B'!J339</f>
        <v>2.1788268793898169E-2</v>
      </c>
      <c r="K339" s="35">
        <f>'Impacts A'!K339-'Impacts B'!K339</f>
        <v>5.4628384481475223E-2</v>
      </c>
      <c r="L339" s="35">
        <f>'Impacts A'!L339-'Impacts B'!L339</f>
        <v>6.063005534815602E-2</v>
      </c>
      <c r="M339" s="6"/>
      <c r="N339" s="1" t="str">
        <f t="shared" si="13"/>
        <v>$million/million</v>
      </c>
      <c r="O339" s="1"/>
    </row>
    <row r="340" spans="1:15" x14ac:dyDescent="0.25">
      <c r="A340" t="str">
        <v>IA Non-econ</v>
      </c>
      <c r="C340" s="35">
        <f>'Impacts A'!C340-'Impacts B'!C340</f>
        <v>0</v>
      </c>
      <c r="D340" s="35">
        <f>'Impacts A'!D340-'Impacts B'!D340</f>
        <v>9.3008398380334256E-5</v>
      </c>
      <c r="E340" s="35">
        <f>'Impacts A'!E340-'Impacts B'!E340</f>
        <v>4.7885517142276512E-4</v>
      </c>
      <c r="F340" s="35">
        <f>'Impacts A'!F340-'Impacts B'!F340</f>
        <v>1.4882731788929959E-3</v>
      </c>
      <c r="G340" s="35">
        <f>'Impacts A'!G340-'Impacts B'!G340</f>
        <v>3.7844721514375124E-3</v>
      </c>
      <c r="H340" s="35">
        <f>'Impacts A'!H340-'Impacts B'!H340</f>
        <v>6.9641657391912304E-3</v>
      </c>
      <c r="I340" s="35">
        <f>'Impacts A'!I340-'Impacts B'!I340</f>
        <v>1.5373949122476915E-2</v>
      </c>
      <c r="J340" s="35">
        <f>'Impacts A'!J340-'Impacts B'!J340</f>
        <v>2.3734502230581711E-2</v>
      </c>
      <c r="K340" s="35">
        <f>'Impacts A'!K340-'Impacts B'!K340</f>
        <v>4.2435597228177357E-2</v>
      </c>
      <c r="L340" s="35">
        <f>'Impacts A'!L340-'Impacts B'!L340</f>
        <v>4.3783593318948988E-2</v>
      </c>
      <c r="M340" s="6"/>
      <c r="N340" s="1" t="str">
        <f t="shared" si="13"/>
        <v>$million/million</v>
      </c>
      <c r="O340" s="1"/>
    </row>
    <row r="341" spans="1:15" x14ac:dyDescent="0.25">
      <c r="A341" t="str">
        <v>AF Non-econ</v>
      </c>
      <c r="C341" s="35">
        <f>'Impacts A'!C341-'Impacts B'!C341</f>
        <v>0</v>
      </c>
      <c r="D341" s="35">
        <f>'Impacts A'!D341-'Impacts B'!D341</f>
        <v>5.3016328092780896E-4</v>
      </c>
      <c r="E341" s="35">
        <f>'Impacts A'!E341-'Impacts B'!E341</f>
        <v>1.4168315292408806E-3</v>
      </c>
      <c r="F341" s="35">
        <f>'Impacts A'!F341-'Impacts B'!F341</f>
        <v>2.5513989548926475E-3</v>
      </c>
      <c r="G341" s="35">
        <f>'Impacts A'!G341-'Impacts B'!G341</f>
        <v>4.7634878410462989E-3</v>
      </c>
      <c r="H341" s="35">
        <f>'Impacts A'!H341-'Impacts B'!H341</f>
        <v>7.7938700242157211E-3</v>
      </c>
      <c r="I341" s="35">
        <f>'Impacts A'!I341-'Impacts B'!I341</f>
        <v>1.6388070940593025E-2</v>
      </c>
      <c r="J341" s="35">
        <f>'Impacts A'!J341-'Impacts B'!J341</f>
        <v>2.6444975212143618E-2</v>
      </c>
      <c r="K341" s="35">
        <f>'Impacts A'!K341-'Impacts B'!K341</f>
        <v>4.9012251234671567E-2</v>
      </c>
      <c r="L341" s="35">
        <f>'Impacts A'!L341-'Impacts B'!L341</f>
        <v>5.07989904290298E-2</v>
      </c>
      <c r="M341" s="6"/>
      <c r="N341" s="1" t="str">
        <f t="shared" si="13"/>
        <v>$million/million</v>
      </c>
      <c r="O341" s="1"/>
    </row>
    <row r="342" spans="1:15" x14ac:dyDescent="0.25">
      <c r="A342" t="str">
        <v>LA Non-econ</v>
      </c>
      <c r="C342" s="35">
        <f>'Impacts A'!C342-'Impacts B'!C342</f>
        <v>0</v>
      </c>
      <c r="D342" s="35">
        <f>'Impacts A'!D342-'Impacts B'!D342</f>
        <v>1.2810965918106376E-3</v>
      </c>
      <c r="E342" s="35">
        <f>'Impacts A'!E342-'Impacts B'!E342</f>
        <v>3.5714349469344597E-3</v>
      </c>
      <c r="F342" s="35">
        <f>'Impacts A'!F342-'Impacts B'!F342</f>
        <v>6.5571321429160889E-3</v>
      </c>
      <c r="G342" s="35">
        <f>'Impacts A'!G342-'Impacts B'!G342</f>
        <v>1.1500772885483457E-2</v>
      </c>
      <c r="H342" s="35">
        <f>'Impacts A'!H342-'Impacts B'!H342</f>
        <v>1.8031949766736943E-2</v>
      </c>
      <c r="I342" s="35">
        <f>'Impacts A'!I342-'Impacts B'!I342</f>
        <v>3.5505530839145649E-2</v>
      </c>
      <c r="J342" s="35">
        <f>'Impacts A'!J342-'Impacts B'!J342</f>
        <v>5.3332559662521817E-2</v>
      </c>
      <c r="K342" s="35">
        <f>'Impacts A'!K342-'Impacts B'!K342</f>
        <v>9.2284002996166237E-2</v>
      </c>
      <c r="L342" s="35">
        <f>'Impacts A'!L342-'Impacts B'!L342</f>
        <v>9.1843596310354769E-2</v>
      </c>
      <c r="M342" s="6"/>
      <c r="N342" s="1" t="str">
        <f t="shared" si="13"/>
        <v>$million/million</v>
      </c>
      <c r="O342" s="1"/>
    </row>
    <row r="343" spans="1:15" s="2" customFormat="1" ht="15" x14ac:dyDescent="0.4">
      <c r="A343" s="2" t="s">
        <v>284</v>
      </c>
      <c r="C343" s="2" t="s">
        <v>299</v>
      </c>
    </row>
    <row r="344" spans="1:15" x14ac:dyDescent="0.25">
      <c r="A344" t="str">
        <f t="array" ref="A344:A351">R_CODE&amp;" "&amp;I_2_NAME</f>
        <v>EU Non-econ</v>
      </c>
      <c r="C344" s="39">
        <f>'Impacts A'!C344-'Impacts B'!C344</f>
        <v>0</v>
      </c>
      <c r="D344" s="39">
        <f>'Impacts A'!D344-'Impacts B'!D344</f>
        <v>3.1839069924899377E-3</v>
      </c>
      <c r="E344" s="39">
        <f>'Impacts A'!E344-'Impacts B'!E344</f>
        <v>1.3749118807027116E-2</v>
      </c>
      <c r="F344" s="39">
        <f>'Impacts A'!F344-'Impacts B'!F344</f>
        <v>3.7698469473980367E-2</v>
      </c>
      <c r="G344" s="39">
        <f>'Impacts A'!G344-'Impacts B'!G344</f>
        <v>5.802308028069092E-2</v>
      </c>
      <c r="H344" s="39">
        <f>'Impacts A'!H344-'Impacts B'!H344</f>
        <v>8.1024493018048815E-2</v>
      </c>
      <c r="I344" s="39">
        <f>'Impacts A'!I344-'Impacts B'!I344</f>
        <v>0.13260489094682271</v>
      </c>
      <c r="J344" s="39">
        <f>'Impacts A'!J344-'Impacts B'!J344</f>
        <v>0.16715475101955235</v>
      </c>
      <c r="K344" s="39">
        <f>'Impacts A'!K344-'Impacts B'!K344</f>
        <v>0.28129084344254807</v>
      </c>
      <c r="L344" s="39">
        <f>'Impacts A'!L344-'Impacts B'!L344</f>
        <v>0.30304825236089528</v>
      </c>
      <c r="M344" s="6"/>
      <c r="N344" s="1" t="str">
        <f t="shared" ref="N344:N351" si="14">CURRENCY_NAME&amp;"/"&amp;POP_UNIT_NAME</f>
        <v>$million/million</v>
      </c>
      <c r="O344" s="1"/>
    </row>
    <row r="345" spans="1:15" x14ac:dyDescent="0.25">
      <c r="A345" t="str">
        <v>US Non-econ</v>
      </c>
      <c r="C345" s="35">
        <f>'Impacts A'!C345-'Impacts B'!C345</f>
        <v>0</v>
      </c>
      <c r="D345" s="35">
        <f>'Impacts A'!D345-'Impacts B'!D345</f>
        <v>7.2140005431720056E-3</v>
      </c>
      <c r="E345" s="35">
        <f>'Impacts A'!E345-'Impacts B'!E345</f>
        <v>2.4848566928994842E-2</v>
      </c>
      <c r="F345" s="35">
        <f>'Impacts A'!F345-'Impacts B'!F345</f>
        <v>5.7917557933251373E-2</v>
      </c>
      <c r="G345" s="35">
        <f>'Impacts A'!G345-'Impacts B'!G345</f>
        <v>8.655556524900021E-2</v>
      </c>
      <c r="H345" s="35">
        <f>'Impacts A'!H345-'Impacts B'!H345</f>
        <v>0.11738452705321833</v>
      </c>
      <c r="I345" s="35">
        <f>'Impacts A'!I345-'Impacts B'!I345</f>
        <v>0.18625939554476645</v>
      </c>
      <c r="J345" s="35">
        <f>'Impacts A'!J345-'Impacts B'!J345</f>
        <v>0.22707961934793275</v>
      </c>
      <c r="K345" s="35">
        <f>'Impacts A'!K345-'Impacts B'!K345</f>
        <v>0.33125492912949994</v>
      </c>
      <c r="L345" s="35">
        <f>'Impacts A'!L345-'Impacts B'!L345</f>
        <v>0.34185867273481563</v>
      </c>
      <c r="M345" s="6"/>
      <c r="N345" s="1" t="str">
        <f t="shared" si="14"/>
        <v>$million/million</v>
      </c>
      <c r="O345" s="1"/>
    </row>
    <row r="346" spans="1:15" x14ac:dyDescent="0.25">
      <c r="A346" t="str">
        <v>OT Non-econ</v>
      </c>
      <c r="C346" s="35">
        <f>'Impacts A'!C346-'Impacts B'!C346</f>
        <v>0</v>
      </c>
      <c r="D346" s="35">
        <f>'Impacts A'!D346-'Impacts B'!D346</f>
        <v>1.0820109902851982E-2</v>
      </c>
      <c r="E346" s="35">
        <f>'Impacts A'!E346-'Impacts B'!E346</f>
        <v>3.5096520106890239E-2</v>
      </c>
      <c r="F346" s="35">
        <f>'Impacts A'!F346-'Impacts B'!F346</f>
        <v>8.4846857338561676E-2</v>
      </c>
      <c r="G346" s="35">
        <f>'Impacts A'!G346-'Impacts B'!G346</f>
        <v>0.14444269792147679</v>
      </c>
      <c r="H346" s="35">
        <f>'Impacts A'!H346-'Impacts B'!H346</f>
        <v>0.21729200158733875</v>
      </c>
      <c r="I346" s="35">
        <f>'Impacts A'!I346-'Impacts B'!I346</f>
        <v>0.37799515687220264</v>
      </c>
      <c r="J346" s="35">
        <f>'Impacts A'!J346-'Impacts B'!J346</f>
        <v>0.49667951959418133</v>
      </c>
      <c r="K346" s="35">
        <f>'Impacts A'!K346-'Impacts B'!K346</f>
        <v>0.7361225537606515</v>
      </c>
      <c r="L346" s="35">
        <f>'Impacts A'!L346-'Impacts B'!L346</f>
        <v>0.69828969927038997</v>
      </c>
      <c r="M346" s="6"/>
      <c r="N346" s="1" t="str">
        <f t="shared" si="14"/>
        <v>$million/million</v>
      </c>
      <c r="O346" s="1"/>
    </row>
    <row r="347" spans="1:15" x14ac:dyDescent="0.25">
      <c r="A347" t="str">
        <v>EE Non-econ</v>
      </c>
      <c r="C347" s="35">
        <f>'Impacts A'!C347-'Impacts B'!C347</f>
        <v>0</v>
      </c>
      <c r="D347" s="35">
        <f>'Impacts A'!D347-'Impacts B'!D347</f>
        <v>4.8457127604706329E-4</v>
      </c>
      <c r="E347" s="35">
        <f>'Impacts A'!E347-'Impacts B'!E347</f>
        <v>1.7386714871463482E-3</v>
      </c>
      <c r="F347" s="35">
        <f>'Impacts A'!F347-'Impacts B'!F347</f>
        <v>5.0443182099115802E-3</v>
      </c>
      <c r="G347" s="35">
        <f>'Impacts A'!G347-'Impacts B'!G347</f>
        <v>9.2228778976277681E-3</v>
      </c>
      <c r="H347" s="35">
        <f>'Impacts A'!H347-'Impacts B'!H347</f>
        <v>1.4537738037688541E-2</v>
      </c>
      <c r="I347" s="35">
        <f>'Impacts A'!I347-'Impacts B'!I347</f>
        <v>2.7158671293364023E-2</v>
      </c>
      <c r="J347" s="35">
        <f>'Impacts A'!J347-'Impacts B'!J347</f>
        <v>3.7489253325475147E-2</v>
      </c>
      <c r="K347" s="35">
        <f>'Impacts A'!K347-'Impacts B'!K347</f>
        <v>5.8505153865553439E-2</v>
      </c>
      <c r="L347" s="35">
        <f>'Impacts A'!L347-'Impacts B'!L347</f>
        <v>5.9153638852876611E-2</v>
      </c>
      <c r="M347" s="6"/>
      <c r="N347" s="1" t="str">
        <f t="shared" si="14"/>
        <v>$million/million</v>
      </c>
      <c r="O347" s="1"/>
    </row>
    <row r="348" spans="1:15" x14ac:dyDescent="0.25">
      <c r="A348" t="str">
        <v>CA Non-econ</v>
      </c>
      <c r="C348" s="35">
        <f>'Impacts A'!C348-'Impacts B'!C348</f>
        <v>0</v>
      </c>
      <c r="D348" s="35">
        <f>'Impacts A'!D348-'Impacts B'!D348</f>
        <v>1.8862132992580882E-4</v>
      </c>
      <c r="E348" s="35">
        <f>'Impacts A'!E348-'Impacts B'!E348</f>
        <v>7.2107015694200527E-4</v>
      </c>
      <c r="F348" s="35">
        <f>'Impacts A'!F348-'Impacts B'!F348</f>
        <v>1.2200496312289033E-3</v>
      </c>
      <c r="G348" s="35">
        <f>'Impacts A'!G348-'Impacts B'!G348</f>
        <v>9.737651653267676E-4</v>
      </c>
      <c r="H348" s="35">
        <f>'Impacts A'!H348-'Impacts B'!H348</f>
        <v>3.1261967433238169E-3</v>
      </c>
      <c r="I348" s="35">
        <f>'Impacts A'!I348-'Impacts B'!I348</f>
        <v>9.6183416426356416E-3</v>
      </c>
      <c r="J348" s="35">
        <f>'Impacts A'!J348-'Impacts B'!J348</f>
        <v>2.5633257402660092E-2</v>
      </c>
      <c r="K348" s="35">
        <f>'Impacts A'!K348-'Impacts B'!K348</f>
        <v>6.4268687630828936E-2</v>
      </c>
      <c r="L348" s="35">
        <f>'Impacts A'!L348-'Impacts B'!L348</f>
        <v>7.1329476879327558E-2</v>
      </c>
      <c r="M348" s="6"/>
      <c r="N348" s="1" t="str">
        <f t="shared" si="14"/>
        <v>$million/million</v>
      </c>
      <c r="O348" s="1"/>
    </row>
    <row r="349" spans="1:15" x14ac:dyDescent="0.25">
      <c r="A349" t="str">
        <v>IA Non-econ</v>
      </c>
      <c r="C349" s="35">
        <f>'Impacts A'!C349-'Impacts B'!C349</f>
        <v>0</v>
      </c>
      <c r="D349" s="35">
        <f>'Impacts A'!D349-'Impacts B'!D349</f>
        <v>1.0942164522020903E-4</v>
      </c>
      <c r="E349" s="35">
        <f>'Impacts A'!E349-'Impacts B'!E349</f>
        <v>5.6335902536375215E-4</v>
      </c>
      <c r="F349" s="35">
        <f>'Impacts A'!F349-'Impacts B'!F349</f>
        <v>1.7509096219328057E-3</v>
      </c>
      <c r="G349" s="35">
        <f>'Impacts A'!G349-'Impacts B'!G349</f>
        <v>4.4523201781885291E-3</v>
      </c>
      <c r="H349" s="35">
        <f>'Impacts A'!H349-'Impacts B'!H349</f>
        <v>8.1931361637543887E-3</v>
      </c>
      <c r="I349" s="35">
        <f>'Impacts A'!I349-'Impacts B'!I349</f>
        <v>1.8086998967191903E-2</v>
      </c>
      <c r="J349" s="35">
        <f>'Impacts A'!J349-'Impacts B'!J349</f>
        <v>2.7922943800149369E-2</v>
      </c>
      <c r="K349" s="35">
        <f>'Impacts A'!K349-'Impacts B'!K349</f>
        <v>4.9924232036573812E-2</v>
      </c>
      <c r="L349" s="35">
        <f>'Impacts A'!L349-'Impacts B'!L349</f>
        <v>5.1510109791706782E-2</v>
      </c>
      <c r="M349" s="6"/>
      <c r="N349" s="1" t="str">
        <f t="shared" si="14"/>
        <v>$million/million</v>
      </c>
      <c r="O349" s="1"/>
    </row>
    <row r="350" spans="1:15" x14ac:dyDescent="0.25">
      <c r="A350" t="str">
        <v>AF Non-econ</v>
      </c>
      <c r="C350" s="35">
        <f>'Impacts A'!C350-'Impacts B'!C350</f>
        <v>0</v>
      </c>
      <c r="D350" s="35">
        <f>'Impacts A'!D350-'Impacts B'!D350</f>
        <v>6.2372150705414242E-4</v>
      </c>
      <c r="E350" s="35">
        <f>'Impacts A'!E350-'Impacts B'!E350</f>
        <v>1.6668606231178273E-3</v>
      </c>
      <c r="F350" s="35">
        <f>'Impacts A'!F350-'Impacts B'!F350</f>
        <v>3.0016458294994663E-3</v>
      </c>
      <c r="G350" s="35">
        <f>'Impacts A'!G350-'Impacts B'!G350</f>
        <v>5.6041033431029064E-3</v>
      </c>
      <c r="H350" s="35">
        <f>'Impacts A'!H350-'Impacts B'!H350</f>
        <v>9.1692588521254947E-3</v>
      </c>
      <c r="I350" s="35">
        <f>'Impacts A'!I350-'Impacts B'!I350</f>
        <v>1.9280083459307207E-2</v>
      </c>
      <c r="J350" s="35">
        <f>'Impacts A'!J350-'Impacts B'!J350</f>
        <v>3.1111735541344387E-2</v>
      </c>
      <c r="K350" s="35">
        <f>'Impacts A'!K350-'Impacts B'!K350</f>
        <v>5.7661472041218076E-2</v>
      </c>
      <c r="L350" s="35">
        <f>'Impacts A'!L350-'Impacts B'!L350</f>
        <v>5.976351814751979E-2</v>
      </c>
      <c r="M350" s="6"/>
      <c r="N350" s="1" t="str">
        <f t="shared" si="14"/>
        <v>$million/million</v>
      </c>
      <c r="O350" s="1"/>
    </row>
    <row r="351" spans="1:15" x14ac:dyDescent="0.25">
      <c r="A351" t="str">
        <v>LA Non-econ</v>
      </c>
      <c r="C351" s="35">
        <f>'Impacts A'!C351-'Impacts B'!C351</f>
        <v>0</v>
      </c>
      <c r="D351" s="35">
        <f>'Impacts A'!D351-'Impacts B'!D351</f>
        <v>1.5071724610606907E-3</v>
      </c>
      <c r="E351" s="35">
        <f>'Impacts A'!E351-'Impacts B'!E351</f>
        <v>4.2016881725430721E-3</v>
      </c>
      <c r="F351" s="35">
        <f>'Impacts A'!F351-'Impacts B'!F351</f>
        <v>7.7142731097410433E-3</v>
      </c>
      <c r="G351" s="35">
        <f>'Impacts A'!G351-'Impacts B'!G351</f>
        <v>1.3530321040889248E-2</v>
      </c>
      <c r="H351" s="35">
        <f>'Impacts A'!H351-'Impacts B'!H351</f>
        <v>2.1214058546320302E-2</v>
      </c>
      <c r="I351" s="35">
        <f>'Impacts A'!I351-'Impacts B'!I351</f>
        <v>4.1771212749154074E-2</v>
      </c>
      <c r="J351" s="35">
        <f>'Impacts A'!J351-'Impacts B'!J351</f>
        <v>6.2744187838688958E-2</v>
      </c>
      <c r="K351" s="35">
        <f>'Impacts A'!K351-'Impacts B'!K351</f>
        <v>0.10856941528618336</v>
      </c>
      <c r="L351" s="35">
        <f>'Impacts A'!L351-'Impacts B'!L351</f>
        <v>0.10805128977517597</v>
      </c>
      <c r="M351" s="6"/>
      <c r="N351" s="1" t="str">
        <f t="shared" si="14"/>
        <v>$million/million</v>
      </c>
      <c r="O351" s="1"/>
    </row>
    <row r="352" spans="1:15" s="2" customFormat="1" ht="15" x14ac:dyDescent="0.4">
      <c r="A352" s="2" t="s">
        <v>301</v>
      </c>
      <c r="C352" s="2" t="s">
        <v>302</v>
      </c>
    </row>
    <row r="353" spans="1:14" x14ac:dyDescent="0.25">
      <c r="A353" t="str">
        <f t="array" ref="A353:A360">R_CODE&amp;" discontinuity"</f>
        <v>EU discontinuity</v>
      </c>
      <c r="C353" s="39">
        <f>'Impacts A'!C353-'Impacts B'!C353</f>
        <v>0</v>
      </c>
      <c r="D353" s="39">
        <f>'Impacts A'!D353-'Impacts B'!D353</f>
        <v>0</v>
      </c>
      <c r="E353" s="39">
        <f>'Impacts A'!E353-'Impacts B'!E353</f>
        <v>0</v>
      </c>
      <c r="F353" s="39">
        <f>'Impacts A'!F353-'Impacts B'!F353</f>
        <v>0</v>
      </c>
      <c r="G353" s="39">
        <f>'Impacts A'!G353-'Impacts B'!G353</f>
        <v>0</v>
      </c>
      <c r="H353" s="39">
        <f>'Impacts A'!H353-'Impacts B'!H353</f>
        <v>0</v>
      </c>
      <c r="I353" s="39">
        <f>'Impacts A'!I353-'Impacts B'!I353</f>
        <v>0</v>
      </c>
      <c r="J353" s="39">
        <f>'Impacts A'!J353-'Impacts B'!J353</f>
        <v>0</v>
      </c>
      <c r="K353" s="39">
        <f>'Impacts A'!K353-'Impacts B'!K353</f>
        <v>0</v>
      </c>
      <c r="L353" s="39">
        <f>'Impacts A'!L353-'Impacts B'!L353</f>
        <v>0</v>
      </c>
      <c r="M353" s="6"/>
      <c r="N353" s="84" t="s">
        <v>168</v>
      </c>
    </row>
    <row r="354" spans="1:14" x14ac:dyDescent="0.25">
      <c r="A354" t="str">
        <v>US discontinuity</v>
      </c>
      <c r="C354" s="35">
        <f>'Impacts A'!C354-'Impacts B'!C354</f>
        <v>0</v>
      </c>
      <c r="D354" s="35">
        <f>'Impacts A'!D354-'Impacts B'!D354</f>
        <v>0</v>
      </c>
      <c r="E354" s="35">
        <f>'Impacts A'!E354-'Impacts B'!E354</f>
        <v>0</v>
      </c>
      <c r="F354" s="35">
        <f>'Impacts A'!F354-'Impacts B'!F354</f>
        <v>0</v>
      </c>
      <c r="G354" s="35">
        <f>'Impacts A'!G354-'Impacts B'!G354</f>
        <v>0</v>
      </c>
      <c r="H354" s="35">
        <f>'Impacts A'!H354-'Impacts B'!H354</f>
        <v>0</v>
      </c>
      <c r="I354" s="35">
        <f>'Impacts A'!I354-'Impacts B'!I354</f>
        <v>0</v>
      </c>
      <c r="J354" s="35">
        <f>'Impacts A'!J354-'Impacts B'!J354</f>
        <v>0</v>
      </c>
      <c r="K354" s="35">
        <f>'Impacts A'!K354-'Impacts B'!K354</f>
        <v>0</v>
      </c>
      <c r="L354" s="35">
        <f>'Impacts A'!L354-'Impacts B'!L354</f>
        <v>0</v>
      </c>
      <c r="M354" s="6"/>
      <c r="N354" s="84" t="s">
        <v>168</v>
      </c>
    </row>
    <row r="355" spans="1:14" x14ac:dyDescent="0.25">
      <c r="A355" t="str">
        <v>OT discontinuity</v>
      </c>
      <c r="C355" s="35">
        <f>'Impacts A'!C355-'Impacts B'!C355</f>
        <v>0</v>
      </c>
      <c r="D355" s="35">
        <f>'Impacts A'!D355-'Impacts B'!D355</f>
        <v>0</v>
      </c>
      <c r="E355" s="35">
        <f>'Impacts A'!E355-'Impacts B'!E355</f>
        <v>0</v>
      </c>
      <c r="F355" s="35">
        <f>'Impacts A'!F355-'Impacts B'!F355</f>
        <v>0</v>
      </c>
      <c r="G355" s="35">
        <f>'Impacts A'!G355-'Impacts B'!G355</f>
        <v>0</v>
      </c>
      <c r="H355" s="35">
        <f>'Impacts A'!H355-'Impacts B'!H355</f>
        <v>0</v>
      </c>
      <c r="I355" s="35">
        <f>'Impacts A'!I355-'Impacts B'!I355</f>
        <v>0</v>
      </c>
      <c r="J355" s="35">
        <f>'Impacts A'!J355-'Impacts B'!J355</f>
        <v>0</v>
      </c>
      <c r="K355" s="35">
        <f>'Impacts A'!K355-'Impacts B'!K355</f>
        <v>0</v>
      </c>
      <c r="L355" s="35">
        <f>'Impacts A'!L355-'Impacts B'!L355</f>
        <v>0</v>
      </c>
      <c r="M355" s="6"/>
      <c r="N355" s="84" t="s">
        <v>168</v>
      </c>
    </row>
    <row r="356" spans="1:14" x14ac:dyDescent="0.25">
      <c r="A356" t="str">
        <v>EE discontinuity</v>
      </c>
      <c r="C356" s="35">
        <f>'Impacts A'!C356-'Impacts B'!C356</f>
        <v>0</v>
      </c>
      <c r="D356" s="35">
        <f>'Impacts A'!D356-'Impacts B'!D356</f>
        <v>0</v>
      </c>
      <c r="E356" s="35">
        <f>'Impacts A'!E356-'Impacts B'!E356</f>
        <v>0</v>
      </c>
      <c r="F356" s="35">
        <f>'Impacts A'!F356-'Impacts B'!F356</f>
        <v>0</v>
      </c>
      <c r="G356" s="35">
        <f>'Impacts A'!G356-'Impacts B'!G356</f>
        <v>0</v>
      </c>
      <c r="H356" s="35">
        <f>'Impacts A'!H356-'Impacts B'!H356</f>
        <v>0</v>
      </c>
      <c r="I356" s="35">
        <f>'Impacts A'!I356-'Impacts B'!I356</f>
        <v>0</v>
      </c>
      <c r="J356" s="35">
        <f>'Impacts A'!J356-'Impacts B'!J356</f>
        <v>0</v>
      </c>
      <c r="K356" s="35">
        <f>'Impacts A'!K356-'Impacts B'!K356</f>
        <v>0</v>
      </c>
      <c r="L356" s="35">
        <f>'Impacts A'!L356-'Impacts B'!L356</f>
        <v>0</v>
      </c>
      <c r="M356" s="6"/>
      <c r="N356" s="84" t="s">
        <v>168</v>
      </c>
    </row>
    <row r="357" spans="1:14" x14ac:dyDescent="0.25">
      <c r="A357" t="str">
        <v>CA discontinuity</v>
      </c>
      <c r="C357" s="35">
        <f>'Impacts A'!C357-'Impacts B'!C357</f>
        <v>0</v>
      </c>
      <c r="D357" s="35">
        <f>'Impacts A'!D357-'Impacts B'!D357</f>
        <v>0</v>
      </c>
      <c r="E357" s="35">
        <f>'Impacts A'!E357-'Impacts B'!E357</f>
        <v>0</v>
      </c>
      <c r="F357" s="35">
        <f>'Impacts A'!F357-'Impacts B'!F357</f>
        <v>0</v>
      </c>
      <c r="G357" s="35">
        <f>'Impacts A'!G357-'Impacts B'!G357</f>
        <v>0</v>
      </c>
      <c r="H357" s="35">
        <f>'Impacts A'!H357-'Impacts B'!H357</f>
        <v>0</v>
      </c>
      <c r="I357" s="35">
        <f>'Impacts A'!I357-'Impacts B'!I357</f>
        <v>0</v>
      </c>
      <c r="J357" s="35">
        <f>'Impacts A'!J357-'Impacts B'!J357</f>
        <v>0</v>
      </c>
      <c r="K357" s="35">
        <f>'Impacts A'!K357-'Impacts B'!K357</f>
        <v>0</v>
      </c>
      <c r="L357" s="35">
        <f>'Impacts A'!L357-'Impacts B'!L357</f>
        <v>0</v>
      </c>
      <c r="M357" s="6"/>
      <c r="N357" s="84" t="s">
        <v>168</v>
      </c>
    </row>
    <row r="358" spans="1:14" x14ac:dyDescent="0.25">
      <c r="A358" t="str">
        <v>IA discontinuity</v>
      </c>
      <c r="C358" s="35">
        <f>'Impacts A'!C358-'Impacts B'!C358</f>
        <v>0</v>
      </c>
      <c r="D358" s="35">
        <f>'Impacts A'!D358-'Impacts B'!D358</f>
        <v>0</v>
      </c>
      <c r="E358" s="35">
        <f>'Impacts A'!E358-'Impacts B'!E358</f>
        <v>0</v>
      </c>
      <c r="F358" s="35">
        <f>'Impacts A'!F358-'Impacts B'!F358</f>
        <v>0</v>
      </c>
      <c r="G358" s="35">
        <f>'Impacts A'!G358-'Impacts B'!G358</f>
        <v>0</v>
      </c>
      <c r="H358" s="35">
        <f>'Impacts A'!H358-'Impacts B'!H358</f>
        <v>0</v>
      </c>
      <c r="I358" s="35">
        <f>'Impacts A'!I358-'Impacts B'!I358</f>
        <v>0</v>
      </c>
      <c r="J358" s="35">
        <f>'Impacts A'!J358-'Impacts B'!J358</f>
        <v>0</v>
      </c>
      <c r="K358" s="35">
        <f>'Impacts A'!K358-'Impacts B'!K358</f>
        <v>0</v>
      </c>
      <c r="L358" s="35">
        <f>'Impacts A'!L358-'Impacts B'!L358</f>
        <v>0</v>
      </c>
      <c r="M358" s="6"/>
      <c r="N358" s="84" t="s">
        <v>168</v>
      </c>
    </row>
    <row r="359" spans="1:14" x14ac:dyDescent="0.25">
      <c r="A359" t="str">
        <v>AF discontinuity</v>
      </c>
      <c r="C359" s="35">
        <f>'Impacts A'!C359-'Impacts B'!C359</f>
        <v>0</v>
      </c>
      <c r="D359" s="35">
        <f>'Impacts A'!D359-'Impacts B'!D359</f>
        <v>0</v>
      </c>
      <c r="E359" s="35">
        <f>'Impacts A'!E359-'Impacts B'!E359</f>
        <v>0</v>
      </c>
      <c r="F359" s="35">
        <f>'Impacts A'!F359-'Impacts B'!F359</f>
        <v>0</v>
      </c>
      <c r="G359" s="35">
        <f>'Impacts A'!G359-'Impacts B'!G359</f>
        <v>0</v>
      </c>
      <c r="H359" s="35">
        <f>'Impacts A'!H359-'Impacts B'!H359</f>
        <v>0</v>
      </c>
      <c r="I359" s="35">
        <f>'Impacts A'!I359-'Impacts B'!I359</f>
        <v>0</v>
      </c>
      <c r="J359" s="35">
        <f>'Impacts A'!J359-'Impacts B'!J359</f>
        <v>0</v>
      </c>
      <c r="K359" s="35">
        <f>'Impacts A'!K359-'Impacts B'!K359</f>
        <v>0</v>
      </c>
      <c r="L359" s="35">
        <f>'Impacts A'!L359-'Impacts B'!L359</f>
        <v>0</v>
      </c>
      <c r="M359" s="6"/>
      <c r="N359" s="84" t="s">
        <v>168</v>
      </c>
    </row>
    <row r="360" spans="1:14" x14ac:dyDescent="0.25">
      <c r="A360" t="str">
        <v>LA discontinuity</v>
      </c>
      <c r="C360" s="35">
        <f>'Impacts A'!C360-'Impacts B'!C360</f>
        <v>0</v>
      </c>
      <c r="D360" s="35">
        <f>'Impacts A'!D360-'Impacts B'!D360</f>
        <v>0</v>
      </c>
      <c r="E360" s="35">
        <f>'Impacts A'!E360-'Impacts B'!E360</f>
        <v>0</v>
      </c>
      <c r="F360" s="35">
        <f>'Impacts A'!F360-'Impacts B'!F360</f>
        <v>0</v>
      </c>
      <c r="G360" s="35">
        <f>'Impacts A'!G360-'Impacts B'!G360</f>
        <v>0</v>
      </c>
      <c r="H360" s="35">
        <f>'Impacts A'!H360-'Impacts B'!H360</f>
        <v>0</v>
      </c>
      <c r="I360" s="35">
        <f>'Impacts A'!I360-'Impacts B'!I360</f>
        <v>0</v>
      </c>
      <c r="J360" s="35">
        <f>'Impacts A'!J360-'Impacts B'!J360</f>
        <v>0</v>
      </c>
      <c r="K360" s="35">
        <f>'Impacts A'!K360-'Impacts B'!K360</f>
        <v>0</v>
      </c>
      <c r="L360" s="35">
        <f>'Impacts A'!L360-'Impacts B'!L360</f>
        <v>0</v>
      </c>
      <c r="M360" s="6"/>
      <c r="N360" s="84" t="s">
        <v>168</v>
      </c>
    </row>
    <row r="361" spans="1:14" s="2" customFormat="1" ht="15" x14ac:dyDescent="0.4">
      <c r="A361" s="2" t="s">
        <v>303</v>
      </c>
      <c r="C361" s="2" t="s">
        <v>304</v>
      </c>
    </row>
    <row r="362" spans="1:14" x14ac:dyDescent="0.25">
      <c r="A362" t="str">
        <f t="array" ref="A362:A369">R_CODE&amp;" discontinuity"</f>
        <v>EU discontinuity</v>
      </c>
      <c r="C362" s="39">
        <f>'Impacts A'!C362-'Impacts B'!C362</f>
        <v>0</v>
      </c>
      <c r="D362" s="39">
        <f>'Impacts A'!D362-'Impacts B'!D362</f>
        <v>-2.3718754071921921E-7</v>
      </c>
      <c r="E362" s="39">
        <f>'Impacts A'!E362-'Impacts B'!E362</f>
        <v>-8.5539268113166145E-7</v>
      </c>
      <c r="F362" s="39">
        <f>'Impacts A'!F362-'Impacts B'!F362</f>
        <v>-2.0193652758848657E-6</v>
      </c>
      <c r="G362" s="39">
        <f>'Impacts A'!G362-'Impacts B'!G362</f>
        <v>-2.7154717354704871E-6</v>
      </c>
      <c r="H362" s="39">
        <f>'Impacts A'!H362-'Impacts B'!H362</f>
        <v>-3.3142906232797031E-6</v>
      </c>
      <c r="I362" s="39">
        <f>'Impacts A'!I362-'Impacts B'!I362</f>
        <v>-4.1764166347491027E-6</v>
      </c>
      <c r="J362" s="39">
        <f>'Impacts A'!J362-'Impacts B'!J362</f>
        <v>-4.0822587745736882E-6</v>
      </c>
      <c r="K362" s="39">
        <f>'Impacts A'!K362-'Impacts B'!K362</f>
        <v>-1.8939229917691591E-6</v>
      </c>
      <c r="L362" s="39">
        <f>'Impacts A'!L362-'Impacts B'!L362</f>
        <v>-1.387262626550978E-6</v>
      </c>
      <c r="M362" s="6"/>
      <c r="N362" s="84" t="s">
        <v>168</v>
      </c>
    </row>
    <row r="363" spans="1:14" x14ac:dyDescent="0.25">
      <c r="A363" t="str">
        <v>US discontinuity</v>
      </c>
      <c r="C363" s="35">
        <f>'Impacts A'!C363-'Impacts B'!C363</f>
        <v>0</v>
      </c>
      <c r="D363" s="35">
        <f>'Impacts A'!D363-'Impacts B'!D363</f>
        <v>-2.3043973662595363E-7</v>
      </c>
      <c r="E363" s="35">
        <f>'Impacts A'!E363-'Impacts B'!E363</f>
        <v>-7.066279366085837E-7</v>
      </c>
      <c r="F363" s="35">
        <f>'Impacts A'!F363-'Impacts B'!F363</f>
        <v>-1.4601151434590065E-6</v>
      </c>
      <c r="G363" s="35">
        <f>'Impacts A'!G363-'Impacts B'!G363</f>
        <v>-1.9590055178042576E-6</v>
      </c>
      <c r="H363" s="35">
        <f>'Impacts A'!H363-'Impacts B'!H363</f>
        <v>-2.3662511701161293E-6</v>
      </c>
      <c r="I363" s="35">
        <f>'Impacts A'!I363-'Impacts B'!I363</f>
        <v>-2.9497706766079546E-6</v>
      </c>
      <c r="J363" s="35">
        <f>'Impacts A'!J363-'Impacts B'!J363</f>
        <v>-2.7989469995048921E-6</v>
      </c>
      <c r="K363" s="35">
        <f>'Impacts A'!K363-'Impacts B'!K363</f>
        <v>-1.2786170344725178E-6</v>
      </c>
      <c r="L363" s="35">
        <f>'Impacts A'!L363-'Impacts B'!L363</f>
        <v>-8.9586137974606572E-7</v>
      </c>
      <c r="M363" s="6"/>
      <c r="N363" s="84" t="s">
        <v>168</v>
      </c>
    </row>
    <row r="364" spans="1:14" x14ac:dyDescent="0.25">
      <c r="A364" t="str">
        <v>OT discontinuity</v>
      </c>
      <c r="C364" s="35">
        <f>'Impacts A'!C364-'Impacts B'!C364</f>
        <v>0</v>
      </c>
      <c r="D364" s="35">
        <f>'Impacts A'!D364-'Impacts B'!D364</f>
        <v>-5.7333643788126665E-7</v>
      </c>
      <c r="E364" s="35">
        <f>'Impacts A'!E364-'Impacts B'!E364</f>
        <v>-1.3800671858632541E-6</v>
      </c>
      <c r="F364" s="35">
        <f>'Impacts A'!F364-'Impacts B'!F364</f>
        <v>-2.4867315016052771E-6</v>
      </c>
      <c r="G364" s="35">
        <f>'Impacts A'!G364-'Impacts B'!G364</f>
        <v>-3.221923851270958E-6</v>
      </c>
      <c r="H364" s="35">
        <f>'Impacts A'!H364-'Impacts B'!H364</f>
        <v>-3.7310253322431208E-6</v>
      </c>
      <c r="I364" s="35">
        <f>'Impacts A'!I364-'Impacts B'!I364</f>
        <v>-4.1187751840254805E-6</v>
      </c>
      <c r="J364" s="35">
        <f>'Impacts A'!J364-'Impacts B'!J364</f>
        <v>-3.6258316864490325E-6</v>
      </c>
      <c r="K364" s="35">
        <f>'Impacts A'!K364-'Impacts B'!K364</f>
        <v>-1.5228140535228363E-6</v>
      </c>
      <c r="L364" s="35">
        <f>'Impacts A'!L364-'Impacts B'!L364</f>
        <v>-9.8143044535703439E-7</v>
      </c>
      <c r="M364" s="6"/>
      <c r="N364" s="84" t="s">
        <v>168</v>
      </c>
    </row>
    <row r="365" spans="1:14" x14ac:dyDescent="0.25">
      <c r="A365" t="str">
        <v>EE discontinuity</v>
      </c>
      <c r="C365" s="35">
        <f>'Impacts A'!C365-'Impacts B'!C365</f>
        <v>0</v>
      </c>
      <c r="D365" s="35">
        <f>'Impacts A'!D365-'Impacts B'!D365</f>
        <v>-1.2562360751644519E-7</v>
      </c>
      <c r="E365" s="35">
        <f>'Impacts A'!E365-'Impacts B'!E365</f>
        <v>-3.3363699802890778E-7</v>
      </c>
      <c r="F365" s="35">
        <f>'Impacts A'!F365-'Impacts B'!F365</f>
        <v>-7.2005143270104099E-7</v>
      </c>
      <c r="G365" s="35">
        <f>'Impacts A'!G365-'Impacts B'!G365</f>
        <v>-1.000265209327722E-6</v>
      </c>
      <c r="H365" s="35">
        <f>'Impacts A'!H365-'Impacts B'!H365</f>
        <v>-1.2120955750205553E-6</v>
      </c>
      <c r="I365" s="35">
        <f>'Impacts A'!I365-'Impacts B'!I365</f>
        <v>-1.4337656235596796E-6</v>
      </c>
      <c r="J365" s="35">
        <f>'Impacts A'!J365-'Impacts B'!J365</f>
        <v>-1.3257370312658168E-6</v>
      </c>
      <c r="K365" s="35">
        <f>'Impacts A'!K365-'Impacts B'!K365</f>
        <v>-5.8618461551418477E-7</v>
      </c>
      <c r="L365" s="35">
        <f>'Impacts A'!L365-'Impacts B'!L365</f>
        <v>-4.018071759759323E-7</v>
      </c>
      <c r="M365" s="6"/>
      <c r="N365" s="84" t="s">
        <v>168</v>
      </c>
    </row>
    <row r="366" spans="1:14" x14ac:dyDescent="0.25">
      <c r="A366" t="str">
        <v>CA discontinuity</v>
      </c>
      <c r="C366" s="35">
        <f>'Impacts A'!C366-'Impacts B'!C366</f>
        <v>0</v>
      </c>
      <c r="D366" s="35">
        <f>'Impacts A'!D366-'Impacts B'!D366</f>
        <v>-1.0748336798371838E-7</v>
      </c>
      <c r="E366" s="35">
        <f>'Impacts A'!E366-'Impacts B'!E366</f>
        <v>-3.0332853029335638E-7</v>
      </c>
      <c r="F366" s="35">
        <f>'Impacts A'!F366-'Impacts B'!F366</f>
        <v>-3.798653729347734E-7</v>
      </c>
      <c r="G366" s="35">
        <f>'Impacts A'!G366-'Impacts B'!G366</f>
        <v>-2.3126791326433249E-7</v>
      </c>
      <c r="H366" s="35">
        <f>'Impacts A'!H366-'Impacts B'!H366</f>
        <v>-5.7254172247667157E-7</v>
      </c>
      <c r="I366" s="35">
        <f>'Impacts A'!I366-'Impacts B'!I366</f>
        <v>-1.1165689901559972E-6</v>
      </c>
      <c r="J366" s="35">
        <f>'Impacts A'!J366-'Impacts B'!J366</f>
        <v>-1.9861240350138587E-6</v>
      </c>
      <c r="K366" s="35">
        <f>'Impacts A'!K366-'Impacts B'!K366</f>
        <v>-1.4108124393175103E-6</v>
      </c>
      <c r="L366" s="35">
        <f>'Impacts A'!L366-'Impacts B'!L366</f>
        <v>-1.0643283303579665E-6</v>
      </c>
      <c r="M366" s="6"/>
      <c r="N366" s="84" t="s">
        <v>168</v>
      </c>
    </row>
    <row r="367" spans="1:14" x14ac:dyDescent="0.25">
      <c r="A367" t="str">
        <v>IA discontinuity</v>
      </c>
      <c r="C367" s="35">
        <f>'Impacts A'!C367-'Impacts B'!C367</f>
        <v>0</v>
      </c>
      <c r="D367" s="35">
        <f>'Impacts A'!D367-'Impacts B'!D367</f>
        <v>-1.2491182488361119E-7</v>
      </c>
      <c r="E367" s="35">
        <f>'Impacts A'!E367-'Impacts B'!E367</f>
        <v>-4.7470759589884892E-7</v>
      </c>
      <c r="F367" s="35">
        <f>'Impacts A'!F367-'Impacts B'!F367</f>
        <v>-1.0876782141622243E-6</v>
      </c>
      <c r="G367" s="35">
        <f>'Impacts A'!G367-'Impacts B'!G367</f>
        <v>-2.1275629755734826E-6</v>
      </c>
      <c r="H367" s="35">
        <f>'Impacts A'!H367-'Impacts B'!H367</f>
        <v>-3.0375935420323685E-6</v>
      </c>
      <c r="I367" s="35">
        <f>'Impacts A'!I367-'Impacts B'!I367</f>
        <v>-4.2796205441675284E-6</v>
      </c>
      <c r="J367" s="35">
        <f>'Impacts A'!J367-'Impacts B'!J367</f>
        <v>-4.3965657852140794E-6</v>
      </c>
      <c r="K367" s="35">
        <f>'Impacts A'!K367-'Impacts B'!K367</f>
        <v>-2.2194623330307195E-6</v>
      </c>
      <c r="L367" s="35">
        <f>'Impacts A'!L367-'Impacts B'!L367</f>
        <v>-1.5602244989310066E-6</v>
      </c>
      <c r="M367" s="6"/>
      <c r="N367" s="84" t="s">
        <v>168</v>
      </c>
    </row>
    <row r="368" spans="1:14" x14ac:dyDescent="0.25">
      <c r="A368" t="str">
        <v>AF discontinuity</v>
      </c>
      <c r="C368" s="35">
        <f>'Impacts A'!C368-'Impacts B'!C368</f>
        <v>0</v>
      </c>
      <c r="D368" s="35">
        <f>'Impacts A'!D368-'Impacts B'!D368</f>
        <v>-2.8281890074310923E-7</v>
      </c>
      <c r="E368" s="35">
        <f>'Impacts A'!E368-'Impacts B'!E368</f>
        <v>-5.5822759570389735E-7</v>
      </c>
      <c r="F368" s="35">
        <f>'Impacts A'!F368-'Impacts B'!F368</f>
        <v>-7.4170266728401657E-7</v>
      </c>
      <c r="G368" s="35">
        <f>'Impacts A'!G368-'Impacts B'!G368</f>
        <v>-1.0628214255348212E-6</v>
      </c>
      <c r="H368" s="35">
        <f>'Impacts A'!H368-'Impacts B'!H368</f>
        <v>-1.348210831864094E-6</v>
      </c>
      <c r="I368" s="35">
        <f>'Impacts A'!I368-'Impacts B'!I368</f>
        <v>-1.8023721146676053E-6</v>
      </c>
      <c r="J368" s="35">
        <f>'Impacts A'!J368-'Impacts B'!J368</f>
        <v>-1.9310244443460078E-6</v>
      </c>
      <c r="K368" s="35">
        <f>'Impacts A'!K368-'Impacts B'!K368</f>
        <v>-1.0084550989830632E-6</v>
      </c>
      <c r="L368" s="35">
        <f>'Impacts A'!L368-'Impacts B'!L368</f>
        <v>-7.0983426159187957E-7</v>
      </c>
      <c r="M368" s="6"/>
      <c r="N368" s="84" t="s">
        <v>168</v>
      </c>
    </row>
    <row r="369" spans="1:14" x14ac:dyDescent="0.25">
      <c r="A369" t="str">
        <v>LA discontinuity</v>
      </c>
      <c r="C369" s="35">
        <f>'Impacts A'!C369-'Impacts B'!C369</f>
        <v>0</v>
      </c>
      <c r="D369" s="35">
        <f>'Impacts A'!D369-'Impacts B'!D369</f>
        <v>-3.4483118760419984E-7</v>
      </c>
      <c r="E369" s="35">
        <f>'Impacts A'!E369-'Impacts B'!E369</f>
        <v>-7.103543673281365E-7</v>
      </c>
      <c r="F369" s="35">
        <f>'Impacts A'!F369-'Impacts B'!F369</f>
        <v>-9.6422853168576239E-7</v>
      </c>
      <c r="G369" s="35">
        <f>'Impacts A'!G369-'Impacts B'!G369</f>
        <v>-1.2905452440037379E-6</v>
      </c>
      <c r="H369" s="35">
        <f>'Impacts A'!H369-'Impacts B'!H369</f>
        <v>-1.5623390350327782E-6</v>
      </c>
      <c r="I369" s="35">
        <f>'Impacts A'!I369-'Impacts B'!I369</f>
        <v>-1.9524050713926044E-6</v>
      </c>
      <c r="J369" s="35">
        <f>'Impacts A'!J369-'Impacts B'!J369</f>
        <v>-1.9579747210229925E-6</v>
      </c>
      <c r="K369" s="35">
        <f>'Impacts A'!K369-'Impacts B'!K369</f>
        <v>-9.5833889091068158E-7</v>
      </c>
      <c r="L369" s="35">
        <f>'Impacts A'!L369-'Impacts B'!L369</f>
        <v>-6.4738373062311894E-7</v>
      </c>
      <c r="M369" s="6"/>
      <c r="N369" s="84" t="s">
        <v>168</v>
      </c>
    </row>
    <row r="370" spans="1:14" s="2" customFormat="1" ht="15" x14ac:dyDescent="0.4">
      <c r="A370" s="2" t="s">
        <v>275</v>
      </c>
      <c r="C370" s="2" t="s">
        <v>305</v>
      </c>
    </row>
    <row r="371" spans="1:14" x14ac:dyDescent="0.25">
      <c r="A371" t="str">
        <f t="array" ref="A371:A378">R_CODE&amp;" discontinuity"</f>
        <v>EU discontinuity</v>
      </c>
      <c r="C371" s="39">
        <f>'Impacts A'!C371-'Impacts B'!C371</f>
        <v>0</v>
      </c>
      <c r="D371" s="39">
        <f>'Impacts A'!D371-'Impacts B'!D371</f>
        <v>0</v>
      </c>
      <c r="E371" s="39">
        <f>'Impacts A'!E371-'Impacts B'!E371</f>
        <v>0</v>
      </c>
      <c r="F371" s="39">
        <f>'Impacts A'!F371-'Impacts B'!F371</f>
        <v>0</v>
      </c>
      <c r="G371" s="39">
        <f>'Impacts A'!G371-'Impacts B'!G371</f>
        <v>0</v>
      </c>
      <c r="H371" s="39">
        <f>'Impacts A'!H371-'Impacts B'!H371</f>
        <v>0</v>
      </c>
      <c r="I371" s="39">
        <f>'Impacts A'!I371-'Impacts B'!I371</f>
        <v>0</v>
      </c>
      <c r="J371" s="39">
        <f>'Impacts A'!J371-'Impacts B'!J371</f>
        <v>0</v>
      </c>
      <c r="K371" s="39">
        <f>'Impacts A'!K371-'Impacts B'!K371</f>
        <v>0</v>
      </c>
      <c r="L371" s="39">
        <f>'Impacts A'!L371-'Impacts B'!L371</f>
        <v>0</v>
      </c>
      <c r="M371" s="6"/>
      <c r="N371" s="84" t="s">
        <v>168</v>
      </c>
    </row>
    <row r="372" spans="1:14" x14ac:dyDescent="0.25">
      <c r="A372" t="str">
        <v>US discontinuity</v>
      </c>
      <c r="C372" s="35">
        <f>'Impacts A'!C372-'Impacts B'!C372</f>
        <v>0</v>
      </c>
      <c r="D372" s="35">
        <f>'Impacts A'!D372-'Impacts B'!D372</f>
        <v>0</v>
      </c>
      <c r="E372" s="35">
        <f>'Impacts A'!E372-'Impacts B'!E372</f>
        <v>0</v>
      </c>
      <c r="F372" s="35">
        <f>'Impacts A'!F372-'Impacts B'!F372</f>
        <v>0</v>
      </c>
      <c r="G372" s="35">
        <f>'Impacts A'!G372-'Impacts B'!G372</f>
        <v>0</v>
      </c>
      <c r="H372" s="35">
        <f>'Impacts A'!H372-'Impacts B'!H372</f>
        <v>0</v>
      </c>
      <c r="I372" s="35">
        <f>'Impacts A'!I372-'Impacts B'!I372</f>
        <v>0</v>
      </c>
      <c r="J372" s="35">
        <f>'Impacts A'!J372-'Impacts B'!J372</f>
        <v>0</v>
      </c>
      <c r="K372" s="35">
        <f>'Impacts A'!K372-'Impacts B'!K372</f>
        <v>0</v>
      </c>
      <c r="L372" s="35">
        <f>'Impacts A'!L372-'Impacts B'!L372</f>
        <v>0</v>
      </c>
      <c r="M372" s="6"/>
      <c r="N372" s="84" t="s">
        <v>168</v>
      </c>
    </row>
    <row r="373" spans="1:14" x14ac:dyDescent="0.25">
      <c r="A373" t="str">
        <v>OT discontinuity</v>
      </c>
      <c r="C373" s="35">
        <f>'Impacts A'!C373-'Impacts B'!C373</f>
        <v>0</v>
      </c>
      <c r="D373" s="35">
        <f>'Impacts A'!D373-'Impacts B'!D373</f>
        <v>0</v>
      </c>
      <c r="E373" s="35">
        <f>'Impacts A'!E373-'Impacts B'!E373</f>
        <v>0</v>
      </c>
      <c r="F373" s="35">
        <f>'Impacts A'!F373-'Impacts B'!F373</f>
        <v>0</v>
      </c>
      <c r="G373" s="35">
        <f>'Impacts A'!G373-'Impacts B'!G373</f>
        <v>0</v>
      </c>
      <c r="H373" s="35">
        <f>'Impacts A'!H373-'Impacts B'!H373</f>
        <v>0</v>
      </c>
      <c r="I373" s="35">
        <f>'Impacts A'!I373-'Impacts B'!I373</f>
        <v>0</v>
      </c>
      <c r="J373" s="35">
        <f>'Impacts A'!J373-'Impacts B'!J373</f>
        <v>0</v>
      </c>
      <c r="K373" s="35">
        <f>'Impacts A'!K373-'Impacts B'!K373</f>
        <v>0</v>
      </c>
      <c r="L373" s="35">
        <f>'Impacts A'!L373-'Impacts B'!L373</f>
        <v>0</v>
      </c>
      <c r="M373" s="6"/>
      <c r="N373" s="84" t="s">
        <v>168</v>
      </c>
    </row>
    <row r="374" spans="1:14" x14ac:dyDescent="0.25">
      <c r="A374" t="str">
        <v>EE discontinuity</v>
      </c>
      <c r="C374" s="35">
        <f>'Impacts A'!C374-'Impacts B'!C374</f>
        <v>0</v>
      </c>
      <c r="D374" s="35">
        <f>'Impacts A'!D374-'Impacts B'!D374</f>
        <v>0</v>
      </c>
      <c r="E374" s="35">
        <f>'Impacts A'!E374-'Impacts B'!E374</f>
        <v>0</v>
      </c>
      <c r="F374" s="35">
        <f>'Impacts A'!F374-'Impacts B'!F374</f>
        <v>0</v>
      </c>
      <c r="G374" s="35">
        <f>'Impacts A'!G374-'Impacts B'!G374</f>
        <v>0</v>
      </c>
      <c r="H374" s="35">
        <f>'Impacts A'!H374-'Impacts B'!H374</f>
        <v>0</v>
      </c>
      <c r="I374" s="35">
        <f>'Impacts A'!I374-'Impacts B'!I374</f>
        <v>0</v>
      </c>
      <c r="J374" s="35">
        <f>'Impacts A'!J374-'Impacts B'!J374</f>
        <v>0</v>
      </c>
      <c r="K374" s="35">
        <f>'Impacts A'!K374-'Impacts B'!K374</f>
        <v>0</v>
      </c>
      <c r="L374" s="35">
        <f>'Impacts A'!L374-'Impacts B'!L374</f>
        <v>0</v>
      </c>
      <c r="M374" s="6"/>
      <c r="N374" s="84" t="s">
        <v>168</v>
      </c>
    </row>
    <row r="375" spans="1:14" x14ac:dyDescent="0.25">
      <c r="A375" t="str">
        <v>CA discontinuity</v>
      </c>
      <c r="C375" s="35">
        <f>'Impacts A'!C375-'Impacts B'!C375</f>
        <v>0</v>
      </c>
      <c r="D375" s="35">
        <f>'Impacts A'!D375-'Impacts B'!D375</f>
        <v>0</v>
      </c>
      <c r="E375" s="35">
        <f>'Impacts A'!E375-'Impacts B'!E375</f>
        <v>0</v>
      </c>
      <c r="F375" s="35">
        <f>'Impacts A'!F375-'Impacts B'!F375</f>
        <v>0</v>
      </c>
      <c r="G375" s="35">
        <f>'Impacts A'!G375-'Impacts B'!G375</f>
        <v>0</v>
      </c>
      <c r="H375" s="35">
        <f>'Impacts A'!H375-'Impacts B'!H375</f>
        <v>0</v>
      </c>
      <c r="I375" s="35">
        <f>'Impacts A'!I375-'Impacts B'!I375</f>
        <v>0</v>
      </c>
      <c r="J375" s="35">
        <f>'Impacts A'!J375-'Impacts B'!J375</f>
        <v>0</v>
      </c>
      <c r="K375" s="35">
        <f>'Impacts A'!K375-'Impacts B'!K375</f>
        <v>0</v>
      </c>
      <c r="L375" s="35">
        <f>'Impacts A'!L375-'Impacts B'!L375</f>
        <v>0</v>
      </c>
      <c r="M375" s="6"/>
      <c r="N375" s="84" t="s">
        <v>168</v>
      </c>
    </row>
    <row r="376" spans="1:14" x14ac:dyDescent="0.25">
      <c r="A376" t="str">
        <v>IA discontinuity</v>
      </c>
      <c r="C376" s="35">
        <f>'Impacts A'!C376-'Impacts B'!C376</f>
        <v>0</v>
      </c>
      <c r="D376" s="35">
        <f>'Impacts A'!D376-'Impacts B'!D376</f>
        <v>0</v>
      </c>
      <c r="E376" s="35">
        <f>'Impacts A'!E376-'Impacts B'!E376</f>
        <v>0</v>
      </c>
      <c r="F376" s="35">
        <f>'Impacts A'!F376-'Impacts B'!F376</f>
        <v>0</v>
      </c>
      <c r="G376" s="35">
        <f>'Impacts A'!G376-'Impacts B'!G376</f>
        <v>0</v>
      </c>
      <c r="H376" s="35">
        <f>'Impacts A'!H376-'Impacts B'!H376</f>
        <v>0</v>
      </c>
      <c r="I376" s="35">
        <f>'Impacts A'!I376-'Impacts B'!I376</f>
        <v>0</v>
      </c>
      <c r="J376" s="35">
        <f>'Impacts A'!J376-'Impacts B'!J376</f>
        <v>0</v>
      </c>
      <c r="K376" s="35">
        <f>'Impacts A'!K376-'Impacts B'!K376</f>
        <v>0</v>
      </c>
      <c r="L376" s="35">
        <f>'Impacts A'!L376-'Impacts B'!L376</f>
        <v>0</v>
      </c>
      <c r="M376" s="6"/>
      <c r="N376" s="84" t="s">
        <v>168</v>
      </c>
    </row>
    <row r="377" spans="1:14" x14ac:dyDescent="0.25">
      <c r="A377" t="str">
        <v>AF discontinuity</v>
      </c>
      <c r="C377" s="35">
        <f>'Impacts A'!C377-'Impacts B'!C377</f>
        <v>0</v>
      </c>
      <c r="D377" s="35">
        <f>'Impacts A'!D377-'Impacts B'!D377</f>
        <v>0</v>
      </c>
      <c r="E377" s="35">
        <f>'Impacts A'!E377-'Impacts B'!E377</f>
        <v>0</v>
      </c>
      <c r="F377" s="35">
        <f>'Impacts A'!F377-'Impacts B'!F377</f>
        <v>0</v>
      </c>
      <c r="G377" s="35">
        <f>'Impacts A'!G377-'Impacts B'!G377</f>
        <v>0</v>
      </c>
      <c r="H377" s="35">
        <f>'Impacts A'!H377-'Impacts B'!H377</f>
        <v>0</v>
      </c>
      <c r="I377" s="35">
        <f>'Impacts A'!I377-'Impacts B'!I377</f>
        <v>0</v>
      </c>
      <c r="J377" s="35">
        <f>'Impacts A'!J377-'Impacts B'!J377</f>
        <v>0</v>
      </c>
      <c r="K377" s="35">
        <f>'Impacts A'!K377-'Impacts B'!K377</f>
        <v>0</v>
      </c>
      <c r="L377" s="35">
        <f>'Impacts A'!L377-'Impacts B'!L377</f>
        <v>0</v>
      </c>
      <c r="M377" s="6"/>
      <c r="N377" s="84" t="s">
        <v>168</v>
      </c>
    </row>
    <row r="378" spans="1:14" x14ac:dyDescent="0.25">
      <c r="A378" t="str">
        <v>LA discontinuity</v>
      </c>
      <c r="C378" s="35">
        <f>'Impacts A'!C378-'Impacts B'!C378</f>
        <v>0</v>
      </c>
      <c r="D378" s="35">
        <f>'Impacts A'!D378-'Impacts B'!D378</f>
        <v>0</v>
      </c>
      <c r="E378" s="35">
        <f>'Impacts A'!E378-'Impacts B'!E378</f>
        <v>0</v>
      </c>
      <c r="F378" s="35">
        <f>'Impacts A'!F378-'Impacts B'!F378</f>
        <v>0</v>
      </c>
      <c r="G378" s="35">
        <f>'Impacts A'!G378-'Impacts B'!G378</f>
        <v>0</v>
      </c>
      <c r="H378" s="35">
        <f>'Impacts A'!H378-'Impacts B'!H378</f>
        <v>0</v>
      </c>
      <c r="I378" s="35">
        <f>'Impacts A'!I378-'Impacts B'!I378</f>
        <v>0</v>
      </c>
      <c r="J378" s="35">
        <f>'Impacts A'!J378-'Impacts B'!J378</f>
        <v>0</v>
      </c>
      <c r="K378" s="35">
        <f>'Impacts A'!K378-'Impacts B'!K378</f>
        <v>0</v>
      </c>
      <c r="L378" s="35">
        <f>'Impacts A'!L378-'Impacts B'!L378</f>
        <v>0</v>
      </c>
      <c r="M378" s="6"/>
      <c r="N378" s="84" t="s">
        <v>168</v>
      </c>
    </row>
    <row r="379" spans="1:14" s="2" customFormat="1" ht="15" x14ac:dyDescent="0.4">
      <c r="A379" s="2" t="s">
        <v>279</v>
      </c>
      <c r="C379" s="2" t="s">
        <v>307</v>
      </c>
    </row>
    <row r="380" spans="1:14" x14ac:dyDescent="0.25">
      <c r="A380" t="str">
        <f t="array" ref="A380:A387">R_CODE&amp;" discontinuity"</f>
        <v>EU discontinuity</v>
      </c>
      <c r="C380" s="39">
        <f>'Impacts A'!C380-'Impacts B'!C380</f>
        <v>0</v>
      </c>
      <c r="D380" s="39">
        <f>'Impacts A'!D380-'Impacts B'!D380</f>
        <v>0</v>
      </c>
      <c r="E380" s="39">
        <f>'Impacts A'!E380-'Impacts B'!E380</f>
        <v>0</v>
      </c>
      <c r="F380" s="39">
        <f>'Impacts A'!F380-'Impacts B'!F380</f>
        <v>0</v>
      </c>
      <c r="G380" s="39">
        <f>'Impacts A'!G380-'Impacts B'!G380</f>
        <v>0</v>
      </c>
      <c r="H380" s="39">
        <f>'Impacts A'!H380-'Impacts B'!H380</f>
        <v>0</v>
      </c>
      <c r="I380" s="39">
        <f>'Impacts A'!I380-'Impacts B'!I380</f>
        <v>0</v>
      </c>
      <c r="J380" s="39">
        <f>'Impacts A'!J380-'Impacts B'!J380</f>
        <v>0</v>
      </c>
      <c r="K380" s="39">
        <f>'Impacts A'!K380-'Impacts B'!K380</f>
        <v>0</v>
      </c>
      <c r="L380" s="39">
        <f>'Impacts A'!L380-'Impacts B'!L380</f>
        <v>0</v>
      </c>
      <c r="M380" s="6"/>
      <c r="N380" s="84" t="s">
        <v>168</v>
      </c>
    </row>
    <row r="381" spans="1:14" x14ac:dyDescent="0.25">
      <c r="A381" t="str">
        <v>US discontinuity</v>
      </c>
      <c r="C381" s="35">
        <f>'Impacts A'!C381-'Impacts B'!C381</f>
        <v>0</v>
      </c>
      <c r="D381" s="35">
        <f>'Impacts A'!D381-'Impacts B'!D381</f>
        <v>0</v>
      </c>
      <c r="E381" s="35">
        <f>'Impacts A'!E381-'Impacts B'!E381</f>
        <v>0</v>
      </c>
      <c r="F381" s="35">
        <f>'Impacts A'!F381-'Impacts B'!F381</f>
        <v>0</v>
      </c>
      <c r="G381" s="35">
        <f>'Impacts A'!G381-'Impacts B'!G381</f>
        <v>0</v>
      </c>
      <c r="H381" s="35">
        <f>'Impacts A'!H381-'Impacts B'!H381</f>
        <v>0</v>
      </c>
      <c r="I381" s="35">
        <f>'Impacts A'!I381-'Impacts B'!I381</f>
        <v>0</v>
      </c>
      <c r="J381" s="35">
        <f>'Impacts A'!J381-'Impacts B'!J381</f>
        <v>0</v>
      </c>
      <c r="K381" s="35">
        <f>'Impacts A'!K381-'Impacts B'!K381</f>
        <v>0</v>
      </c>
      <c r="L381" s="35">
        <f>'Impacts A'!L381-'Impacts B'!L381</f>
        <v>0</v>
      </c>
      <c r="M381" s="6"/>
      <c r="N381" s="84" t="s">
        <v>168</v>
      </c>
    </row>
    <row r="382" spans="1:14" x14ac:dyDescent="0.25">
      <c r="A382" t="str">
        <v>OT discontinuity</v>
      </c>
      <c r="C382" s="35">
        <f>'Impacts A'!C382-'Impacts B'!C382</f>
        <v>0</v>
      </c>
      <c r="D382" s="35">
        <f>'Impacts A'!D382-'Impacts B'!D382</f>
        <v>0</v>
      </c>
      <c r="E382" s="35">
        <f>'Impacts A'!E382-'Impacts B'!E382</f>
        <v>0</v>
      </c>
      <c r="F382" s="35">
        <f>'Impacts A'!F382-'Impacts B'!F382</f>
        <v>0</v>
      </c>
      <c r="G382" s="35">
        <f>'Impacts A'!G382-'Impacts B'!G382</f>
        <v>0</v>
      </c>
      <c r="H382" s="35">
        <f>'Impacts A'!H382-'Impacts B'!H382</f>
        <v>0</v>
      </c>
      <c r="I382" s="35">
        <f>'Impacts A'!I382-'Impacts B'!I382</f>
        <v>0</v>
      </c>
      <c r="J382" s="35">
        <f>'Impacts A'!J382-'Impacts B'!J382</f>
        <v>0</v>
      </c>
      <c r="K382" s="35">
        <f>'Impacts A'!K382-'Impacts B'!K382</f>
        <v>0</v>
      </c>
      <c r="L382" s="35">
        <f>'Impacts A'!L382-'Impacts B'!L382</f>
        <v>0</v>
      </c>
      <c r="M382" s="6"/>
      <c r="N382" s="84" t="s">
        <v>168</v>
      </c>
    </row>
    <row r="383" spans="1:14" x14ac:dyDescent="0.25">
      <c r="A383" t="str">
        <v>EE discontinuity</v>
      </c>
      <c r="C383" s="35">
        <f>'Impacts A'!C383-'Impacts B'!C383</f>
        <v>0</v>
      </c>
      <c r="D383" s="35">
        <f>'Impacts A'!D383-'Impacts B'!D383</f>
        <v>0</v>
      </c>
      <c r="E383" s="35">
        <f>'Impacts A'!E383-'Impacts B'!E383</f>
        <v>0</v>
      </c>
      <c r="F383" s="35">
        <f>'Impacts A'!F383-'Impacts B'!F383</f>
        <v>0</v>
      </c>
      <c r="G383" s="35">
        <f>'Impacts A'!G383-'Impacts B'!G383</f>
        <v>0</v>
      </c>
      <c r="H383" s="35">
        <f>'Impacts A'!H383-'Impacts B'!H383</f>
        <v>0</v>
      </c>
      <c r="I383" s="35">
        <f>'Impacts A'!I383-'Impacts B'!I383</f>
        <v>0</v>
      </c>
      <c r="J383" s="35">
        <f>'Impacts A'!J383-'Impacts B'!J383</f>
        <v>0</v>
      </c>
      <c r="K383" s="35">
        <f>'Impacts A'!K383-'Impacts B'!K383</f>
        <v>0</v>
      </c>
      <c r="L383" s="35">
        <f>'Impacts A'!L383-'Impacts B'!L383</f>
        <v>0</v>
      </c>
      <c r="M383" s="6"/>
      <c r="N383" s="84" t="s">
        <v>168</v>
      </c>
    </row>
    <row r="384" spans="1:14" x14ac:dyDescent="0.25">
      <c r="A384" t="str">
        <v>CA discontinuity</v>
      </c>
      <c r="C384" s="35">
        <f>'Impacts A'!C384-'Impacts B'!C384</f>
        <v>0</v>
      </c>
      <c r="D384" s="35">
        <f>'Impacts A'!D384-'Impacts B'!D384</f>
        <v>0</v>
      </c>
      <c r="E384" s="35">
        <f>'Impacts A'!E384-'Impacts B'!E384</f>
        <v>0</v>
      </c>
      <c r="F384" s="35">
        <f>'Impacts A'!F384-'Impacts B'!F384</f>
        <v>0</v>
      </c>
      <c r="G384" s="35">
        <f>'Impacts A'!G384-'Impacts B'!G384</f>
        <v>0</v>
      </c>
      <c r="H384" s="35">
        <f>'Impacts A'!H384-'Impacts B'!H384</f>
        <v>0</v>
      </c>
      <c r="I384" s="35">
        <f>'Impacts A'!I384-'Impacts B'!I384</f>
        <v>0</v>
      </c>
      <c r="J384" s="35">
        <f>'Impacts A'!J384-'Impacts B'!J384</f>
        <v>0</v>
      </c>
      <c r="K384" s="35">
        <f>'Impacts A'!K384-'Impacts B'!K384</f>
        <v>0</v>
      </c>
      <c r="L384" s="35">
        <f>'Impacts A'!L384-'Impacts B'!L384</f>
        <v>0</v>
      </c>
      <c r="M384" s="6"/>
      <c r="N384" s="84" t="s">
        <v>168</v>
      </c>
    </row>
    <row r="385" spans="1:15" x14ac:dyDescent="0.25">
      <c r="A385" t="str">
        <v>IA discontinuity</v>
      </c>
      <c r="C385" s="35">
        <f>'Impacts A'!C385-'Impacts B'!C385</f>
        <v>0</v>
      </c>
      <c r="D385" s="35">
        <f>'Impacts A'!D385-'Impacts B'!D385</f>
        <v>0</v>
      </c>
      <c r="E385" s="35">
        <f>'Impacts A'!E385-'Impacts B'!E385</f>
        <v>0</v>
      </c>
      <c r="F385" s="35">
        <f>'Impacts A'!F385-'Impacts B'!F385</f>
        <v>0</v>
      </c>
      <c r="G385" s="35">
        <f>'Impacts A'!G385-'Impacts B'!G385</f>
        <v>0</v>
      </c>
      <c r="H385" s="35">
        <f>'Impacts A'!H385-'Impacts B'!H385</f>
        <v>0</v>
      </c>
      <c r="I385" s="35">
        <f>'Impacts A'!I385-'Impacts B'!I385</f>
        <v>0</v>
      </c>
      <c r="J385" s="35">
        <f>'Impacts A'!J385-'Impacts B'!J385</f>
        <v>0</v>
      </c>
      <c r="K385" s="35">
        <f>'Impacts A'!K385-'Impacts B'!K385</f>
        <v>0</v>
      </c>
      <c r="L385" s="35">
        <f>'Impacts A'!L385-'Impacts B'!L385</f>
        <v>0</v>
      </c>
      <c r="M385" s="6"/>
      <c r="N385" s="84" t="s">
        <v>168</v>
      </c>
    </row>
    <row r="386" spans="1:15" x14ac:dyDescent="0.25">
      <c r="A386" t="str">
        <v>AF discontinuity</v>
      </c>
      <c r="C386" s="35">
        <f>'Impacts A'!C386-'Impacts B'!C386</f>
        <v>0</v>
      </c>
      <c r="D386" s="35">
        <f>'Impacts A'!D386-'Impacts B'!D386</f>
        <v>0</v>
      </c>
      <c r="E386" s="35">
        <f>'Impacts A'!E386-'Impacts B'!E386</f>
        <v>0</v>
      </c>
      <c r="F386" s="35">
        <f>'Impacts A'!F386-'Impacts B'!F386</f>
        <v>0</v>
      </c>
      <c r="G386" s="35">
        <f>'Impacts A'!G386-'Impacts B'!G386</f>
        <v>0</v>
      </c>
      <c r="H386" s="35">
        <f>'Impacts A'!H386-'Impacts B'!H386</f>
        <v>0</v>
      </c>
      <c r="I386" s="35">
        <f>'Impacts A'!I386-'Impacts B'!I386</f>
        <v>0</v>
      </c>
      <c r="J386" s="35">
        <f>'Impacts A'!J386-'Impacts B'!J386</f>
        <v>0</v>
      </c>
      <c r="K386" s="35">
        <f>'Impacts A'!K386-'Impacts B'!K386</f>
        <v>0</v>
      </c>
      <c r="L386" s="35">
        <f>'Impacts A'!L386-'Impacts B'!L386</f>
        <v>0</v>
      </c>
      <c r="M386" s="6"/>
      <c r="N386" s="84" t="s">
        <v>168</v>
      </c>
    </row>
    <row r="387" spans="1:15" x14ac:dyDescent="0.25">
      <c r="A387" t="str">
        <v>LA discontinuity</v>
      </c>
      <c r="C387" s="35">
        <f>'Impacts A'!C387-'Impacts B'!C387</f>
        <v>0</v>
      </c>
      <c r="D387" s="35">
        <f>'Impacts A'!D387-'Impacts B'!D387</f>
        <v>0</v>
      </c>
      <c r="E387" s="35">
        <f>'Impacts A'!E387-'Impacts B'!E387</f>
        <v>0</v>
      </c>
      <c r="F387" s="35">
        <f>'Impacts A'!F387-'Impacts B'!F387</f>
        <v>0</v>
      </c>
      <c r="G387" s="35">
        <f>'Impacts A'!G387-'Impacts B'!G387</f>
        <v>0</v>
      </c>
      <c r="H387" s="35">
        <f>'Impacts A'!H387-'Impacts B'!H387</f>
        <v>0</v>
      </c>
      <c r="I387" s="35">
        <f>'Impacts A'!I387-'Impacts B'!I387</f>
        <v>0</v>
      </c>
      <c r="J387" s="35">
        <f>'Impacts A'!J387-'Impacts B'!J387</f>
        <v>0</v>
      </c>
      <c r="K387" s="35">
        <f>'Impacts A'!K387-'Impacts B'!K387</f>
        <v>0</v>
      </c>
      <c r="L387" s="35">
        <f>'Impacts A'!L387-'Impacts B'!L387</f>
        <v>0</v>
      </c>
      <c r="M387" s="6"/>
      <c r="N387" s="84" t="s">
        <v>168</v>
      </c>
    </row>
    <row r="388" spans="1:15" s="2" customFormat="1" ht="15" x14ac:dyDescent="0.4">
      <c r="A388" s="2" t="s">
        <v>280</v>
      </c>
      <c r="C388" s="2" t="s">
        <v>308</v>
      </c>
    </row>
    <row r="389" spans="1:15" x14ac:dyDescent="0.25">
      <c r="A389" t="str">
        <f t="array" ref="A389:A396">R_CODE&amp;" discontinuity"</f>
        <v>EU discontinuity</v>
      </c>
      <c r="C389" s="39">
        <f>'Impacts A'!C389-'Impacts B'!C389</f>
        <v>0</v>
      </c>
      <c r="D389" s="39">
        <f>'Impacts A'!D389-'Impacts B'!D389</f>
        <v>0</v>
      </c>
      <c r="E389" s="39">
        <f>'Impacts A'!E389-'Impacts B'!E389</f>
        <v>0</v>
      </c>
      <c r="F389" s="39">
        <f>'Impacts A'!F389-'Impacts B'!F389</f>
        <v>0</v>
      </c>
      <c r="G389" s="39">
        <f>'Impacts A'!G389-'Impacts B'!G389</f>
        <v>0</v>
      </c>
      <c r="H389" s="39">
        <f>'Impacts A'!H389-'Impacts B'!H389</f>
        <v>0</v>
      </c>
      <c r="I389" s="39">
        <f>'Impacts A'!I389-'Impacts B'!I389</f>
        <v>0</v>
      </c>
      <c r="J389" s="39">
        <f>'Impacts A'!J389-'Impacts B'!J389</f>
        <v>0</v>
      </c>
      <c r="K389" s="39">
        <f>'Impacts A'!K389-'Impacts B'!K389</f>
        <v>0</v>
      </c>
      <c r="L389" s="39">
        <f>'Impacts A'!L389-'Impacts B'!L389</f>
        <v>0</v>
      </c>
      <c r="M389" s="6"/>
      <c r="N389" s="1" t="str">
        <f t="shared" ref="N389:N396" si="15">CURRENCY_NAME&amp;"/"&amp;POP_UNIT_NAME</f>
        <v>$million/million</v>
      </c>
      <c r="O389" s="1"/>
    </row>
    <row r="390" spans="1:15" x14ac:dyDescent="0.25">
      <c r="A390" t="str">
        <v>US discontinuity</v>
      </c>
      <c r="C390" s="35">
        <f>'Impacts A'!C390-'Impacts B'!C390</f>
        <v>0</v>
      </c>
      <c r="D390" s="35">
        <f>'Impacts A'!D390-'Impacts B'!D390</f>
        <v>0</v>
      </c>
      <c r="E390" s="35">
        <f>'Impacts A'!E390-'Impacts B'!E390</f>
        <v>0</v>
      </c>
      <c r="F390" s="35">
        <f>'Impacts A'!F390-'Impacts B'!F390</f>
        <v>0</v>
      </c>
      <c r="G390" s="35">
        <f>'Impacts A'!G390-'Impacts B'!G390</f>
        <v>0</v>
      </c>
      <c r="H390" s="35">
        <f>'Impacts A'!H390-'Impacts B'!H390</f>
        <v>0</v>
      </c>
      <c r="I390" s="35">
        <f>'Impacts A'!I390-'Impacts B'!I390</f>
        <v>0</v>
      </c>
      <c r="J390" s="35">
        <f>'Impacts A'!J390-'Impacts B'!J390</f>
        <v>0</v>
      </c>
      <c r="K390" s="35">
        <f>'Impacts A'!K390-'Impacts B'!K390</f>
        <v>0</v>
      </c>
      <c r="L390" s="35">
        <f>'Impacts A'!L390-'Impacts B'!L390</f>
        <v>0</v>
      </c>
      <c r="M390" s="6"/>
      <c r="N390" s="1" t="str">
        <f t="shared" si="15"/>
        <v>$million/million</v>
      </c>
      <c r="O390" s="1"/>
    </row>
    <row r="391" spans="1:15" x14ac:dyDescent="0.25">
      <c r="A391" t="str">
        <v>OT discontinuity</v>
      </c>
      <c r="C391" s="35">
        <f>'Impacts A'!C391-'Impacts B'!C391</f>
        <v>0</v>
      </c>
      <c r="D391" s="35">
        <f>'Impacts A'!D391-'Impacts B'!D391</f>
        <v>0</v>
      </c>
      <c r="E391" s="35">
        <f>'Impacts A'!E391-'Impacts B'!E391</f>
        <v>0</v>
      </c>
      <c r="F391" s="35">
        <f>'Impacts A'!F391-'Impacts B'!F391</f>
        <v>0</v>
      </c>
      <c r="G391" s="35">
        <f>'Impacts A'!G391-'Impacts B'!G391</f>
        <v>0</v>
      </c>
      <c r="H391" s="35">
        <f>'Impacts A'!H391-'Impacts B'!H391</f>
        <v>0</v>
      </c>
      <c r="I391" s="35">
        <f>'Impacts A'!I391-'Impacts B'!I391</f>
        <v>0</v>
      </c>
      <c r="J391" s="35">
        <f>'Impacts A'!J391-'Impacts B'!J391</f>
        <v>0</v>
      </c>
      <c r="K391" s="35">
        <f>'Impacts A'!K391-'Impacts B'!K391</f>
        <v>0</v>
      </c>
      <c r="L391" s="35">
        <f>'Impacts A'!L391-'Impacts B'!L391</f>
        <v>0</v>
      </c>
      <c r="M391" s="6"/>
      <c r="N391" s="1" t="str">
        <f t="shared" si="15"/>
        <v>$million/million</v>
      </c>
      <c r="O391" s="1"/>
    </row>
    <row r="392" spans="1:15" x14ac:dyDescent="0.25">
      <c r="A392" t="str">
        <v>EE discontinuity</v>
      </c>
      <c r="C392" s="35">
        <f>'Impacts A'!C392-'Impacts B'!C392</f>
        <v>0</v>
      </c>
      <c r="D392" s="35">
        <f>'Impacts A'!D392-'Impacts B'!D392</f>
        <v>0</v>
      </c>
      <c r="E392" s="35">
        <f>'Impacts A'!E392-'Impacts B'!E392</f>
        <v>0</v>
      </c>
      <c r="F392" s="35">
        <f>'Impacts A'!F392-'Impacts B'!F392</f>
        <v>0</v>
      </c>
      <c r="G392" s="35">
        <f>'Impacts A'!G392-'Impacts B'!G392</f>
        <v>0</v>
      </c>
      <c r="H392" s="35">
        <f>'Impacts A'!H392-'Impacts B'!H392</f>
        <v>0</v>
      </c>
      <c r="I392" s="35">
        <f>'Impacts A'!I392-'Impacts B'!I392</f>
        <v>0</v>
      </c>
      <c r="J392" s="35">
        <f>'Impacts A'!J392-'Impacts B'!J392</f>
        <v>0</v>
      </c>
      <c r="K392" s="35">
        <f>'Impacts A'!K392-'Impacts B'!K392</f>
        <v>0</v>
      </c>
      <c r="L392" s="35">
        <f>'Impacts A'!L392-'Impacts B'!L392</f>
        <v>0</v>
      </c>
      <c r="M392" s="6"/>
      <c r="N392" s="1" t="str">
        <f t="shared" si="15"/>
        <v>$million/million</v>
      </c>
      <c r="O392" s="1"/>
    </row>
    <row r="393" spans="1:15" x14ac:dyDescent="0.25">
      <c r="A393" t="str">
        <v>CA discontinuity</v>
      </c>
      <c r="C393" s="35">
        <f>'Impacts A'!C393-'Impacts B'!C393</f>
        <v>0</v>
      </c>
      <c r="D393" s="35">
        <f>'Impacts A'!D393-'Impacts B'!D393</f>
        <v>0</v>
      </c>
      <c r="E393" s="35">
        <f>'Impacts A'!E393-'Impacts B'!E393</f>
        <v>0</v>
      </c>
      <c r="F393" s="35">
        <f>'Impacts A'!F393-'Impacts B'!F393</f>
        <v>0</v>
      </c>
      <c r="G393" s="35">
        <f>'Impacts A'!G393-'Impacts B'!G393</f>
        <v>0</v>
      </c>
      <c r="H393" s="35">
        <f>'Impacts A'!H393-'Impacts B'!H393</f>
        <v>0</v>
      </c>
      <c r="I393" s="35">
        <f>'Impacts A'!I393-'Impacts B'!I393</f>
        <v>0</v>
      </c>
      <c r="J393" s="35">
        <f>'Impacts A'!J393-'Impacts B'!J393</f>
        <v>0</v>
      </c>
      <c r="K393" s="35">
        <f>'Impacts A'!K393-'Impacts B'!K393</f>
        <v>0</v>
      </c>
      <c r="L393" s="35">
        <f>'Impacts A'!L393-'Impacts B'!L393</f>
        <v>0</v>
      </c>
      <c r="M393" s="6"/>
      <c r="N393" s="1" t="str">
        <f t="shared" si="15"/>
        <v>$million/million</v>
      </c>
      <c r="O393" s="1"/>
    </row>
    <row r="394" spans="1:15" x14ac:dyDescent="0.25">
      <c r="A394" t="str">
        <v>IA discontinuity</v>
      </c>
      <c r="C394" s="35">
        <f>'Impacts A'!C394-'Impacts B'!C394</f>
        <v>0</v>
      </c>
      <c r="D394" s="35">
        <f>'Impacts A'!D394-'Impacts B'!D394</f>
        <v>0</v>
      </c>
      <c r="E394" s="35">
        <f>'Impacts A'!E394-'Impacts B'!E394</f>
        <v>0</v>
      </c>
      <c r="F394" s="35">
        <f>'Impacts A'!F394-'Impacts B'!F394</f>
        <v>0</v>
      </c>
      <c r="G394" s="35">
        <f>'Impacts A'!G394-'Impacts B'!G394</f>
        <v>0</v>
      </c>
      <c r="H394" s="35">
        <f>'Impacts A'!H394-'Impacts B'!H394</f>
        <v>0</v>
      </c>
      <c r="I394" s="35">
        <f>'Impacts A'!I394-'Impacts B'!I394</f>
        <v>0</v>
      </c>
      <c r="J394" s="35">
        <f>'Impacts A'!J394-'Impacts B'!J394</f>
        <v>0</v>
      </c>
      <c r="K394" s="35">
        <f>'Impacts A'!K394-'Impacts B'!K394</f>
        <v>0</v>
      </c>
      <c r="L394" s="35">
        <f>'Impacts A'!L394-'Impacts B'!L394</f>
        <v>0</v>
      </c>
      <c r="M394" s="6"/>
      <c r="N394" s="1" t="str">
        <f t="shared" si="15"/>
        <v>$million/million</v>
      </c>
      <c r="O394" s="1"/>
    </row>
    <row r="395" spans="1:15" x14ac:dyDescent="0.25">
      <c r="A395" t="str">
        <v>AF discontinuity</v>
      </c>
      <c r="C395" s="35">
        <f>'Impacts A'!C395-'Impacts B'!C395</f>
        <v>0</v>
      </c>
      <c r="D395" s="35">
        <f>'Impacts A'!D395-'Impacts B'!D395</f>
        <v>0</v>
      </c>
      <c r="E395" s="35">
        <f>'Impacts A'!E395-'Impacts B'!E395</f>
        <v>0</v>
      </c>
      <c r="F395" s="35">
        <f>'Impacts A'!F395-'Impacts B'!F395</f>
        <v>0</v>
      </c>
      <c r="G395" s="35">
        <f>'Impacts A'!G395-'Impacts B'!G395</f>
        <v>0</v>
      </c>
      <c r="H395" s="35">
        <f>'Impacts A'!H395-'Impacts B'!H395</f>
        <v>0</v>
      </c>
      <c r="I395" s="35">
        <f>'Impacts A'!I395-'Impacts B'!I395</f>
        <v>0</v>
      </c>
      <c r="J395" s="35">
        <f>'Impacts A'!J395-'Impacts B'!J395</f>
        <v>0</v>
      </c>
      <c r="K395" s="35">
        <f>'Impacts A'!K395-'Impacts B'!K395</f>
        <v>0</v>
      </c>
      <c r="L395" s="35">
        <f>'Impacts A'!L395-'Impacts B'!L395</f>
        <v>0</v>
      </c>
      <c r="M395" s="6"/>
      <c r="N395" s="1" t="str">
        <f t="shared" si="15"/>
        <v>$million/million</v>
      </c>
      <c r="O395" s="1"/>
    </row>
    <row r="396" spans="1:15" x14ac:dyDescent="0.25">
      <c r="A396" t="str">
        <v>LA discontinuity</v>
      </c>
      <c r="C396" s="35">
        <f>'Impacts A'!C396-'Impacts B'!C396</f>
        <v>0</v>
      </c>
      <c r="D396" s="35">
        <f>'Impacts A'!D396-'Impacts B'!D396</f>
        <v>0</v>
      </c>
      <c r="E396" s="35">
        <f>'Impacts A'!E396-'Impacts B'!E396</f>
        <v>0</v>
      </c>
      <c r="F396" s="35">
        <f>'Impacts A'!F396-'Impacts B'!F396</f>
        <v>0</v>
      </c>
      <c r="G396" s="35">
        <f>'Impacts A'!G396-'Impacts B'!G396</f>
        <v>0</v>
      </c>
      <c r="H396" s="35">
        <f>'Impacts A'!H396-'Impacts B'!H396</f>
        <v>0</v>
      </c>
      <c r="I396" s="35">
        <f>'Impacts A'!I396-'Impacts B'!I396</f>
        <v>0</v>
      </c>
      <c r="J396" s="35">
        <f>'Impacts A'!J396-'Impacts B'!J396</f>
        <v>0</v>
      </c>
      <c r="K396" s="35">
        <f>'Impacts A'!K396-'Impacts B'!K396</f>
        <v>0</v>
      </c>
      <c r="L396" s="35">
        <f>'Impacts A'!L396-'Impacts B'!L396</f>
        <v>0</v>
      </c>
      <c r="M396" s="6"/>
      <c r="N396" s="1" t="str">
        <f t="shared" si="15"/>
        <v>$million/million</v>
      </c>
      <c r="O396" s="1"/>
    </row>
    <row r="397" spans="1:15" s="2" customFormat="1" ht="15" x14ac:dyDescent="0.4">
      <c r="A397" s="2" t="s">
        <v>282</v>
      </c>
      <c r="C397" s="2" t="s">
        <v>310</v>
      </c>
    </row>
    <row r="398" spans="1:15" x14ac:dyDescent="0.25">
      <c r="A398" t="str">
        <f t="array" ref="A398:A405">R_CODE&amp;" discontinuity"</f>
        <v>EU discontinuity</v>
      </c>
      <c r="C398" s="39">
        <f>'Impacts A'!C398-'Impacts B'!C398</f>
        <v>0</v>
      </c>
      <c r="D398" s="39">
        <f>'Impacts A'!D398-'Impacts B'!D398</f>
        <v>2.7063209417974576E-3</v>
      </c>
      <c r="E398" s="39">
        <f>'Impacts A'!E398-'Impacts B'!E398</f>
        <v>1.1686750985973049E-2</v>
      </c>
      <c r="F398" s="39">
        <f>'Impacts A'!F398-'Impacts B'!F398</f>
        <v>3.2043699051428121E-2</v>
      </c>
      <c r="G398" s="39">
        <f>'Impacts A'!G398-'Impacts B'!G398</f>
        <v>4.9319618236040697E-2</v>
      </c>
      <c r="H398" s="39">
        <f>'Impacts A'!H398-'Impacts B'!H398</f>
        <v>6.8870819064613897E-2</v>
      </c>
      <c r="I398" s="39">
        <f>'Impacts A'!I398-'Impacts B'!I398</f>
        <v>0.11271415730152512</v>
      </c>
      <c r="J398" s="39">
        <f>'Impacts A'!J398-'Impacts B'!J398</f>
        <v>0.14208153836079873</v>
      </c>
      <c r="K398" s="39">
        <f>'Impacts A'!K398-'Impacts B'!K398</f>
        <v>0.23909721692325547</v>
      </c>
      <c r="L398" s="39">
        <f>'Impacts A'!L398-'Impacts B'!L398</f>
        <v>0.25759101452422328</v>
      </c>
      <c r="M398" s="6"/>
      <c r="N398" s="1" t="str">
        <f t="shared" ref="N398:N405" si="16">CURRENCY_NAME&amp;"/"&amp;POP_UNIT_NAME</f>
        <v>$million/million</v>
      </c>
      <c r="O398" s="1"/>
    </row>
    <row r="399" spans="1:15" x14ac:dyDescent="0.25">
      <c r="A399" t="str">
        <v>US discontinuity</v>
      </c>
      <c r="C399" s="35">
        <f>'Impacts A'!C399-'Impacts B'!C399</f>
        <v>0</v>
      </c>
      <c r="D399" s="35">
        <f>'Impacts A'!D399-'Impacts B'!D399</f>
        <v>6.1319004598772153E-3</v>
      </c>
      <c r="E399" s="35">
        <f>'Impacts A'!E399-'Impacts B'!E399</f>
        <v>2.1121281890373211E-2</v>
      </c>
      <c r="F399" s="35">
        <f>'Impacts A'!F399-'Impacts B'!F399</f>
        <v>4.9229924246901646E-2</v>
      </c>
      <c r="G399" s="35">
        <f>'Impacts A'!G399-'Impacts B'!G399</f>
        <v>7.3572230459831189E-2</v>
      </c>
      <c r="H399" s="35">
        <f>'Impacts A'!H399-'Impacts B'!H399</f>
        <v>9.9776847993780393E-2</v>
      </c>
      <c r="I399" s="35">
        <f>'Impacts A'!I399-'Impacts B'!I399</f>
        <v>0.15832048621086869</v>
      </c>
      <c r="J399" s="35">
        <f>'Impacts A'!J399-'Impacts B'!J399</f>
        <v>0.19301767644356005</v>
      </c>
      <c r="K399" s="35">
        <f>'Impacts A'!K399-'Impacts B'!K399</f>
        <v>0.28156668978044763</v>
      </c>
      <c r="L399" s="35">
        <f>'Impacts A'!L399-'Impacts B'!L399</f>
        <v>0.29057987179839984</v>
      </c>
      <c r="M399" s="6"/>
      <c r="N399" s="1" t="str">
        <f t="shared" si="16"/>
        <v>$million/million</v>
      </c>
      <c r="O399" s="1"/>
    </row>
    <row r="400" spans="1:15" x14ac:dyDescent="0.25">
      <c r="A400" t="str">
        <v>OT discontinuity</v>
      </c>
      <c r="C400" s="35">
        <f>'Impacts A'!C400-'Impacts B'!C400</f>
        <v>0</v>
      </c>
      <c r="D400" s="35">
        <f>'Impacts A'!D400-'Impacts B'!D400</f>
        <v>9.1970934190612752E-3</v>
      </c>
      <c r="E400" s="35">
        <f>'Impacts A'!E400-'Impacts B'!E400</f>
        <v>2.9832042091584299E-2</v>
      </c>
      <c r="F400" s="35">
        <f>'Impacts A'!F400-'Impacts B'!F400</f>
        <v>7.2119828735594638E-2</v>
      </c>
      <c r="G400" s="35">
        <f>'Impacts A'!G400-'Impacts B'!G400</f>
        <v>0.12277629323216388</v>
      </c>
      <c r="H400" s="35">
        <f>'Impacts A'!H400-'Impacts B'!H400</f>
        <v>0.18469820135214832</v>
      </c>
      <c r="I400" s="35">
        <f>'Impacts A'!I400-'Impacts B'!I400</f>
        <v>0.32129588334646542</v>
      </c>
      <c r="J400" s="35">
        <f>'Impacts A'!J400-'Impacts B'!J400</f>
        <v>0.42217759165214375</v>
      </c>
      <c r="K400" s="35">
        <f>'Impacts A'!K400-'Impacts B'!K400</f>
        <v>0.62570417067036033</v>
      </c>
      <c r="L400" s="35">
        <f>'Impacts A'!L400-'Impacts B'!L400</f>
        <v>0.59354624443221837</v>
      </c>
      <c r="M400" s="6"/>
      <c r="N400" s="1" t="str">
        <f t="shared" si="16"/>
        <v>$million/million</v>
      </c>
      <c r="O400" s="1"/>
    </row>
    <row r="401" spans="1:15" x14ac:dyDescent="0.25">
      <c r="A401" t="str">
        <v>EE discontinuity</v>
      </c>
      <c r="C401" s="35">
        <f>'Impacts A'!C401-'Impacts B'!C401</f>
        <v>0</v>
      </c>
      <c r="D401" s="35">
        <f>'Impacts A'!D401-'Impacts B'!D401</f>
        <v>4.1188558452631696E-4</v>
      </c>
      <c r="E401" s="35">
        <f>'Impacts A'!E401-'Impacts B'!E401</f>
        <v>1.4778707645746181E-3</v>
      </c>
      <c r="F401" s="35">
        <f>'Impacts A'!F401-'Impacts B'!F401</f>
        <v>4.2876704783338937E-3</v>
      </c>
      <c r="G401" s="35">
        <f>'Impacts A'!G401-'Impacts B'!G401</f>
        <v>7.8394462134383502E-3</v>
      </c>
      <c r="H401" s="35">
        <f>'Impacts A'!H401-'Impacts B'!H401</f>
        <v>1.235707733212621E-2</v>
      </c>
      <c r="I401" s="35">
        <f>'Impacts A'!I401-'Impacts B'!I401</f>
        <v>2.3084870599632268E-2</v>
      </c>
      <c r="J401" s="35">
        <f>'Impacts A'!J401-'Impacts B'!J401</f>
        <v>3.1865865326835774E-2</v>
      </c>
      <c r="K401" s="35">
        <f>'Impacts A'!K401-'Impacts B'!K401</f>
        <v>4.9729380778444465E-2</v>
      </c>
      <c r="L401" s="35">
        <f>'Impacts A'!L401-'Impacts B'!L401</f>
        <v>5.028059303003829E-2</v>
      </c>
      <c r="M401" s="6"/>
      <c r="N401" s="1" t="str">
        <f t="shared" si="16"/>
        <v>$million/million</v>
      </c>
      <c r="O401" s="1"/>
    </row>
    <row r="402" spans="1:15" x14ac:dyDescent="0.25">
      <c r="A402" t="str">
        <v>CA discontinuity</v>
      </c>
      <c r="C402" s="35">
        <f>'Impacts A'!C402-'Impacts B'!C402</f>
        <v>0</v>
      </c>
      <c r="D402" s="35">
        <f>'Impacts A'!D402-'Impacts B'!D402</f>
        <v>1.6032813027777593E-4</v>
      </c>
      <c r="E402" s="35">
        <f>'Impacts A'!E402-'Impacts B'!E402</f>
        <v>6.1290963321880554E-4</v>
      </c>
      <c r="F402" s="35">
        <f>'Impacts A'!F402-'Impacts B'!F402</f>
        <v>1.0370421869083657E-3</v>
      </c>
      <c r="G402" s="35">
        <f>'Impacts A'!G402-'Impacts B'!G402</f>
        <v>8.2770039080060087E-4</v>
      </c>
      <c r="H402" s="35">
        <f>'Impacts A'!H402-'Impacts B'!H402</f>
        <v>2.657267231370497E-3</v>
      </c>
      <c r="I402" s="35">
        <f>'Impacts A'!I402-'Impacts B'!I402</f>
        <v>8.175590397513588E-3</v>
      </c>
      <c r="J402" s="35">
        <f>'Impacts A'!J402-'Impacts B'!J402</f>
        <v>2.1788268793898169E-2</v>
      </c>
      <c r="K402" s="35">
        <f>'Impacts A'!K402-'Impacts B'!K402</f>
        <v>5.4628384481475223E-2</v>
      </c>
      <c r="L402" s="35">
        <f>'Impacts A'!L402-'Impacts B'!L402</f>
        <v>6.063005534815602E-2</v>
      </c>
      <c r="M402" s="6"/>
      <c r="N402" s="1" t="str">
        <f t="shared" si="16"/>
        <v>$million/million</v>
      </c>
      <c r="O402" s="1"/>
    </row>
    <row r="403" spans="1:15" x14ac:dyDescent="0.25">
      <c r="A403" t="str">
        <v>IA discontinuity</v>
      </c>
      <c r="C403" s="35">
        <f>'Impacts A'!C403-'Impacts B'!C403</f>
        <v>0</v>
      </c>
      <c r="D403" s="35">
        <f>'Impacts A'!D403-'Impacts B'!D403</f>
        <v>9.3008398380334256E-5</v>
      </c>
      <c r="E403" s="35">
        <f>'Impacts A'!E403-'Impacts B'!E403</f>
        <v>4.7885517142276512E-4</v>
      </c>
      <c r="F403" s="35">
        <f>'Impacts A'!F403-'Impacts B'!F403</f>
        <v>1.4882731788929959E-3</v>
      </c>
      <c r="G403" s="35">
        <f>'Impacts A'!G403-'Impacts B'!G403</f>
        <v>3.7844721514375124E-3</v>
      </c>
      <c r="H403" s="35">
        <f>'Impacts A'!H403-'Impacts B'!H403</f>
        <v>6.9641657391912304E-3</v>
      </c>
      <c r="I403" s="35">
        <f>'Impacts A'!I403-'Impacts B'!I403</f>
        <v>1.5373949122476915E-2</v>
      </c>
      <c r="J403" s="35">
        <f>'Impacts A'!J403-'Impacts B'!J403</f>
        <v>2.3734502230581711E-2</v>
      </c>
      <c r="K403" s="35">
        <f>'Impacts A'!K403-'Impacts B'!K403</f>
        <v>4.2435597228177357E-2</v>
      </c>
      <c r="L403" s="35">
        <f>'Impacts A'!L403-'Impacts B'!L403</f>
        <v>4.3783593318948988E-2</v>
      </c>
      <c r="M403" s="6"/>
      <c r="N403" s="1" t="str">
        <f t="shared" si="16"/>
        <v>$million/million</v>
      </c>
      <c r="O403" s="1"/>
    </row>
    <row r="404" spans="1:15" x14ac:dyDescent="0.25">
      <c r="A404" t="str">
        <v>AF discontinuity</v>
      </c>
      <c r="C404" s="35">
        <f>'Impacts A'!C404-'Impacts B'!C404</f>
        <v>0</v>
      </c>
      <c r="D404" s="35">
        <f>'Impacts A'!D404-'Impacts B'!D404</f>
        <v>5.3016328092780896E-4</v>
      </c>
      <c r="E404" s="35">
        <f>'Impacts A'!E404-'Impacts B'!E404</f>
        <v>1.4168315292408806E-3</v>
      </c>
      <c r="F404" s="35">
        <f>'Impacts A'!F404-'Impacts B'!F404</f>
        <v>2.5513989548926475E-3</v>
      </c>
      <c r="G404" s="35">
        <f>'Impacts A'!G404-'Impacts B'!G404</f>
        <v>4.7634878410462989E-3</v>
      </c>
      <c r="H404" s="35">
        <f>'Impacts A'!H404-'Impacts B'!H404</f>
        <v>7.7938700242157211E-3</v>
      </c>
      <c r="I404" s="35">
        <f>'Impacts A'!I404-'Impacts B'!I404</f>
        <v>1.6388070940593025E-2</v>
      </c>
      <c r="J404" s="35">
        <f>'Impacts A'!J404-'Impacts B'!J404</f>
        <v>2.6444975212143618E-2</v>
      </c>
      <c r="K404" s="35">
        <f>'Impacts A'!K404-'Impacts B'!K404</f>
        <v>4.9012251234671567E-2</v>
      </c>
      <c r="L404" s="35">
        <f>'Impacts A'!L404-'Impacts B'!L404</f>
        <v>5.07989904290298E-2</v>
      </c>
      <c r="M404" s="6"/>
      <c r="N404" s="1" t="str">
        <f t="shared" si="16"/>
        <v>$million/million</v>
      </c>
      <c r="O404" s="1"/>
    </row>
    <row r="405" spans="1:15" x14ac:dyDescent="0.25">
      <c r="A405" t="str">
        <v>LA discontinuity</v>
      </c>
      <c r="C405" s="35">
        <f>'Impacts A'!C405-'Impacts B'!C405</f>
        <v>0</v>
      </c>
      <c r="D405" s="35">
        <f>'Impacts A'!D405-'Impacts B'!D405</f>
        <v>1.2810965918106376E-3</v>
      </c>
      <c r="E405" s="35">
        <f>'Impacts A'!E405-'Impacts B'!E405</f>
        <v>3.5714349469344597E-3</v>
      </c>
      <c r="F405" s="35">
        <f>'Impacts A'!F405-'Impacts B'!F405</f>
        <v>6.5571321429160889E-3</v>
      </c>
      <c r="G405" s="35">
        <f>'Impacts A'!G405-'Impacts B'!G405</f>
        <v>1.1500772885483457E-2</v>
      </c>
      <c r="H405" s="35">
        <f>'Impacts A'!H405-'Impacts B'!H405</f>
        <v>1.8031949766736943E-2</v>
      </c>
      <c r="I405" s="35">
        <f>'Impacts A'!I405-'Impacts B'!I405</f>
        <v>3.5505530839145649E-2</v>
      </c>
      <c r="J405" s="35">
        <f>'Impacts A'!J405-'Impacts B'!J405</f>
        <v>5.3332559662521817E-2</v>
      </c>
      <c r="K405" s="35">
        <f>'Impacts A'!K405-'Impacts B'!K405</f>
        <v>9.2284002996166237E-2</v>
      </c>
      <c r="L405" s="35">
        <f>'Impacts A'!L405-'Impacts B'!L405</f>
        <v>9.1843596310354769E-2</v>
      </c>
      <c r="M405" s="6"/>
      <c r="N405" s="1" t="str">
        <f t="shared" si="16"/>
        <v>$million/million</v>
      </c>
      <c r="O405" s="1"/>
    </row>
    <row r="406" spans="1:15" s="2" customFormat="1" ht="15" x14ac:dyDescent="0.4">
      <c r="A406" s="2" t="s">
        <v>284</v>
      </c>
      <c r="C406" s="2" t="s">
        <v>309</v>
      </c>
    </row>
    <row r="407" spans="1:15" x14ac:dyDescent="0.25">
      <c r="A407" t="str">
        <f t="array" ref="A407:A414">R_CODE&amp;" discontinuity"</f>
        <v>EU discontinuity</v>
      </c>
      <c r="C407" s="39">
        <f>'Impacts A'!C407-'Impacts B'!C407</f>
        <v>0</v>
      </c>
      <c r="D407" s="39">
        <f>'Impacts A'!D407-'Impacts B'!D407</f>
        <v>3.1839069924899377E-3</v>
      </c>
      <c r="E407" s="39">
        <f>'Impacts A'!E407-'Impacts B'!E407</f>
        <v>1.3749118807027116E-2</v>
      </c>
      <c r="F407" s="39">
        <f>'Impacts A'!F407-'Impacts B'!F407</f>
        <v>3.7698469473980367E-2</v>
      </c>
      <c r="G407" s="39">
        <f>'Impacts A'!G407-'Impacts B'!G407</f>
        <v>5.802308028069092E-2</v>
      </c>
      <c r="H407" s="39">
        <f>'Impacts A'!H407-'Impacts B'!H407</f>
        <v>8.1024493018048815E-2</v>
      </c>
      <c r="I407" s="39">
        <f>'Impacts A'!I407-'Impacts B'!I407</f>
        <v>0.13260489094682271</v>
      </c>
      <c r="J407" s="39">
        <f>'Impacts A'!J407-'Impacts B'!J407</f>
        <v>0.16715475101955235</v>
      </c>
      <c r="K407" s="39">
        <f>'Impacts A'!K407-'Impacts B'!K407</f>
        <v>0.28129084344254807</v>
      </c>
      <c r="L407" s="39">
        <f>'Impacts A'!L407-'Impacts B'!L407</f>
        <v>0.30304825236089528</v>
      </c>
      <c r="M407" s="6"/>
      <c r="N407" s="1" t="str">
        <f t="shared" ref="N407:N414" si="17">CURRENCY_NAME&amp;"/"&amp;POP_UNIT_NAME</f>
        <v>$million/million</v>
      </c>
      <c r="O407" s="1"/>
    </row>
    <row r="408" spans="1:15" x14ac:dyDescent="0.25">
      <c r="A408" t="str">
        <v>US discontinuity</v>
      </c>
      <c r="C408" s="35">
        <f>'Impacts A'!C408-'Impacts B'!C408</f>
        <v>0</v>
      </c>
      <c r="D408" s="35">
        <f>'Impacts A'!D408-'Impacts B'!D408</f>
        <v>7.2140005431720056E-3</v>
      </c>
      <c r="E408" s="35">
        <f>'Impacts A'!E408-'Impacts B'!E408</f>
        <v>2.4848566928994842E-2</v>
      </c>
      <c r="F408" s="35">
        <f>'Impacts A'!F408-'Impacts B'!F408</f>
        <v>5.7917557933251373E-2</v>
      </c>
      <c r="G408" s="35">
        <f>'Impacts A'!G408-'Impacts B'!G408</f>
        <v>8.655556524900021E-2</v>
      </c>
      <c r="H408" s="35">
        <f>'Impacts A'!H408-'Impacts B'!H408</f>
        <v>0.11738452705321833</v>
      </c>
      <c r="I408" s="35">
        <f>'Impacts A'!I408-'Impacts B'!I408</f>
        <v>0.18625939554476645</v>
      </c>
      <c r="J408" s="35">
        <f>'Impacts A'!J408-'Impacts B'!J408</f>
        <v>0.22707961934793275</v>
      </c>
      <c r="K408" s="35">
        <f>'Impacts A'!K408-'Impacts B'!K408</f>
        <v>0.33125492912949994</v>
      </c>
      <c r="L408" s="35">
        <f>'Impacts A'!L408-'Impacts B'!L408</f>
        <v>0.34185867273481563</v>
      </c>
      <c r="M408" s="6"/>
      <c r="N408" s="1" t="str">
        <f t="shared" si="17"/>
        <v>$million/million</v>
      </c>
      <c r="O408" s="1"/>
    </row>
    <row r="409" spans="1:15" x14ac:dyDescent="0.25">
      <c r="A409" t="str">
        <v>OT discontinuity</v>
      </c>
      <c r="C409" s="35">
        <f>'Impacts A'!C409-'Impacts B'!C409</f>
        <v>0</v>
      </c>
      <c r="D409" s="35">
        <f>'Impacts A'!D409-'Impacts B'!D409</f>
        <v>1.0820109902851982E-2</v>
      </c>
      <c r="E409" s="35">
        <f>'Impacts A'!E409-'Impacts B'!E409</f>
        <v>3.5096520106890239E-2</v>
      </c>
      <c r="F409" s="35">
        <f>'Impacts A'!F409-'Impacts B'!F409</f>
        <v>8.4846857338561676E-2</v>
      </c>
      <c r="G409" s="35">
        <f>'Impacts A'!G409-'Impacts B'!G409</f>
        <v>0.14444269792147679</v>
      </c>
      <c r="H409" s="35">
        <f>'Impacts A'!H409-'Impacts B'!H409</f>
        <v>0.21729200158733875</v>
      </c>
      <c r="I409" s="35">
        <f>'Impacts A'!I409-'Impacts B'!I409</f>
        <v>0.37799515687220264</v>
      </c>
      <c r="J409" s="35">
        <f>'Impacts A'!J409-'Impacts B'!J409</f>
        <v>0.49667951959418133</v>
      </c>
      <c r="K409" s="35">
        <f>'Impacts A'!K409-'Impacts B'!K409</f>
        <v>0.7361225537606515</v>
      </c>
      <c r="L409" s="35">
        <f>'Impacts A'!L409-'Impacts B'!L409</f>
        <v>0.69828969927038997</v>
      </c>
      <c r="M409" s="6"/>
      <c r="N409" s="1" t="str">
        <f t="shared" si="17"/>
        <v>$million/million</v>
      </c>
      <c r="O409" s="1"/>
    </row>
    <row r="410" spans="1:15" x14ac:dyDescent="0.25">
      <c r="A410" t="str">
        <v>EE discontinuity</v>
      </c>
      <c r="C410" s="35">
        <f>'Impacts A'!C410-'Impacts B'!C410</f>
        <v>0</v>
      </c>
      <c r="D410" s="35">
        <f>'Impacts A'!D410-'Impacts B'!D410</f>
        <v>4.8457127604706329E-4</v>
      </c>
      <c r="E410" s="35">
        <f>'Impacts A'!E410-'Impacts B'!E410</f>
        <v>1.7386714871463482E-3</v>
      </c>
      <c r="F410" s="35">
        <f>'Impacts A'!F410-'Impacts B'!F410</f>
        <v>5.0443182099115802E-3</v>
      </c>
      <c r="G410" s="35">
        <f>'Impacts A'!G410-'Impacts B'!G410</f>
        <v>9.2228778976277681E-3</v>
      </c>
      <c r="H410" s="35">
        <f>'Impacts A'!H410-'Impacts B'!H410</f>
        <v>1.4537738037688541E-2</v>
      </c>
      <c r="I410" s="35">
        <f>'Impacts A'!I410-'Impacts B'!I410</f>
        <v>2.7158671293364023E-2</v>
      </c>
      <c r="J410" s="35">
        <f>'Impacts A'!J410-'Impacts B'!J410</f>
        <v>3.7489253325475147E-2</v>
      </c>
      <c r="K410" s="35">
        <f>'Impacts A'!K410-'Impacts B'!K410</f>
        <v>5.8505153865553439E-2</v>
      </c>
      <c r="L410" s="35">
        <f>'Impacts A'!L410-'Impacts B'!L410</f>
        <v>5.9153638852876611E-2</v>
      </c>
      <c r="M410" s="6"/>
      <c r="N410" s="1" t="str">
        <f t="shared" si="17"/>
        <v>$million/million</v>
      </c>
      <c r="O410" s="1"/>
    </row>
    <row r="411" spans="1:15" x14ac:dyDescent="0.25">
      <c r="A411" t="str">
        <v>CA discontinuity</v>
      </c>
      <c r="C411" s="35">
        <f>'Impacts A'!C411-'Impacts B'!C411</f>
        <v>0</v>
      </c>
      <c r="D411" s="35">
        <f>'Impacts A'!D411-'Impacts B'!D411</f>
        <v>1.8862132992580882E-4</v>
      </c>
      <c r="E411" s="35">
        <f>'Impacts A'!E411-'Impacts B'!E411</f>
        <v>7.2107015694200527E-4</v>
      </c>
      <c r="F411" s="35">
        <f>'Impacts A'!F411-'Impacts B'!F411</f>
        <v>1.2200496312289033E-3</v>
      </c>
      <c r="G411" s="35">
        <f>'Impacts A'!G411-'Impacts B'!G411</f>
        <v>9.737651653267676E-4</v>
      </c>
      <c r="H411" s="35">
        <f>'Impacts A'!H411-'Impacts B'!H411</f>
        <v>3.1261967433238169E-3</v>
      </c>
      <c r="I411" s="35">
        <f>'Impacts A'!I411-'Impacts B'!I411</f>
        <v>9.6183416426356416E-3</v>
      </c>
      <c r="J411" s="35">
        <f>'Impacts A'!J411-'Impacts B'!J411</f>
        <v>2.5633257402660092E-2</v>
      </c>
      <c r="K411" s="35">
        <f>'Impacts A'!K411-'Impacts B'!K411</f>
        <v>6.4268687630828936E-2</v>
      </c>
      <c r="L411" s="35">
        <f>'Impacts A'!L411-'Impacts B'!L411</f>
        <v>7.1329476879327558E-2</v>
      </c>
      <c r="M411" s="6"/>
      <c r="N411" s="1" t="str">
        <f t="shared" si="17"/>
        <v>$million/million</v>
      </c>
      <c r="O411" s="1"/>
    </row>
    <row r="412" spans="1:15" x14ac:dyDescent="0.25">
      <c r="A412" t="str">
        <v>IA discontinuity</v>
      </c>
      <c r="C412" s="35">
        <f>'Impacts A'!C412-'Impacts B'!C412</f>
        <v>0</v>
      </c>
      <c r="D412" s="35">
        <f>'Impacts A'!D412-'Impacts B'!D412</f>
        <v>1.0942164522020903E-4</v>
      </c>
      <c r="E412" s="35">
        <f>'Impacts A'!E412-'Impacts B'!E412</f>
        <v>5.6335902536375215E-4</v>
      </c>
      <c r="F412" s="35">
        <f>'Impacts A'!F412-'Impacts B'!F412</f>
        <v>1.7509096219328057E-3</v>
      </c>
      <c r="G412" s="35">
        <f>'Impacts A'!G412-'Impacts B'!G412</f>
        <v>4.4523201781885291E-3</v>
      </c>
      <c r="H412" s="35">
        <f>'Impacts A'!H412-'Impacts B'!H412</f>
        <v>8.1931361637543887E-3</v>
      </c>
      <c r="I412" s="35">
        <f>'Impacts A'!I412-'Impacts B'!I412</f>
        <v>1.8086998967191903E-2</v>
      </c>
      <c r="J412" s="35">
        <f>'Impacts A'!J412-'Impacts B'!J412</f>
        <v>2.7922943800149369E-2</v>
      </c>
      <c r="K412" s="35">
        <f>'Impacts A'!K412-'Impacts B'!K412</f>
        <v>4.9924232036573812E-2</v>
      </c>
      <c r="L412" s="35">
        <f>'Impacts A'!L412-'Impacts B'!L412</f>
        <v>5.1510109791706782E-2</v>
      </c>
      <c r="M412" s="6"/>
      <c r="N412" s="1" t="str">
        <f t="shared" si="17"/>
        <v>$million/million</v>
      </c>
      <c r="O412" s="1"/>
    </row>
    <row r="413" spans="1:15" x14ac:dyDescent="0.25">
      <c r="A413" t="str">
        <v>AF discontinuity</v>
      </c>
      <c r="C413" s="35">
        <f>'Impacts A'!C413-'Impacts B'!C413</f>
        <v>0</v>
      </c>
      <c r="D413" s="35">
        <f>'Impacts A'!D413-'Impacts B'!D413</f>
        <v>6.2372150705414242E-4</v>
      </c>
      <c r="E413" s="35">
        <f>'Impacts A'!E413-'Impacts B'!E413</f>
        <v>1.6668606231178273E-3</v>
      </c>
      <c r="F413" s="35">
        <f>'Impacts A'!F413-'Impacts B'!F413</f>
        <v>3.0016458294994663E-3</v>
      </c>
      <c r="G413" s="35">
        <f>'Impacts A'!G413-'Impacts B'!G413</f>
        <v>5.6041033431029064E-3</v>
      </c>
      <c r="H413" s="35">
        <f>'Impacts A'!H413-'Impacts B'!H413</f>
        <v>9.1692588521254947E-3</v>
      </c>
      <c r="I413" s="35">
        <f>'Impacts A'!I413-'Impacts B'!I413</f>
        <v>1.9280083459307207E-2</v>
      </c>
      <c r="J413" s="35">
        <f>'Impacts A'!J413-'Impacts B'!J413</f>
        <v>3.1111735541344387E-2</v>
      </c>
      <c r="K413" s="35">
        <f>'Impacts A'!K413-'Impacts B'!K413</f>
        <v>5.7661472041218076E-2</v>
      </c>
      <c r="L413" s="35">
        <f>'Impacts A'!L413-'Impacts B'!L413</f>
        <v>5.976351814751979E-2</v>
      </c>
      <c r="M413" s="6"/>
      <c r="N413" s="1" t="str">
        <f t="shared" si="17"/>
        <v>$million/million</v>
      </c>
      <c r="O413" s="1"/>
    </row>
    <row r="414" spans="1:15" x14ac:dyDescent="0.25">
      <c r="A414" t="str">
        <v>LA discontinuity</v>
      </c>
      <c r="C414" s="35">
        <f>'Impacts A'!C414-'Impacts B'!C414</f>
        <v>0</v>
      </c>
      <c r="D414" s="35">
        <f>'Impacts A'!D414-'Impacts B'!D414</f>
        <v>1.5071724610606907E-3</v>
      </c>
      <c r="E414" s="35">
        <f>'Impacts A'!E414-'Impacts B'!E414</f>
        <v>4.2016881725430721E-3</v>
      </c>
      <c r="F414" s="35">
        <f>'Impacts A'!F414-'Impacts B'!F414</f>
        <v>7.7142731097410433E-3</v>
      </c>
      <c r="G414" s="35">
        <f>'Impacts A'!G414-'Impacts B'!G414</f>
        <v>1.3530321040889248E-2</v>
      </c>
      <c r="H414" s="35">
        <f>'Impacts A'!H414-'Impacts B'!H414</f>
        <v>2.1214058546320302E-2</v>
      </c>
      <c r="I414" s="35">
        <f>'Impacts A'!I414-'Impacts B'!I414</f>
        <v>4.1771212749154074E-2</v>
      </c>
      <c r="J414" s="35">
        <f>'Impacts A'!J414-'Impacts B'!J414</f>
        <v>6.2744187838688958E-2</v>
      </c>
      <c r="K414" s="35">
        <f>'Impacts A'!K414-'Impacts B'!K414</f>
        <v>0.10856941528618336</v>
      </c>
      <c r="L414" s="35">
        <f>'Impacts A'!L414-'Impacts B'!L414</f>
        <v>0.10805128977517597</v>
      </c>
      <c r="M414" s="6"/>
      <c r="N414" s="1" t="str">
        <f t="shared" si="17"/>
        <v>$million/million</v>
      </c>
      <c r="O414" s="1"/>
    </row>
    <row r="415" spans="1:15" ht="15" x14ac:dyDescent="0.4">
      <c r="A415" s="2" t="s">
        <v>150</v>
      </c>
      <c r="B415" s="2"/>
      <c r="C415" s="73" t="s">
        <v>311</v>
      </c>
      <c r="D415" s="58"/>
      <c r="E415" s="58"/>
      <c r="F415" s="58"/>
      <c r="G415" s="58"/>
      <c r="H415" s="58"/>
      <c r="I415" s="58"/>
      <c r="J415" s="58"/>
      <c r="K415" s="58"/>
      <c r="L415" s="58"/>
      <c r="M415" s="1"/>
      <c r="N415" s="1"/>
    </row>
    <row r="416" spans="1:15" x14ac:dyDescent="0.25">
      <c r="A416" s="1" t="str">
        <f t="array" ref="A416:A423">R_CODE&amp;" total"</f>
        <v>EU total</v>
      </c>
      <c r="C416" s="38">
        <f>'Impacts A'!C416-'Impacts B'!C416</f>
        <v>0</v>
      </c>
      <c r="D416" s="38">
        <f>'Impacts A'!D416-'Impacts B'!D416</f>
        <v>-1.5156098390017974</v>
      </c>
      <c r="E416" s="38">
        <f>'Impacts A'!E416-'Impacts B'!E416</f>
        <v>-6.520423622785529</v>
      </c>
      <c r="F416" s="38">
        <f>'Impacts A'!F416-'Impacts B'!F416</f>
        <v>-17.615556949487654</v>
      </c>
      <c r="G416" s="38">
        <f>'Impacts A'!G416-'Impacts B'!G416</f>
        <v>-26.475034269606113</v>
      </c>
      <c r="H416" s="38">
        <f>'Impacts A'!H416-'Impacts B'!H416</f>
        <v>-36.007508751921705</v>
      </c>
      <c r="I416" s="38">
        <f>'Impacts A'!I416-'Impacts B'!I416</f>
        <v>-56.256263684772421</v>
      </c>
      <c r="J416" s="38">
        <f>'Impacts A'!J416-'Impacts B'!J416</f>
        <v>-69.314910370740108</v>
      </c>
      <c r="K416" s="38">
        <f>'Impacts A'!K416-'Impacts B'!K416</f>
        <v>-111.46642962191254</v>
      </c>
      <c r="L416" s="38">
        <f>'Impacts A'!L416-'Impacts B'!L416</f>
        <v>-120.0881844679825</v>
      </c>
      <c r="M416" s="1"/>
      <c r="N416" s="1" t="str">
        <f t="array" ref="N416:N424">CURRENCY_NAME</f>
        <v>$million</v>
      </c>
    </row>
    <row r="417" spans="1:26" x14ac:dyDescent="0.25">
      <c r="A417" s="1" t="str">
        <v>US total</v>
      </c>
      <c r="C417" s="38">
        <f>'Impacts A'!C417-'Impacts B'!C417</f>
        <v>0</v>
      </c>
      <c r="D417" s="38">
        <f>'Impacts A'!D417-'Impacts B'!D417</f>
        <v>-2.1050005826627967</v>
      </c>
      <c r="E417" s="38">
        <f>'Impacts A'!E417-'Impacts B'!E417</f>
        <v>-7.7412799023150001</v>
      </c>
      <c r="F417" s="38">
        <f>'Impacts A'!F417-'Impacts B'!F417</f>
        <v>-18.949895117082633</v>
      </c>
      <c r="G417" s="38">
        <f>'Impacts A'!G417-'Impacts B'!G417</f>
        <v>-29.518730217750999</v>
      </c>
      <c r="H417" s="38">
        <f>'Impacts A'!H417-'Impacts B'!H417</f>
        <v>-41.239386979403207</v>
      </c>
      <c r="I417" s="38">
        <f>'Impacts A'!I417-'Impacts B'!I417</f>
        <v>-68.562821514438838</v>
      </c>
      <c r="J417" s="38">
        <f>'Impacts A'!J417-'Impacts B'!J417</f>
        <v>-86.203296393097844</v>
      </c>
      <c r="K417" s="38">
        <f>'Impacts A'!K417-'Impacts B'!K417</f>
        <v>-134.41071459464729</v>
      </c>
      <c r="L417" s="38">
        <f>'Impacts A'!L417-'Impacts B'!L417</f>
        <v>-138.71331245079637</v>
      </c>
      <c r="M417" s="1"/>
      <c r="N417" s="1" t="str">
        <v>$million</v>
      </c>
    </row>
    <row r="418" spans="1:26" x14ac:dyDescent="0.25">
      <c r="A418" s="1" t="str">
        <v>OT total</v>
      </c>
      <c r="C418" s="38">
        <f>'Impacts A'!C418-'Impacts B'!C418</f>
        <v>0</v>
      </c>
      <c r="D418" s="38">
        <f>'Impacts A'!D418-'Impacts B'!D418</f>
        <v>-2.2737205519842973</v>
      </c>
      <c r="E418" s="38">
        <f>'Impacts A'!E418-'Impacts B'!E418</f>
        <v>-8.0301610057722428</v>
      </c>
      <c r="F418" s="38">
        <f>'Impacts A'!F418-'Impacts B'!F418</f>
        <v>-20.677722759239259</v>
      </c>
      <c r="G418" s="38">
        <f>'Impacts A'!G418-'Impacts B'!G418</f>
        <v>-36.809277440130245</v>
      </c>
      <c r="H418" s="38">
        <f>'Impacts A'!H418-'Impacts B'!H418</f>
        <v>-57.077888830099255</v>
      </c>
      <c r="I418" s="38">
        <f>'Impacts A'!I418-'Impacts B'!I418</f>
        <v>-102.07119657646399</v>
      </c>
      <c r="J418" s="38">
        <f>'Impacts A'!J418-'Impacts B'!J418</f>
        <v>-133.1978619848378</v>
      </c>
      <c r="K418" s="38">
        <f>'Impacts A'!K418-'Impacts B'!K418</f>
        <v>-192.94746496062726</v>
      </c>
      <c r="L418" s="38">
        <f>'Impacts A'!L418-'Impacts B'!L418</f>
        <v>-183.03097305167466</v>
      </c>
      <c r="M418" s="1"/>
      <c r="N418" s="1" t="str">
        <v>$million</v>
      </c>
    </row>
    <row r="419" spans="1:26" x14ac:dyDescent="0.25">
      <c r="A419" s="1" t="str">
        <v>EE total</v>
      </c>
      <c r="C419" s="38">
        <f>'Impacts A'!C419-'Impacts B'!C419</f>
        <v>0</v>
      </c>
      <c r="D419" s="38">
        <f>'Impacts A'!D419-'Impacts B'!D419</f>
        <v>-0.30548109362348441</v>
      </c>
      <c r="E419" s="38">
        <f>'Impacts A'!E419-'Impacts B'!E419</f>
        <v>-1.1934355833395784</v>
      </c>
      <c r="F419" s="38">
        <f>'Impacts A'!F419-'Impacts B'!F419</f>
        <v>-3.6879980022822565</v>
      </c>
      <c r="G419" s="38">
        <f>'Impacts A'!G419-'Impacts B'!G419</f>
        <v>-7.0509788913805096</v>
      </c>
      <c r="H419" s="38">
        <f>'Impacts A'!H419-'Impacts B'!H419</f>
        <v>-11.456243987180642</v>
      </c>
      <c r="I419" s="38">
        <f>'Impacts A'!I419-'Impacts B'!I419</f>
        <v>-22.001219004494487</v>
      </c>
      <c r="J419" s="38">
        <f>'Impacts A'!J419-'Impacts B'!J419</f>
        <v>-30.161229888268281</v>
      </c>
      <c r="K419" s="38">
        <f>'Impacts A'!K419-'Impacts B'!K419</f>
        <v>-46.00492567429319</v>
      </c>
      <c r="L419" s="38">
        <f>'Impacts A'!L419-'Impacts B'!L419</f>
        <v>-46.514855182264</v>
      </c>
      <c r="M419" s="1"/>
      <c r="N419" s="1" t="str">
        <v>$million</v>
      </c>
    </row>
    <row r="420" spans="1:26" x14ac:dyDescent="0.25">
      <c r="A420" s="1" t="str">
        <v>CA total</v>
      </c>
      <c r="C420" s="38">
        <f>'Impacts A'!C420-'Impacts B'!C420</f>
        <v>0</v>
      </c>
      <c r="D420" s="38">
        <f>'Impacts A'!D420-'Impacts B'!D420</f>
        <v>-0.25763779530097963</v>
      </c>
      <c r="E420" s="38">
        <f>'Impacts A'!E420-'Impacts B'!E420</f>
        <v>-1.0723858474248118</v>
      </c>
      <c r="F420" s="38">
        <f>'Impacts A'!F420-'Impacts B'!F420</f>
        <v>-1.9326704297818651</v>
      </c>
      <c r="G420" s="38">
        <f>'Impacts A'!G420-'Impacts B'!G420</f>
        <v>-1.6129811495484319</v>
      </c>
      <c r="H420" s="38">
        <f>'Impacts A'!H420-'Impacts B'!H420</f>
        <v>-5.3376958537628525</v>
      </c>
      <c r="I420" s="38">
        <f>'Impacts A'!I420-'Impacts B'!I420</f>
        <v>-16.882257744349772</v>
      </c>
      <c r="J420" s="38">
        <f>'Impacts A'!J420-'Impacts B'!J420</f>
        <v>-44.68257127108518</v>
      </c>
      <c r="K420" s="38">
        <f>'Impacts A'!K420-'Impacts B'!K420</f>
        <v>-109.49687914084643</v>
      </c>
      <c r="L420" s="38">
        <f>'Impacts A'!L420-'Impacts B'!L420</f>
        <v>-121.52660024212673</v>
      </c>
      <c r="M420" s="1"/>
      <c r="N420" s="1" t="str">
        <v>$million</v>
      </c>
    </row>
    <row r="421" spans="1:26" x14ac:dyDescent="0.25">
      <c r="A421" s="1" t="str">
        <v>IA total</v>
      </c>
      <c r="C421" s="38">
        <f>'Impacts A'!C421-'Impacts B'!C421</f>
        <v>0</v>
      </c>
      <c r="D421" s="38">
        <f>'Impacts A'!D421-'Impacts B'!D421</f>
        <v>-0.22993689122085925</v>
      </c>
      <c r="E421" s="38">
        <f>'Impacts A'!E421-'Impacts B'!E421</f>
        <v>-1.2889778424050746</v>
      </c>
      <c r="F421" s="38">
        <f>'Impacts A'!F421-'Impacts B'!F421</f>
        <v>-4.2670789327530656</v>
      </c>
      <c r="G421" s="38">
        <f>'Impacts A'!G421-'Impacts B'!G421</f>
        <v>-11.346138714521658</v>
      </c>
      <c r="H421" s="38">
        <f>'Impacts A'!H421-'Impacts B'!H421</f>
        <v>-21.521589000083623</v>
      </c>
      <c r="I421" s="38">
        <f>'Impacts A'!I421-'Impacts B'!I421</f>
        <v>-48.840880458563333</v>
      </c>
      <c r="J421" s="38">
        <f>'Impacts A'!J421-'Impacts B'!J421</f>
        <v>-74.882822179584764</v>
      </c>
      <c r="K421" s="38">
        <f>'Impacts A'!K421-'Impacts B'!K421</f>
        <v>-130.85802034055814</v>
      </c>
      <c r="L421" s="38">
        <f>'Impacts A'!L421-'Impacts B'!L421</f>
        <v>-135.01481584645808</v>
      </c>
      <c r="M421" s="1"/>
      <c r="N421" s="1" t="str">
        <v>$million</v>
      </c>
    </row>
    <row r="422" spans="1:26" x14ac:dyDescent="0.25">
      <c r="A422" s="1" t="str">
        <v>AF total</v>
      </c>
      <c r="C422" s="38">
        <f>'Impacts A'!C422-'Impacts B'!C422</f>
        <v>0</v>
      </c>
      <c r="D422" s="38">
        <f>'Impacts A'!D422-'Impacts B'!D422</f>
        <v>-0.52427135088419163</v>
      </c>
      <c r="E422" s="38">
        <f>'Impacts A'!E422-'Impacts B'!E422</f>
        <v>-1.5255255088386548</v>
      </c>
      <c r="F422" s="38">
        <f>'Impacts A'!F422-'Impacts B'!F422</f>
        <v>-2.9260812823540618</v>
      </c>
      <c r="G422" s="38">
        <f>'Impacts A'!G422-'Impacts B'!G422</f>
        <v>-5.7125212337887206</v>
      </c>
      <c r="H422" s="38">
        <f>'Impacts A'!H422-'Impacts B'!H422</f>
        <v>-9.6342605080426438</v>
      </c>
      <c r="I422" s="38">
        <f>'Impacts A'!I422-'Impacts B'!I422</f>
        <v>-20.825041305390187</v>
      </c>
      <c r="J422" s="38">
        <f>'Impacts A'!J422-'Impacts B'!J422</f>
        <v>-33.373767136392416</v>
      </c>
      <c r="K422" s="38">
        <f>'Impacts A'!K422-'Impacts B'!K422</f>
        <v>-60.455340213607997</v>
      </c>
      <c r="L422" s="38">
        <f>'Impacts A'!L422-'Impacts B'!L422</f>
        <v>-62.659236650681123</v>
      </c>
      <c r="M422" s="1"/>
      <c r="N422" s="1" t="str">
        <v>$million</v>
      </c>
    </row>
    <row r="423" spans="1:26" x14ac:dyDescent="0.25">
      <c r="A423" s="1" t="str">
        <v>LA total</v>
      </c>
      <c r="C423" s="38">
        <f>'Impacts A'!C423-'Impacts B'!C423</f>
        <v>0</v>
      </c>
      <c r="D423" s="38">
        <f>'Impacts A'!D423-'Impacts B'!D423</f>
        <v>-0.79178701279670349</v>
      </c>
      <c r="E423" s="38">
        <f>'Impacts A'!E423-'Impacts B'!E423</f>
        <v>-2.4033887420027895</v>
      </c>
      <c r="F423" s="38">
        <f>'Impacts A'!F423-'Impacts B'!F423</f>
        <v>-4.7000444580917247</v>
      </c>
      <c r="G423" s="38">
        <f>'Impacts A'!G423-'Impacts B'!G423</f>
        <v>-8.6200505157212319</v>
      </c>
      <c r="H423" s="38">
        <f>'Impacts A'!H423-'Impacts B'!H423</f>
        <v>-13.931180929765105</v>
      </c>
      <c r="I423" s="38">
        <f>'Impacts A'!I423-'Impacts B'!I423</f>
        <v>-28.199023125387612</v>
      </c>
      <c r="J423" s="38">
        <f>'Impacts A'!J423-'Impacts B'!J423</f>
        <v>-42.066319137345999</v>
      </c>
      <c r="K423" s="38">
        <f>'Impacts A'!K423-'Impacts B'!K423</f>
        <v>-71.143702044850215</v>
      </c>
      <c r="L423" s="38">
        <f>'Impacts A'!L423-'Impacts B'!L423</f>
        <v>-70.804183157160878</v>
      </c>
      <c r="M423" s="1"/>
      <c r="N423" s="1" t="str">
        <v>$million</v>
      </c>
      <c r="Q423">
        <v>2010</v>
      </c>
      <c r="R423">
        <v>2020</v>
      </c>
      <c r="S423">
        <v>2030</v>
      </c>
      <c r="T423">
        <v>2040</v>
      </c>
      <c r="U423">
        <v>2050</v>
      </c>
      <c r="V423">
        <v>2060</v>
      </c>
      <c r="W423">
        <v>2080</v>
      </c>
      <c r="X423">
        <v>2100</v>
      </c>
      <c r="Y423">
        <v>2200</v>
      </c>
      <c r="Z423">
        <v>2300</v>
      </c>
    </row>
    <row r="424" spans="1:26" ht="13.5" thickBot="1" x14ac:dyDescent="0.35">
      <c r="A424" s="2" t="s">
        <v>313</v>
      </c>
      <c r="B424" s="2"/>
      <c r="C424" s="56">
        <f>'Impacts A'!C424-'Impacts B'!C424</f>
        <v>0</v>
      </c>
      <c r="D424" s="56">
        <f>'Impacts A'!D424-'Impacts B'!D424</f>
        <v>-8.0034451174797141</v>
      </c>
      <c r="E424" s="56">
        <f>'Impacts A'!E424-'Impacts B'!E424</f>
        <v>-29.775578054905054</v>
      </c>
      <c r="F424" s="56">
        <f>'Impacts A'!F424-'Impacts B'!F424</f>
        <v>-74.757047931081615</v>
      </c>
      <c r="G424" s="56">
        <f>'Impacts A'!G424-'Impacts B'!G424</f>
        <v>-127.14571243245155</v>
      </c>
      <c r="H424" s="56">
        <f>'Impacts A'!H424-'Impacts B'!H424</f>
        <v>-196.20575484051369</v>
      </c>
      <c r="I424" s="56">
        <f>'Impacts A'!I424-'Impacts B'!I424</f>
        <v>-363.63870341377333</v>
      </c>
      <c r="J424" s="56">
        <f>'Impacts A'!J424-'Impacts B'!J424</f>
        <v>-513.88277836097404</v>
      </c>
      <c r="K424" s="56">
        <f>'Impacts A'!K424-'Impacts B'!K424</f>
        <v>-856.78347659111023</v>
      </c>
      <c r="L424" s="56">
        <f>'Impacts A'!L424-'Impacts B'!L424</f>
        <v>-878.35216104611754</v>
      </c>
      <c r="M424" s="1"/>
      <c r="N424" s="1" t="str">
        <v>$million</v>
      </c>
      <c r="P424" s="3" t="s">
        <v>2169</v>
      </c>
      <c r="Q424" s="1">
        <f t="shared" ref="Q424:Z424" si="18">C424</f>
        <v>0</v>
      </c>
      <c r="R424" s="1">
        <f t="shared" si="18"/>
        <v>-8.0034451174797141</v>
      </c>
      <c r="S424" s="1">
        <f t="shared" si="18"/>
        <v>-29.775578054905054</v>
      </c>
      <c r="T424" s="1">
        <f t="shared" si="18"/>
        <v>-74.757047931081615</v>
      </c>
      <c r="U424" s="1">
        <f t="shared" si="18"/>
        <v>-127.14571243245155</v>
      </c>
      <c r="V424" s="1">
        <f t="shared" si="18"/>
        <v>-196.20575484051369</v>
      </c>
      <c r="W424" s="1">
        <f t="shared" si="18"/>
        <v>-363.63870341377333</v>
      </c>
      <c r="X424" s="1">
        <f t="shared" si="18"/>
        <v>-513.88277836097404</v>
      </c>
      <c r="Y424" s="1">
        <f t="shared" si="18"/>
        <v>-856.78347659111023</v>
      </c>
      <c r="Z424" s="1">
        <f t="shared" si="18"/>
        <v>-878.35216104611754</v>
      </c>
    </row>
    <row r="425" spans="1:26" ht="15.5" thickTop="1" x14ac:dyDescent="0.4">
      <c r="A425" s="2" t="s">
        <v>117</v>
      </c>
      <c r="B425" s="2"/>
      <c r="C425" s="73" t="s">
        <v>312</v>
      </c>
      <c r="D425" s="58"/>
      <c r="E425" s="58"/>
      <c r="F425" s="58"/>
      <c r="G425" s="58"/>
      <c r="H425" s="58"/>
      <c r="I425" s="58"/>
      <c r="J425" s="58"/>
      <c r="K425" s="58"/>
      <c r="L425" s="58"/>
      <c r="M425" s="1"/>
      <c r="N425" s="1"/>
    </row>
    <row r="426" spans="1:26" x14ac:dyDescent="0.25">
      <c r="A426" s="1" t="str">
        <f t="array" ref="A426:A433">R_CODE&amp;" total"</f>
        <v>EU total</v>
      </c>
      <c r="C426" s="38">
        <f>'Impacts A'!C426-'Impacts B'!C426</f>
        <v>0</v>
      </c>
      <c r="D426" s="38">
        <f>'Impacts A'!D426-'Impacts B'!D426</f>
        <v>-0.8391564206615385</v>
      </c>
      <c r="E426" s="38">
        <f>'Impacts A'!E426-'Impacts B'!E426</f>
        <v>-2.6863281990217729</v>
      </c>
      <c r="F426" s="38">
        <f>'Impacts A'!F426-'Impacts B'!F426</f>
        <v>-5.4001694869057246</v>
      </c>
      <c r="G426" s="38">
        <f>'Impacts A'!G426-'Impacts B'!G426</f>
        <v>-6.039142754572822</v>
      </c>
      <c r="H426" s="38">
        <f>'Impacts A'!H426-'Impacts B'!H426</f>
        <v>-6.1116657242564543</v>
      </c>
      <c r="I426" s="38">
        <f>'Impacts A'!I426-'Impacts B'!I426</f>
        <v>-5.2868003280746052</v>
      </c>
      <c r="J426" s="38">
        <f>'Impacts A'!J426-'Impacts B'!J426</f>
        <v>-3.606651630550914</v>
      </c>
      <c r="K426" s="38">
        <f>'Impacts A'!K426-'Impacts B'!K426</f>
        <v>-0.30178604215780069</v>
      </c>
      <c r="L426" s="38">
        <f>'Impacts A'!L426-'Impacts B'!L426</f>
        <v>-1.6917370765327178E-2</v>
      </c>
      <c r="M426" s="1"/>
      <c r="N426" s="1" t="str">
        <f t="array" ref="N426:N434">CURRENCY_NAME</f>
        <v>$million</v>
      </c>
    </row>
    <row r="427" spans="1:26" x14ac:dyDescent="0.25">
      <c r="A427" s="1" t="str">
        <v>US total</v>
      </c>
      <c r="C427" s="38">
        <f>'Impacts A'!C427-'Impacts B'!C427</f>
        <v>0</v>
      </c>
      <c r="D427" s="38">
        <f>'Impacts A'!D427-'Impacts B'!D427</f>
        <v>-1.1654877851683523</v>
      </c>
      <c r="E427" s="38">
        <f>'Impacts A'!E427-'Impacts B'!E427</f>
        <v>-3.1893048214597002</v>
      </c>
      <c r="F427" s="38">
        <f>'Impacts A'!F427-'Impacts B'!F427</f>
        <v>-5.8092199800885282</v>
      </c>
      <c r="G427" s="38">
        <f>'Impacts A'!G427-'Impacts B'!G427</f>
        <v>-6.7334313490719069</v>
      </c>
      <c r="H427" s="38">
        <f>'Impacts A'!H427-'Impacts B'!H427</f>
        <v>-6.9996885823966295</v>
      </c>
      <c r="I427" s="38">
        <f>'Impacts A'!I427-'Impacts B'!I427</f>
        <v>-6.4433349023602204</v>
      </c>
      <c r="J427" s="38">
        <f>'Impacts A'!J427-'Impacts B'!J427</f>
        <v>-4.4854023157822667</v>
      </c>
      <c r="K427" s="38">
        <f>'Impacts A'!K427-'Impacts B'!K427</f>
        <v>-0.36390577610382024</v>
      </c>
      <c r="L427" s="38">
        <f>'Impacts A'!L427-'Impacts B'!L427</f>
        <v>-1.9541177570545187E-2</v>
      </c>
      <c r="M427" s="1"/>
      <c r="N427" s="1" t="str">
        <v>$million</v>
      </c>
    </row>
    <row r="428" spans="1:26" x14ac:dyDescent="0.25">
      <c r="A428" s="1" t="str">
        <v>OT total</v>
      </c>
      <c r="C428" s="38">
        <f>'Impacts A'!C428-'Impacts B'!C428</f>
        <v>0</v>
      </c>
      <c r="D428" s="38">
        <f>'Impacts A'!D428-'Impacts B'!D428</f>
        <v>-1.2589039414287981</v>
      </c>
      <c r="E428" s="38">
        <f>'Impacts A'!E428-'Impacts B'!E428</f>
        <v>-3.3083200111595943</v>
      </c>
      <c r="F428" s="38">
        <f>'Impacts A'!F428-'Impacts B'!F428</f>
        <v>-6.338897363468277</v>
      </c>
      <c r="G428" s="38">
        <f>'Impacts A'!G428-'Impacts B'!G428</f>
        <v>-8.3964567860384705</v>
      </c>
      <c r="H428" s="38">
        <f>'Impacts A'!H428-'Impacts B'!H428</f>
        <v>-9.6880064427459729</v>
      </c>
      <c r="I428" s="38">
        <f>'Impacts A'!I428-'Impacts B'!I428</f>
        <v>-9.5923547033235081</v>
      </c>
      <c r="J428" s="38">
        <f>'Impacts A'!J428-'Impacts B'!J428</f>
        <v>-6.9306630210485309</v>
      </c>
      <c r="K428" s="38">
        <f>'Impacts A'!K428-'Impacts B'!K428</f>
        <v>-0.5223891353871295</v>
      </c>
      <c r="L428" s="38">
        <f>'Impacts A'!L428-'Impacts B'!L428</f>
        <v>-2.5784408735717079E-2</v>
      </c>
      <c r="M428" s="1"/>
      <c r="N428" s="1" t="str">
        <v>$million</v>
      </c>
    </row>
    <row r="429" spans="1:26" x14ac:dyDescent="0.25">
      <c r="A429" s="1" t="str">
        <v>EE total</v>
      </c>
      <c r="C429" s="38">
        <f>'Impacts A'!C429-'Impacts B'!C429</f>
        <v>0</v>
      </c>
      <c r="D429" s="38">
        <f>'Impacts A'!D429-'Impacts B'!D429</f>
        <v>-0.16913747490161768</v>
      </c>
      <c r="E429" s="38">
        <f>'Impacts A'!E429-'Impacts B'!E429</f>
        <v>-0.49167965867104613</v>
      </c>
      <c r="F429" s="38">
        <f>'Impacts A'!F429-'Impacts B'!F429</f>
        <v>-1.1305810163594288</v>
      </c>
      <c r="G429" s="38">
        <f>'Impacts A'!G429-'Impacts B'!G429</f>
        <v>-1.6083782045716362</v>
      </c>
      <c r="H429" s="38">
        <f>'Impacts A'!H429-'Impacts B'!H429</f>
        <v>-1.9445036919260019</v>
      </c>
      <c r="I429" s="38">
        <f>'Impacts A'!I429-'Impacts B'!I429</f>
        <v>-2.0676106842583977</v>
      </c>
      <c r="J429" s="38">
        <f>'Impacts A'!J429-'Impacts B'!J429</f>
        <v>-1.5693744444615731</v>
      </c>
      <c r="K429" s="38">
        <f>'Impacts A'!K429-'Impacts B'!K429</f>
        <v>-0.1245544913035701</v>
      </c>
      <c r="L429" s="38">
        <f>'Impacts A'!L429-'Impacts B'!L429</f>
        <v>-6.5527599963104421E-3</v>
      </c>
      <c r="M429" s="1"/>
      <c r="N429" s="1" t="str">
        <v>$million</v>
      </c>
    </row>
    <row r="430" spans="1:26" x14ac:dyDescent="0.25">
      <c r="A430" s="1" t="str">
        <v>CA total</v>
      </c>
      <c r="C430" s="38">
        <f>'Impacts A'!C430-'Impacts B'!C430</f>
        <v>0</v>
      </c>
      <c r="D430" s="38">
        <f>'Impacts A'!D430-'Impacts B'!D430</f>
        <v>-0.1426478006214893</v>
      </c>
      <c r="E430" s="38">
        <f>'Impacts A'!E430-'Impacts B'!E430</f>
        <v>-0.44180877023154608</v>
      </c>
      <c r="F430" s="38">
        <f>'Impacts A'!F430-'Impacts B'!F430</f>
        <v>-0.59247334121027961</v>
      </c>
      <c r="G430" s="38">
        <f>'Impacts A'!G430-'Impacts B'!G430</f>
        <v>-0.36793241978011793</v>
      </c>
      <c r="H430" s="38">
        <f>'Impacts A'!H430-'Impacts B'!H430</f>
        <v>-0.90598361082629708</v>
      </c>
      <c r="I430" s="38">
        <f>'Impacts A'!I430-'Impacts B'!I430</f>
        <v>-1.5865455672919779</v>
      </c>
      <c r="J430" s="38">
        <f>'Impacts A'!J430-'Impacts B'!J430</f>
        <v>-2.3249610750444845</v>
      </c>
      <c r="K430" s="38">
        <f>'Impacts A'!K430-'Impacts B'!K430</f>
        <v>-0.29645364883981529</v>
      </c>
      <c r="L430" s="38">
        <f>'Impacts A'!L430-'Impacts B'!L430</f>
        <v>-1.7120006961988565E-2</v>
      </c>
      <c r="M430" s="1"/>
      <c r="N430" s="1" t="str">
        <v>$million</v>
      </c>
    </row>
    <row r="431" spans="1:26" x14ac:dyDescent="0.25">
      <c r="A431" s="1" t="str">
        <v>IA total</v>
      </c>
      <c r="C431" s="38">
        <f>'Impacts A'!C431-'Impacts B'!C431</f>
        <v>0</v>
      </c>
      <c r="D431" s="38">
        <f>'Impacts A'!D431-'Impacts B'!D431</f>
        <v>-0.12731048166187975</v>
      </c>
      <c r="E431" s="38">
        <f>'Impacts A'!E431-'Impacts B'!E431</f>
        <v>-0.53104180438049298</v>
      </c>
      <c r="F431" s="38">
        <f>'Impacts A'!F431-'Impacts B'!F431</f>
        <v>-1.3081022369569837</v>
      </c>
      <c r="G431" s="38">
        <f>'Impacts A'!G431-'Impacts B'!G431</f>
        <v>-2.5881345690577291</v>
      </c>
      <c r="H431" s="38">
        <f>'Impacts A'!H431-'Impacts B'!H431</f>
        <v>-3.6529258030477649</v>
      </c>
      <c r="I431" s="38">
        <f>'Impacts A'!I431-'Impacts B'!I431</f>
        <v>-4.5899241421138868</v>
      </c>
      <c r="J431" s="38">
        <f>'Impacts A'!J431-'Impacts B'!J431</f>
        <v>-3.8963658940047026</v>
      </c>
      <c r="K431" s="38">
        <f>'Impacts A'!K431-'Impacts B'!K431</f>
        <v>-0.3542871533345533</v>
      </c>
      <c r="L431" s="38">
        <f>'Impacts A'!L431-'Impacts B'!L431</f>
        <v>-1.9020153469682555E-2</v>
      </c>
      <c r="M431" s="1"/>
      <c r="N431" s="1" t="str">
        <v>$million</v>
      </c>
    </row>
    <row r="432" spans="1:26" x14ac:dyDescent="0.25">
      <c r="A432" s="1" t="str">
        <v>AF total</v>
      </c>
      <c r="C432" s="38">
        <f>'Impacts A'!C432-'Impacts B'!C432</f>
        <v>0</v>
      </c>
      <c r="D432" s="38">
        <f>'Impacts A'!D432-'Impacts B'!D432</f>
        <v>-0.29027633559917376</v>
      </c>
      <c r="E432" s="38">
        <f>'Impacts A'!E432-'Impacts B'!E432</f>
        <v>-0.62849631094513825</v>
      </c>
      <c r="F432" s="38">
        <f>'Impacts A'!F432-'Impacts B'!F432</f>
        <v>-0.89701023376574085</v>
      </c>
      <c r="G432" s="38">
        <f>'Impacts A'!G432-'Impacts B'!G432</f>
        <v>-1.303066536876031</v>
      </c>
      <c r="H432" s="38">
        <f>'Impacts A'!H432-'Impacts B'!H432</f>
        <v>-1.6352528060533587</v>
      </c>
      <c r="I432" s="38">
        <f>'Impacts A'!I432-'Impacts B'!I432</f>
        <v>-1.9570769189813291</v>
      </c>
      <c r="J432" s="38">
        <f>'Impacts A'!J432-'Impacts B'!J432</f>
        <v>-1.7365318806059804</v>
      </c>
      <c r="K432" s="38">
        <f>'Impacts A'!K432-'Impacts B'!K432</f>
        <v>-0.16367778094490859</v>
      </c>
      <c r="L432" s="38">
        <f>'Impacts A'!L432-'Impacts B'!L432</f>
        <v>-8.8270927151370415E-3</v>
      </c>
      <c r="M432" s="1"/>
      <c r="N432" s="1" t="str">
        <v>$million</v>
      </c>
    </row>
    <row r="433" spans="1:14" x14ac:dyDescent="0.25">
      <c r="A433" s="1" t="str">
        <v>LA total</v>
      </c>
      <c r="C433" s="38">
        <f>'Impacts A'!C433-'Impacts B'!C433</f>
        <v>0</v>
      </c>
      <c r="D433" s="38">
        <f>'Impacts A'!D433-'Impacts B'!D433</f>
        <v>-0.43839327146451978</v>
      </c>
      <c r="E433" s="38">
        <f>'Impacts A'!E433-'Impacts B'!E433</f>
        <v>-0.99016433967517514</v>
      </c>
      <c r="F433" s="38">
        <f>'Impacts A'!F433-'Impacts B'!F433</f>
        <v>-1.440830780568831</v>
      </c>
      <c r="G433" s="38">
        <f>'Impacts A'!G433-'Impacts B'!G433</f>
        <v>-1.9662945507807308</v>
      </c>
      <c r="H433" s="38">
        <f>'Impacts A'!H433-'Impacts B'!H433</f>
        <v>-2.3645823867864237</v>
      </c>
      <c r="I433" s="38">
        <f>'Impacts A'!I433-'Impacts B'!I433</f>
        <v>-2.6500623209904006</v>
      </c>
      <c r="J433" s="38">
        <f>'Impacts A'!J433-'Impacts B'!J433</f>
        <v>-2.1888300467617228</v>
      </c>
      <c r="K433" s="38">
        <f>'Impacts A'!K433-'Impacts B'!K433</f>
        <v>-0.19261562730071091</v>
      </c>
      <c r="L433" s="38">
        <f>'Impacts A'!L433-'Impacts B'!L433</f>
        <v>-9.9745085123572608E-3</v>
      </c>
      <c r="M433" s="1"/>
      <c r="N433" s="1" t="str">
        <v>$million</v>
      </c>
    </row>
    <row r="434" spans="1:14" ht="13.5" thickBot="1" x14ac:dyDescent="0.35">
      <c r="A434" s="2" t="s">
        <v>313</v>
      </c>
      <c r="B434" s="2"/>
      <c r="C434" s="56">
        <f>'Impacts A'!C434-'Impacts B'!C434</f>
        <v>0</v>
      </c>
      <c r="D434" s="56">
        <f>'Impacts A'!D434-'Impacts B'!D434</f>
        <v>-4.4313135115080513</v>
      </c>
      <c r="E434" s="56">
        <f>'Impacts A'!E434-'Impacts B'!E434</f>
        <v>-12.267143915545603</v>
      </c>
      <c r="F434" s="56">
        <f>'Impacts A'!F434-'Impacts B'!F434</f>
        <v>-22.917284439317882</v>
      </c>
      <c r="G434" s="56">
        <f>'Impacts A'!G434-'Impacts B'!G434</f>
        <v>-29.002837170730345</v>
      </c>
      <c r="H434" s="56">
        <f>'Impacts A'!H434-'Impacts B'!H434</f>
        <v>-33.30260904802708</v>
      </c>
      <c r="I434" s="56">
        <f>'Impacts A'!I434-'Impacts B'!I434</f>
        <v>-34.173709567374317</v>
      </c>
      <c r="J434" s="56">
        <f>'Impacts A'!J434-'Impacts B'!J434</f>
        <v>-26.738780308223795</v>
      </c>
      <c r="K434" s="56">
        <f>'Impacts A'!K434-'Impacts B'!K434</f>
        <v>-2.3196696553713991</v>
      </c>
      <c r="L434" s="56">
        <f>'Impacts A'!L434-'Impacts B'!L434</f>
        <v>-0.12373747872743479</v>
      </c>
      <c r="M434" s="1"/>
      <c r="N434" s="1" t="str">
        <v>$million</v>
      </c>
    </row>
    <row r="435" spans="1:14" s="12" customFormat="1" ht="15.5" thickTop="1" x14ac:dyDescent="0.4">
      <c r="A435" s="2" t="s">
        <v>115</v>
      </c>
      <c r="B435" s="57"/>
      <c r="C435" s="2" t="s">
        <v>314</v>
      </c>
      <c r="D435" s="58"/>
      <c r="E435" s="58"/>
      <c r="F435" s="58"/>
      <c r="G435" s="58"/>
      <c r="H435" s="58"/>
      <c r="I435" s="58"/>
      <c r="J435" s="58"/>
      <c r="K435" s="58"/>
      <c r="L435" s="58"/>
      <c r="M435" s="58"/>
      <c r="N435" s="13"/>
    </row>
    <row r="436" spans="1:14" x14ac:dyDescent="0.25">
      <c r="A436" s="1" t="str">
        <f t="array" ref="A436:A443">R_CODE&amp;" total"</f>
        <v>EU total</v>
      </c>
      <c r="B436" s="3"/>
      <c r="C436" s="38">
        <f>'Impacts A'!C436-'Impacts B'!C436</f>
        <v>0</v>
      </c>
      <c r="D436" s="38">
        <f>'Impacts A'!D436-'Impacts B'!D436</f>
        <v>-8.391564206615385</v>
      </c>
      <c r="E436" s="38">
        <f>'Impacts A'!E436-'Impacts B'!E436</f>
        <v>-26.863281990219548</v>
      </c>
      <c r="F436" s="38">
        <f>'Impacts A'!F436-'Impacts B'!F436</f>
        <v>-54.001694869060884</v>
      </c>
      <c r="G436" s="38">
        <f>'Impacts A'!G436-'Impacts B'!G436</f>
        <v>-60.391427545720944</v>
      </c>
      <c r="H436" s="38">
        <f>'Impacts A'!H436-'Impacts B'!H436</f>
        <v>-91.674985863850452</v>
      </c>
      <c r="I436" s="38">
        <f>'Impacts A'!I436-'Impacts B'!I436</f>
        <v>-105.7360065614921</v>
      </c>
      <c r="J436" s="38">
        <f>'Impacts A'!J436-'Impacts B'!J436</f>
        <v>-216.39909783308394</v>
      </c>
      <c r="K436" s="38">
        <f>'Impacts A'!K436-'Impacts B'!K436</f>
        <v>-30.178604215790983</v>
      </c>
      <c r="L436" s="38">
        <f>'Impacts A'!L436-'Impacts B'!L436</f>
        <v>-0.84586853826840525</v>
      </c>
      <c r="M436" s="54">
        <f>'Impacts A'!M436-'Impacts B'!M436</f>
        <v>-594.4825316243805</v>
      </c>
      <c r="N436" s="1" t="str">
        <f t="array" ref="N436:N444">CURRENCY_NAME</f>
        <v>$million</v>
      </c>
    </row>
    <row r="437" spans="1:14" x14ac:dyDescent="0.25">
      <c r="A437" s="1" t="str">
        <v>US total</v>
      </c>
      <c r="B437" s="3"/>
      <c r="C437" s="38">
        <f>'Impacts A'!C437-'Impacts B'!C437</f>
        <v>0</v>
      </c>
      <c r="D437" s="38">
        <f>'Impacts A'!D437-'Impacts B'!D437</f>
        <v>-11.654877851684432</v>
      </c>
      <c r="E437" s="38">
        <f>'Impacts A'!E437-'Impacts B'!E437</f>
        <v>-31.893048214595183</v>
      </c>
      <c r="F437" s="38">
        <f>'Impacts A'!F437-'Impacts B'!F437</f>
        <v>-58.092199800885282</v>
      </c>
      <c r="G437" s="38">
        <f>'Impacts A'!G437-'Impacts B'!G437</f>
        <v>-67.334313490719069</v>
      </c>
      <c r="H437" s="38">
        <f>'Impacts A'!H437-'Impacts B'!H437</f>
        <v>-104.99532873590942</v>
      </c>
      <c r="I437" s="38">
        <f>'Impacts A'!I437-'Impacts B'!I437</f>
        <v>-128.86669804720441</v>
      </c>
      <c r="J437" s="38">
        <f>'Impacts A'!J437-'Impacts B'!J437</f>
        <v>-269.12413894711062</v>
      </c>
      <c r="K437" s="38">
        <f>'Impacts A'!K437-'Impacts B'!K437</f>
        <v>-36.39057761040749</v>
      </c>
      <c r="L437" s="38">
        <f>'Impacts A'!L437-'Impacts B'!L437</f>
        <v>-0.97705887852862361</v>
      </c>
      <c r="M437" s="54">
        <f>'Impacts A'!M437-'Impacts B'!M437</f>
        <v>-709.32824157644063</v>
      </c>
      <c r="N437" s="1" t="str">
        <v>$million</v>
      </c>
    </row>
    <row r="438" spans="1:14" x14ac:dyDescent="0.25">
      <c r="A438" s="1" t="str">
        <v>OT total</v>
      </c>
      <c r="B438" s="3"/>
      <c r="C438" s="38">
        <f>'Impacts A'!C438-'Impacts B'!C438</f>
        <v>0</v>
      </c>
      <c r="D438" s="38">
        <f>'Impacts A'!D438-'Impacts B'!D438</f>
        <v>-12.589039414284343</v>
      </c>
      <c r="E438" s="38">
        <f>'Impacts A'!E438-'Impacts B'!E438</f>
        <v>-33.083200111577753</v>
      </c>
      <c r="F438" s="38">
        <f>'Impacts A'!F438-'Impacts B'!F438</f>
        <v>-63.388973634690046</v>
      </c>
      <c r="G438" s="38">
        <f>'Impacts A'!G438-'Impacts B'!G438</f>
        <v>-83.964567860413808</v>
      </c>
      <c r="H438" s="38">
        <f>'Impacts A'!H438-'Impacts B'!H438</f>
        <v>-145.32009664119687</v>
      </c>
      <c r="I438" s="38">
        <f>'Impacts A'!I438-'Impacts B'!I438</f>
        <v>-191.84709406655747</v>
      </c>
      <c r="J438" s="38">
        <f>'Impacts A'!J438-'Impacts B'!J438</f>
        <v>-415.83978126291186</v>
      </c>
      <c r="K438" s="38">
        <f>'Impacts A'!K438-'Impacts B'!K438</f>
        <v>-52.23891353874933</v>
      </c>
      <c r="L438" s="38">
        <f>'Impacts A'!L438-'Impacts B'!L438</f>
        <v>-1.2892204367890372</v>
      </c>
      <c r="M438" s="54">
        <f>'Impacts A'!M438-'Impacts B'!M438</f>
        <v>-999.56088696699589</v>
      </c>
      <c r="N438" s="1" t="str">
        <v>$million</v>
      </c>
    </row>
    <row r="439" spans="1:14" x14ac:dyDescent="0.25">
      <c r="A439" s="1" t="str">
        <v>EE total</v>
      </c>
      <c r="B439" s="3"/>
      <c r="C439" s="38">
        <f>'Impacts A'!C439-'Impacts B'!C439</f>
        <v>0</v>
      </c>
      <c r="D439" s="38">
        <f>'Impacts A'!D439-'Impacts B'!D439</f>
        <v>-1.6913747490161768</v>
      </c>
      <c r="E439" s="38">
        <f>'Impacts A'!E439-'Impacts B'!E439</f>
        <v>-4.916796586709097</v>
      </c>
      <c r="F439" s="38">
        <f>'Impacts A'!F439-'Impacts B'!F439</f>
        <v>-11.30581016359065</v>
      </c>
      <c r="G439" s="38">
        <f>'Impacts A'!G439-'Impacts B'!G439</f>
        <v>-16.083782045716362</v>
      </c>
      <c r="H439" s="38">
        <f>'Impacts A'!H439-'Impacts B'!H439</f>
        <v>-29.167555378895486</v>
      </c>
      <c r="I439" s="38">
        <f>'Impacts A'!I439-'Impacts B'!I439</f>
        <v>-41.352213685167953</v>
      </c>
      <c r="J439" s="38">
        <f>'Impacts A'!J439-'Impacts B'!J439</f>
        <v>-94.162466667708941</v>
      </c>
      <c r="K439" s="38">
        <f>'Impacts A'!K439-'Impacts B'!K439</f>
        <v>-12.45544913035701</v>
      </c>
      <c r="L439" s="38">
        <f>'Impacts A'!L439-'Impacts B'!L439</f>
        <v>-0.32763799981694319</v>
      </c>
      <c r="M439" s="54">
        <f>'Impacts A'!M439-'Impacts B'!M439</f>
        <v>-211.46308640693314</v>
      </c>
      <c r="N439" s="1" t="str">
        <v>$million</v>
      </c>
    </row>
    <row r="440" spans="1:14" x14ac:dyDescent="0.25">
      <c r="A440" s="1" t="str">
        <v>CA total</v>
      </c>
      <c r="B440" s="3"/>
      <c r="C440" s="38">
        <f>'Impacts A'!C440-'Impacts B'!C440</f>
        <v>0</v>
      </c>
      <c r="D440" s="38">
        <f>'Impacts A'!D440-'Impacts B'!D440</f>
        <v>-1.426478006207617</v>
      </c>
      <c r="E440" s="38">
        <f>'Impacts A'!E440-'Impacts B'!E440</f>
        <v>-4.4180877023172798</v>
      </c>
      <c r="F440" s="38">
        <f>'Impacts A'!F440-'Impacts B'!F440</f>
        <v>-5.9247334121027961</v>
      </c>
      <c r="G440" s="38">
        <f>'Impacts A'!G440-'Impacts B'!G440</f>
        <v>-3.6793241978011793</v>
      </c>
      <c r="H440" s="38">
        <f>'Impacts A'!H440-'Impacts B'!H440</f>
        <v>-13.589754162385361</v>
      </c>
      <c r="I440" s="38">
        <f>'Impacts A'!I440-'Impacts B'!I440</f>
        <v>-31.730911345832283</v>
      </c>
      <c r="J440" s="38">
        <f>'Impacts A'!J440-'Impacts B'!J440</f>
        <v>-139.49766450270545</v>
      </c>
      <c r="K440" s="38">
        <f>'Impacts A'!K440-'Impacts B'!K440</f>
        <v>-29.645364883996081</v>
      </c>
      <c r="L440" s="38">
        <f>'Impacts A'!L440-'Impacts B'!L440</f>
        <v>-0.85600034809976933</v>
      </c>
      <c r="M440" s="54">
        <f>'Impacts A'!M440-'Impacts B'!M440</f>
        <v>-230.76831856137142</v>
      </c>
      <c r="N440" s="1" t="str">
        <v>$million</v>
      </c>
    </row>
    <row r="441" spans="1:14" x14ac:dyDescent="0.25">
      <c r="A441" s="1" t="str">
        <v>IA total</v>
      </c>
      <c r="B441" s="3"/>
      <c r="C441" s="38">
        <f>'Impacts A'!C441-'Impacts B'!C441</f>
        <v>0</v>
      </c>
      <c r="D441" s="38">
        <f>'Impacts A'!D441-'Impacts B'!D441</f>
        <v>-1.2731048166169785</v>
      </c>
      <c r="E441" s="38">
        <f>'Impacts A'!E441-'Impacts B'!E441</f>
        <v>-5.3104180438022013</v>
      </c>
      <c r="F441" s="38">
        <f>'Impacts A'!F441-'Impacts B'!F441</f>
        <v>-13.081022369558923</v>
      </c>
      <c r="G441" s="38">
        <f>'Impacts A'!G441-'Impacts B'!G441</f>
        <v>-25.881345690577291</v>
      </c>
      <c r="H441" s="38">
        <f>'Impacts A'!H441-'Impacts B'!H441</f>
        <v>-54.793887045700103</v>
      </c>
      <c r="I441" s="38">
        <f>'Impacts A'!I441-'Impacts B'!I441</f>
        <v>-91.798482842277735</v>
      </c>
      <c r="J441" s="38">
        <f>'Impacts A'!J441-'Impacts B'!J441</f>
        <v>-233.78195364028215</v>
      </c>
      <c r="K441" s="38">
        <f>'Impacts A'!K441-'Impacts B'!K441</f>
        <v>-35.428715333458968</v>
      </c>
      <c r="L441" s="38">
        <f>'Impacts A'!L441-'Impacts B'!L441</f>
        <v>-0.95100767348412774</v>
      </c>
      <c r="M441" s="54">
        <f>'Impacts A'!M441-'Impacts B'!M441</f>
        <v>-462.29993745544925</v>
      </c>
      <c r="N441" s="1" t="str">
        <v>$million</v>
      </c>
    </row>
    <row r="442" spans="1:14" x14ac:dyDescent="0.25">
      <c r="A442" s="1" t="str">
        <v>AF total</v>
      </c>
      <c r="B442" s="3"/>
      <c r="C442" s="38">
        <f>'Impacts A'!C442-'Impacts B'!C442</f>
        <v>0</v>
      </c>
      <c r="D442" s="38">
        <f>'Impacts A'!D442-'Impacts B'!D442</f>
        <v>-2.9027633559890091</v>
      </c>
      <c r="E442" s="38">
        <f>'Impacts A'!E442-'Impacts B'!E442</f>
        <v>-6.284963109450473</v>
      </c>
      <c r="F442" s="38">
        <f>'Impacts A'!F442-'Impacts B'!F442</f>
        <v>-8.970102337661956</v>
      </c>
      <c r="G442" s="38">
        <f>'Impacts A'!G442-'Impacts B'!G442</f>
        <v>-13.030665368758491</v>
      </c>
      <c r="H442" s="38">
        <f>'Impacts A'!H442-'Impacts B'!H442</f>
        <v>-24.528792090801289</v>
      </c>
      <c r="I442" s="38">
        <f>'Impacts A'!I442-'Impacts B'!I442</f>
        <v>-39.141538379626581</v>
      </c>
      <c r="J442" s="38">
        <f>'Impacts A'!J442-'Impacts B'!J442</f>
        <v>-104.1919128363952</v>
      </c>
      <c r="K442" s="38">
        <f>'Impacts A'!K442-'Impacts B'!K442</f>
        <v>-16.367778094485402</v>
      </c>
      <c r="L442" s="38">
        <f>'Impacts A'!L442-'Impacts B'!L442</f>
        <v>-0.44135463575730682</v>
      </c>
      <c r="M442" s="54">
        <f>'Impacts A'!M442-'Impacts B'!M442</f>
        <v>-215.8598702091258</v>
      </c>
      <c r="N442" s="1" t="str">
        <v>$million</v>
      </c>
    </row>
    <row r="443" spans="1:14" x14ac:dyDescent="0.25">
      <c r="A443" s="1" t="str">
        <v>LA total</v>
      </c>
      <c r="B443" s="3"/>
      <c r="C443" s="38">
        <f>'Impacts A'!C443-'Impacts B'!C443</f>
        <v>0</v>
      </c>
      <c r="D443" s="38">
        <f>'Impacts A'!D443-'Impacts B'!D443</f>
        <v>-4.3839327146488358</v>
      </c>
      <c r="E443" s="38">
        <f>'Impacts A'!E443-'Impacts B'!E443</f>
        <v>-9.9016433967553894</v>
      </c>
      <c r="F443" s="38">
        <f>'Impacts A'!F443-'Impacts B'!F443</f>
        <v>-14.408307805686491</v>
      </c>
      <c r="G443" s="38">
        <f>'Impacts A'!G443-'Impacts B'!G443</f>
        <v>-19.662945507807308</v>
      </c>
      <c r="H443" s="38">
        <f>'Impacts A'!H443-'Impacts B'!H443</f>
        <v>-35.468735801812727</v>
      </c>
      <c r="I443" s="38">
        <f>'Impacts A'!I443-'Impacts B'!I443</f>
        <v>-53.001246419822564</v>
      </c>
      <c r="J443" s="38">
        <f>'Impacts A'!J443-'Impacts B'!J443</f>
        <v>-131.32980280567426</v>
      </c>
      <c r="K443" s="38">
        <f>'Impacts A'!K443-'Impacts B'!K443</f>
        <v>-19.261562730069272</v>
      </c>
      <c r="L443" s="38">
        <f>'Impacts A'!L443-'Impacts B'!L443</f>
        <v>-0.49872542561752198</v>
      </c>
      <c r="M443" s="54">
        <f>'Impacts A'!M443-'Impacts B'!M443</f>
        <v>-287.91690260800533</v>
      </c>
      <c r="N443" s="1" t="str">
        <v>$million</v>
      </c>
    </row>
    <row r="444" spans="1:14" ht="13.5" thickBot="1" x14ac:dyDescent="0.35">
      <c r="A444" s="2" t="s">
        <v>313</v>
      </c>
      <c r="B444" s="2"/>
      <c r="C444" s="56">
        <f>'Impacts A'!C444-'Impacts B'!C444</f>
        <v>0</v>
      </c>
      <c r="D444" s="56">
        <f>'Impacts A'!D444-'Impacts B'!D444</f>
        <v>-44.313135115022305</v>
      </c>
      <c r="E444" s="56">
        <f>'Impacts A'!E444-'Impacts B'!E444</f>
        <v>-122.67143915541237</v>
      </c>
      <c r="F444" s="56">
        <f>'Impacts A'!F444-'Impacts B'!F444</f>
        <v>-229.17284439306241</v>
      </c>
      <c r="G444" s="56">
        <f>'Impacts A'!G444-'Impacts B'!G444</f>
        <v>-290.02837170753628</v>
      </c>
      <c r="H444" s="56">
        <f>'Impacts A'!H444-'Impacts B'!H444</f>
        <v>-499.53913572034799</v>
      </c>
      <c r="I444" s="56">
        <f>'Impacts A'!I444-'Impacts B'!I444</f>
        <v>-683.47419134760275</v>
      </c>
      <c r="J444" s="56">
        <f>'Impacts A'!J444-'Impacts B'!J444</f>
        <v>-1604.3268184978515</v>
      </c>
      <c r="K444" s="56">
        <f>'Impacts A'!K444-'Impacts B'!K444</f>
        <v>-231.9669655370526</v>
      </c>
      <c r="L444" s="56">
        <f>'Impacts A'!L444-'Impacts B'!L444</f>
        <v>-6.1868739363562781</v>
      </c>
      <c r="M444" s="54">
        <f>'Impacts A'!M444-'Impacts B'!M444</f>
        <v>-3711.6797754094005</v>
      </c>
      <c r="N444" s="1" t="str">
        <v>$million</v>
      </c>
    </row>
    <row r="445" spans="1:14" ht="14" thickTop="1" thickBot="1" x14ac:dyDescent="0.35">
      <c r="A445" s="2" t="s">
        <v>119</v>
      </c>
      <c r="B445" s="2"/>
      <c r="M445" s="56">
        <f>'Impacts A'!M445-'Impacts B'!M445</f>
        <v>-3711.6797754094005</v>
      </c>
      <c r="N445" s="1" t="str">
        <f>CURRENCY_NAME</f>
        <v>$million</v>
      </c>
    </row>
    <row r="446" spans="1:14" ht="13.5" thickTop="1" x14ac:dyDescent="0.3">
      <c r="A446" s="2"/>
      <c r="B446" s="2"/>
      <c r="N446" s="1"/>
    </row>
    <row r="447" spans="1:14" ht="13" x14ac:dyDescent="0.3">
      <c r="A447" s="2" t="s">
        <v>483</v>
      </c>
      <c r="B447" s="7"/>
      <c r="C447" s="38">
        <f>'Impacts A'!C447-'Impacts B'!C447</f>
        <v>0</v>
      </c>
      <c r="D447" s="38">
        <f>'Impacts A'!D447-'Impacts B'!D447</f>
        <v>0</v>
      </c>
      <c r="E447" s="38">
        <f>'Impacts A'!E447-'Impacts B'!E447</f>
        <v>0</v>
      </c>
      <c r="F447" s="38">
        <f>'Impacts A'!F447-'Impacts B'!F447</f>
        <v>0</v>
      </c>
      <c r="G447" s="38">
        <f>'Impacts A'!G447-'Impacts B'!G447</f>
        <v>0</v>
      </c>
      <c r="H447" s="38">
        <f>'Impacts A'!H447-'Impacts B'!H447</f>
        <v>0</v>
      </c>
      <c r="I447" s="38">
        <f>'Impacts A'!I447-'Impacts B'!I447</f>
        <v>0</v>
      </c>
      <c r="J447" s="38">
        <f>'Impacts A'!J447-'Impacts B'!J447</f>
        <v>0</v>
      </c>
      <c r="K447" s="38">
        <f>'Impacts A'!K447-'Impacts B'!K447</f>
        <v>0</v>
      </c>
      <c r="L447" s="38">
        <f>'Impacts A'!L447-'Impacts B'!L447</f>
        <v>0</v>
      </c>
      <c r="M447" s="124">
        <f>SUM(C447:L447)</f>
        <v>0</v>
      </c>
    </row>
    <row r="449" spans="1:14" ht="13.5" thickBot="1" x14ac:dyDescent="0.35">
      <c r="A449" s="2" t="s">
        <v>484</v>
      </c>
      <c r="M449" s="56">
        <f>'Impacts A'!M449-'Impacts B'!M449</f>
        <v>-6703.7065418660641</v>
      </c>
      <c r="N449" s="1" t="str">
        <f>CURRENCY_NAME</f>
        <v>$million</v>
      </c>
    </row>
    <row r="450" spans="1:14" ht="14" thickTop="1" thickBot="1" x14ac:dyDescent="0.35">
      <c r="A450" s="2" t="str">
        <f>"SCCO2 in "&amp;Y_SCC</f>
        <v>SCCO2 in 2020</v>
      </c>
      <c r="M450" s="56">
        <f>'Impacts A'!M450-'Impacts B'!M450</f>
        <v>6703.7065418660641</v>
      </c>
      <c r="N450" s="1"/>
    </row>
    <row r="451" spans="1:14" ht="13" thickTop="1" x14ac:dyDescent="0.25"/>
  </sheetData>
  <pageMargins left="0.75" right="0.75" top="1" bottom="1" header="0.5" footer="0.5"/>
  <pageSetup paperSize="9" orientation="portrait" horizontalDpi="360"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35"/>
  <sheetViews>
    <sheetView workbookViewId="0"/>
  </sheetViews>
  <sheetFormatPr defaultRowHeight="12.5" x14ac:dyDescent="0.25"/>
  <cols>
    <col min="1" max="1" width="22.81640625" bestFit="1" customWidth="1"/>
    <col min="2" max="12" width="11.54296875" customWidth="1"/>
  </cols>
  <sheetData>
    <row r="1" spans="1:13" ht="13" x14ac:dyDescent="0.3">
      <c r="A1" s="2" t="str">
        <f>MODEL_NAME</f>
        <v>PAGE09</v>
      </c>
      <c r="B1" t="s">
        <v>44</v>
      </c>
      <c r="C1" s="71">
        <f>VERSION</f>
        <v>1.7</v>
      </c>
    </row>
    <row r="2" spans="1:13" x14ac:dyDescent="0.25">
      <c r="A2" s="3"/>
      <c r="B2" s="3"/>
      <c r="C2" s="3"/>
    </row>
    <row r="3" spans="1:13" ht="13" x14ac:dyDescent="0.3">
      <c r="A3" s="2" t="s">
        <v>454</v>
      </c>
      <c r="B3">
        <f t="array" ref="B3:K3">Y</f>
        <v>2010</v>
      </c>
      <c r="C3">
        <v>2020</v>
      </c>
      <c r="D3">
        <v>2030</v>
      </c>
      <c r="E3">
        <v>2040</v>
      </c>
      <c r="F3">
        <v>2050</v>
      </c>
      <c r="G3">
        <v>2060</v>
      </c>
      <c r="H3">
        <v>2080</v>
      </c>
      <c r="I3">
        <v>2100</v>
      </c>
      <c r="J3">
        <v>2200</v>
      </c>
      <c r="K3">
        <v>2300</v>
      </c>
      <c r="L3" s="2" t="s">
        <v>145</v>
      </c>
    </row>
    <row r="4" spans="1:13" ht="13" x14ac:dyDescent="0.3">
      <c r="A4" s="2" t="s">
        <v>149</v>
      </c>
      <c r="B4" s="38">
        <f t="array" ref="B4:K4" xml:space="preserve"> wit_g+pct_g+wact_g</f>
        <v>-28365.998952072889</v>
      </c>
      <c r="C4" s="38">
        <v>-73777.449480500582</v>
      </c>
      <c r="D4" s="38">
        <v>81918.701421338439</v>
      </c>
      <c r="E4" s="38">
        <v>281868.13410184154</v>
      </c>
      <c r="F4" s="38">
        <v>1077012.6957216146</v>
      </c>
      <c r="G4" s="38">
        <v>1772118.0108643954</v>
      </c>
      <c r="H4" s="38">
        <v>3346035.6529988633</v>
      </c>
      <c r="I4" s="38">
        <v>4412087.3946855254</v>
      </c>
      <c r="J4" s="38">
        <v>15380660.639455095</v>
      </c>
      <c r="K4" s="38">
        <v>27742108.4962768</v>
      </c>
      <c r="L4" s="58"/>
      <c r="M4" s="4" t="str">
        <f>CURRENCY_NAME</f>
        <v>$million</v>
      </c>
    </row>
    <row r="5" spans="1:13" ht="13" x14ac:dyDescent="0.3">
      <c r="A5" s="2" t="s">
        <v>153</v>
      </c>
    </row>
    <row r="6" spans="1:13" ht="13.5" thickBot="1" x14ac:dyDescent="0.35">
      <c r="A6" s="2" t="s">
        <v>149</v>
      </c>
      <c r="B6" s="64">
        <f t="array" ref="B6:K6" xml:space="preserve"> widt_g+pcdt_g+wacdt_g</f>
        <v>-21106.967210204308</v>
      </c>
      <c r="C6" s="64">
        <v>-40848.784983060381</v>
      </c>
      <c r="D6" s="64">
        <v>33749.420342328347</v>
      </c>
      <c r="E6" s="64">
        <v>86408.604705068283</v>
      </c>
      <c r="F6" s="64">
        <v>245674.2209175484</v>
      </c>
      <c r="G6" s="64">
        <v>300787.06585776154</v>
      </c>
      <c r="H6" s="64">
        <v>314450.71587329579</v>
      </c>
      <c r="I6" s="64">
        <v>229573.43681279864</v>
      </c>
      <c r="J6" s="64">
        <v>41641.853209966554</v>
      </c>
      <c r="K6" s="64">
        <v>3908.1574704633845</v>
      </c>
      <c r="L6" s="58"/>
      <c r="M6" s="4" t="str">
        <f>CURRENCY_NAME</f>
        <v>$million</v>
      </c>
    </row>
    <row r="7" spans="1:13" ht="13.5" thickTop="1" x14ac:dyDescent="0.3">
      <c r="A7" s="2" t="s">
        <v>455</v>
      </c>
    </row>
    <row r="8" spans="1:13" ht="13.5" thickBot="1" x14ac:dyDescent="0.35">
      <c r="A8" s="2" t="s">
        <v>149</v>
      </c>
      <c r="B8" s="64">
        <f t="array" ref="B8:K8" xml:space="preserve"> addt_g+pcdat_g+aact_g</f>
        <v>-316604.50815306499</v>
      </c>
      <c r="C8" s="64">
        <v>-408487.84983060404</v>
      </c>
      <c r="D8" s="64">
        <v>337494.2034232837</v>
      </c>
      <c r="E8" s="64">
        <v>864086.04705068283</v>
      </c>
      <c r="F8" s="64">
        <v>2456742.2091754843</v>
      </c>
      <c r="G8" s="64">
        <v>4511805.9878664231</v>
      </c>
      <c r="H8" s="64">
        <v>6289014.3174659163</v>
      </c>
      <c r="I8" s="64">
        <v>13774406.208767917</v>
      </c>
      <c r="J8" s="64">
        <v>4164185.3209966552</v>
      </c>
      <c r="K8" s="64">
        <v>195407.87352316923</v>
      </c>
      <c r="L8" s="110">
        <f>SUM(B8:K8)</f>
        <v>31868049.810285859</v>
      </c>
      <c r="M8" s="4" t="str">
        <f>CURRENCY_NAME</f>
        <v>$million</v>
      </c>
    </row>
    <row r="9" spans="1:13" s="4" customFormat="1" ht="13.5" thickTop="1" x14ac:dyDescent="0.3">
      <c r="A9" s="5" t="s">
        <v>139</v>
      </c>
      <c r="B9" s="5"/>
      <c r="L9" s="54">
        <f>td</f>
        <v>22107211.096440114</v>
      </c>
      <c r="M9" s="4" t="str">
        <f>CURRENCY_NAME</f>
        <v>$million</v>
      </c>
    </row>
    <row r="10" spans="1:13" s="4" customFormat="1" ht="13" x14ac:dyDescent="0.3">
      <c r="A10" s="5" t="s">
        <v>141</v>
      </c>
      <c r="B10" s="5"/>
      <c r="L10" s="54">
        <f>tpc</f>
        <v>1767979.5610650117</v>
      </c>
      <c r="M10" s="4" t="str">
        <f>CURRENCY_NAME</f>
        <v>$million</v>
      </c>
    </row>
    <row r="11" spans="1:13" s="4" customFormat="1" ht="13.5" thickBot="1" x14ac:dyDescent="0.35">
      <c r="A11" s="5" t="s">
        <v>140</v>
      </c>
      <c r="B11" s="5"/>
      <c r="L11" s="54">
        <f>tac</f>
        <v>7992859.1527807368</v>
      </c>
      <c r="M11" s="4" t="str">
        <f>CURRENCY_NAME</f>
        <v>$million</v>
      </c>
    </row>
    <row r="12" spans="1:13" s="4" customFormat="1" ht="14" thickTop="1" thickBot="1" x14ac:dyDescent="0.35">
      <c r="A12" s="5" t="s">
        <v>475</v>
      </c>
      <c r="L12" s="109">
        <f>MIN(SUM(L9:L11), CIV_VALUE)</f>
        <v>31868049.810285863</v>
      </c>
      <c r="M12" s="4" t="str">
        <f>CURRENCY_NAME</f>
        <v>$million</v>
      </c>
    </row>
    <row r="13" spans="1:13" ht="13" thickTop="1" x14ac:dyDescent="0.25"/>
    <row r="14" spans="1:13" ht="13" x14ac:dyDescent="0.3">
      <c r="A14" s="2" t="s">
        <v>463</v>
      </c>
      <c r="B14">
        <f>'Base data'!C$3</f>
        <v>2010</v>
      </c>
      <c r="C14">
        <f>'Base data'!D$3</f>
        <v>2020</v>
      </c>
      <c r="D14">
        <f>'Base data'!E$3</f>
        <v>2030</v>
      </c>
      <c r="E14">
        <f>'Base data'!F$3</f>
        <v>2040</v>
      </c>
      <c r="F14">
        <f>'Base data'!G$3</f>
        <v>2050</v>
      </c>
      <c r="G14">
        <f>'Base data'!H$3</f>
        <v>2060</v>
      </c>
      <c r="H14">
        <f>'Base data'!I$3</f>
        <v>2080</v>
      </c>
      <c r="I14">
        <f>'Base data'!J$3</f>
        <v>2100</v>
      </c>
      <c r="J14">
        <f>'Base data'!K$3</f>
        <v>2200</v>
      </c>
      <c r="K14">
        <f>'Base data'!L$3</f>
        <v>2300</v>
      </c>
      <c r="L14" s="2" t="s">
        <v>145</v>
      </c>
    </row>
    <row r="15" spans="1:13" ht="13" x14ac:dyDescent="0.3">
      <c r="A15" s="2" t="s">
        <v>149</v>
      </c>
      <c r="B15" s="38">
        <f t="array" ref="B15:K15" xml:space="preserve"> wit_g_b+pct_g_b+wact_g_b</f>
        <v>-28365.998952072889</v>
      </c>
      <c r="C15" s="38">
        <v>-73769.44603538308</v>
      </c>
      <c r="D15" s="38">
        <v>81948.476999393344</v>
      </c>
      <c r="E15" s="38">
        <v>281942.89114977262</v>
      </c>
      <c r="F15" s="38">
        <v>1077139.8414340471</v>
      </c>
      <c r="G15" s="38">
        <v>1772314.2166192359</v>
      </c>
      <c r="H15" s="38">
        <v>3346399.291702277</v>
      </c>
      <c r="I15" s="38">
        <v>4412601.277463886</v>
      </c>
      <c r="J15" s="38">
        <v>15381517.422931686</v>
      </c>
      <c r="K15" s="38">
        <v>27742986.848437846</v>
      </c>
      <c r="L15" s="58"/>
      <c r="M15" s="4" t="str">
        <f>CURRENCY_NAME</f>
        <v>$million</v>
      </c>
    </row>
    <row r="16" spans="1:13" ht="13" x14ac:dyDescent="0.3">
      <c r="A16" s="2" t="s">
        <v>153</v>
      </c>
    </row>
    <row r="17" spans="1:13" ht="13.5" thickBot="1" x14ac:dyDescent="0.35">
      <c r="A17" s="2" t="s">
        <v>149</v>
      </c>
      <c r="B17" s="64">
        <f t="array" ref="B17:K17" xml:space="preserve"> widt_g_b+pcdt_g_b+wacdt_g_b</f>
        <v>-21106.967210204308</v>
      </c>
      <c r="C17" s="64">
        <v>-40844.353669548873</v>
      </c>
      <c r="D17" s="64">
        <v>33761.687486243893</v>
      </c>
      <c r="E17" s="64">
        <v>86431.521989507601</v>
      </c>
      <c r="F17" s="64">
        <v>245703.22375471913</v>
      </c>
      <c r="G17" s="64">
        <v>300820.36846680957</v>
      </c>
      <c r="H17" s="64">
        <v>314484.88958286319</v>
      </c>
      <c r="I17" s="64">
        <v>229600.17559310686</v>
      </c>
      <c r="J17" s="64">
        <v>41644.172879621925</v>
      </c>
      <c r="K17" s="64">
        <v>3908.2812079421119</v>
      </c>
      <c r="L17" s="58"/>
      <c r="M17" s="4" t="str">
        <f>CURRENCY_NAME</f>
        <v>$million</v>
      </c>
    </row>
    <row r="18" spans="1:13" ht="13.5" thickTop="1" x14ac:dyDescent="0.3">
      <c r="A18" s="2" t="s">
        <v>455</v>
      </c>
    </row>
    <row r="19" spans="1:13" ht="13.5" thickBot="1" x14ac:dyDescent="0.35">
      <c r="A19" s="2" t="s">
        <v>149</v>
      </c>
      <c r="B19" s="64">
        <f t="array" ref="B19:K19" xml:space="preserve"> addt_g_b+pcdat_g_b+aact_g_b</f>
        <v>-316604.50815306499</v>
      </c>
      <c r="C19" s="64">
        <v>-408443.53669548896</v>
      </c>
      <c r="D19" s="64">
        <v>337616.87486243912</v>
      </c>
      <c r="E19" s="64">
        <v>864315.21989507589</v>
      </c>
      <c r="F19" s="64">
        <v>2457032.2375471918</v>
      </c>
      <c r="G19" s="64">
        <v>4512305.5270021427</v>
      </c>
      <c r="H19" s="64">
        <v>6289697.7916572634</v>
      </c>
      <c r="I19" s="64">
        <v>13776010.535586415</v>
      </c>
      <c r="J19" s="64">
        <v>4164417.2879621922</v>
      </c>
      <c r="K19" s="64">
        <v>195414.06039710558</v>
      </c>
      <c r="L19" s="110">
        <f>SUM(B19:K19)</f>
        <v>31871761.490061272</v>
      </c>
      <c r="M19" s="4" t="str">
        <f>CURRENCY_NAME</f>
        <v>$million</v>
      </c>
    </row>
    <row r="20" spans="1:13" s="4" customFormat="1" ht="13.5" thickTop="1" x14ac:dyDescent="0.3">
      <c r="A20" s="5" t="s">
        <v>139</v>
      </c>
      <c r="B20" s="5"/>
      <c r="L20" s="54">
        <f>td_b</f>
        <v>22110922.776215523</v>
      </c>
      <c r="M20" s="4" t="str">
        <f>CURRENCY_NAME</f>
        <v>$million</v>
      </c>
    </row>
    <row r="21" spans="1:13" s="4" customFormat="1" ht="13" x14ac:dyDescent="0.3">
      <c r="A21" s="5" t="s">
        <v>141</v>
      </c>
      <c r="B21" s="5"/>
      <c r="L21" s="54">
        <f>tpc_b</f>
        <v>1767979.5610650117</v>
      </c>
      <c r="M21" s="4" t="str">
        <f>CURRENCY_NAME</f>
        <v>$million</v>
      </c>
    </row>
    <row r="22" spans="1:13" s="4" customFormat="1" ht="13.5" thickBot="1" x14ac:dyDescent="0.35">
      <c r="A22" s="5" t="s">
        <v>140</v>
      </c>
      <c r="B22" s="5"/>
      <c r="L22" s="54">
        <f>tac_b</f>
        <v>7992859.1527807368</v>
      </c>
      <c r="M22" s="4" t="str">
        <f>CURRENCY_NAME</f>
        <v>$million</v>
      </c>
    </row>
    <row r="23" spans="1:13" s="4" customFormat="1" ht="14" thickTop="1" thickBot="1" x14ac:dyDescent="0.35">
      <c r="A23" s="5" t="s">
        <v>475</v>
      </c>
      <c r="L23" s="109">
        <f>MIN(SUM(L20:L22), CIV_VALUE)</f>
        <v>31871761.490061272</v>
      </c>
      <c r="M23" s="4" t="str">
        <f>CURRENCY_NAME</f>
        <v>$million</v>
      </c>
    </row>
    <row r="24" spans="1:13" ht="13" thickTop="1" x14ac:dyDescent="0.25">
      <c r="M24" s="4"/>
    </row>
    <row r="25" spans="1:13" ht="13" x14ac:dyDescent="0.3">
      <c r="A25" s="5" t="s">
        <v>163</v>
      </c>
      <c r="B25">
        <f>'Base data'!C$3</f>
        <v>2010</v>
      </c>
      <c r="C25">
        <f>'Base data'!D$3</f>
        <v>2020</v>
      </c>
      <c r="D25">
        <f>'Base data'!E$3</f>
        <v>2030</v>
      </c>
      <c r="E25">
        <f>'Base data'!F$3</f>
        <v>2040</v>
      </c>
      <c r="F25">
        <f>'Base data'!G$3</f>
        <v>2050</v>
      </c>
      <c r="G25">
        <f>'Base data'!H$3</f>
        <v>2060</v>
      </c>
      <c r="H25">
        <f>'Base data'!I$3</f>
        <v>2080</v>
      </c>
      <c r="I25">
        <f>'Base data'!J$3</f>
        <v>2100</v>
      </c>
      <c r="J25">
        <f>'Base data'!K$3</f>
        <v>2200</v>
      </c>
      <c r="K25">
        <f>'Base data'!L$3</f>
        <v>2300</v>
      </c>
      <c r="L25" s="2" t="s">
        <v>145</v>
      </c>
    </row>
    <row r="26" spans="1:13" ht="13" x14ac:dyDescent="0.3">
      <c r="A26" s="2" t="s">
        <v>149</v>
      </c>
      <c r="B26" s="38">
        <f t="array" ref="B26:K26" xml:space="preserve"> wit_g_ab+pct_g_ab+wact_g_ab</f>
        <v>0</v>
      </c>
      <c r="C26" s="38">
        <v>-8.0034451174797141</v>
      </c>
      <c r="D26" s="38">
        <v>-29.775578054905054</v>
      </c>
      <c r="E26" s="38">
        <v>-74.757047931081615</v>
      </c>
      <c r="F26" s="38">
        <v>-127.14571243245155</v>
      </c>
      <c r="G26" s="38">
        <v>-196.20575484051369</v>
      </c>
      <c r="H26" s="38">
        <v>-363.63870341377333</v>
      </c>
      <c r="I26" s="38">
        <v>-513.88277836097404</v>
      </c>
      <c r="J26" s="38">
        <v>-856.78347659111023</v>
      </c>
      <c r="K26" s="38">
        <v>-878.35216104611754</v>
      </c>
      <c r="L26" s="58"/>
      <c r="M26" s="4" t="str">
        <f>CURRENCY_NAME</f>
        <v>$million</v>
      </c>
    </row>
    <row r="27" spans="1:13" ht="13" x14ac:dyDescent="0.3">
      <c r="A27" s="2" t="s">
        <v>153</v>
      </c>
    </row>
    <row r="28" spans="1:13" ht="13.5" thickBot="1" x14ac:dyDescent="0.35">
      <c r="A28" s="2" t="s">
        <v>149</v>
      </c>
      <c r="B28" s="64">
        <f t="array" ref="B28:K28" xml:space="preserve"> widt_g_ab+pcdt_g_ab+wacdt_g_ab</f>
        <v>0</v>
      </c>
      <c r="C28" s="64">
        <v>-4.4313135115080513</v>
      </c>
      <c r="D28" s="64">
        <v>-12.267143915545603</v>
      </c>
      <c r="E28" s="64">
        <v>-22.917284439317882</v>
      </c>
      <c r="F28" s="64">
        <v>-29.002837170730345</v>
      </c>
      <c r="G28" s="64">
        <v>-33.30260904802708</v>
      </c>
      <c r="H28" s="64">
        <v>-34.173709567374317</v>
      </c>
      <c r="I28" s="64">
        <v>-26.738780308223795</v>
      </c>
      <c r="J28" s="64">
        <v>-2.3196696553713991</v>
      </c>
      <c r="K28" s="64">
        <v>-0.12373747872743479</v>
      </c>
      <c r="L28" s="58"/>
      <c r="M28" s="4" t="str">
        <f>CURRENCY_NAME</f>
        <v>$million</v>
      </c>
    </row>
    <row r="29" spans="1:13" ht="13.5" thickTop="1" x14ac:dyDescent="0.3">
      <c r="A29" s="2" t="s">
        <v>455</v>
      </c>
    </row>
    <row r="30" spans="1:13" ht="13.5" thickBot="1" x14ac:dyDescent="0.35">
      <c r="A30" s="2" t="s">
        <v>149</v>
      </c>
      <c r="B30" s="64">
        <f t="array" ref="B30:K30" xml:space="preserve"> addt_g_ab+pcdat_g_ab+aact_g_ab</f>
        <v>0</v>
      </c>
      <c r="C30" s="64">
        <v>-44.313135115022305</v>
      </c>
      <c r="D30" s="64">
        <v>-122.67143915541237</v>
      </c>
      <c r="E30" s="64">
        <v>-229.17284439306241</v>
      </c>
      <c r="F30" s="64">
        <v>-290.02837170753628</v>
      </c>
      <c r="G30" s="64">
        <v>-499.53913572034799</v>
      </c>
      <c r="H30" s="64">
        <v>-683.47419134760275</v>
      </c>
      <c r="I30" s="64">
        <v>-1604.3268184978515</v>
      </c>
      <c r="J30" s="64">
        <v>-231.9669655370526</v>
      </c>
      <c r="K30" s="64">
        <v>-6.1868739363562781</v>
      </c>
      <c r="L30" s="110">
        <f>SUM(B30:K30)</f>
        <v>-3711.6797754102445</v>
      </c>
      <c r="M30" s="4" t="str">
        <f>CURRENCY_NAME</f>
        <v>$million</v>
      </c>
    </row>
    <row r="31" spans="1:13" s="4" customFormat="1" ht="13.5" thickTop="1" x14ac:dyDescent="0.3">
      <c r="A31" s="5" t="s">
        <v>139</v>
      </c>
      <c r="B31" s="5"/>
      <c r="L31" s="54">
        <f>td_ab</f>
        <v>-3711.6797754094005</v>
      </c>
      <c r="M31" s="4" t="str">
        <f>CURRENCY_NAME</f>
        <v>$million</v>
      </c>
    </row>
    <row r="32" spans="1:13" s="4" customFormat="1" ht="13" x14ac:dyDescent="0.3">
      <c r="A32" s="5" t="s">
        <v>141</v>
      </c>
      <c r="B32" s="5"/>
      <c r="L32" s="54">
        <f>tpc_ab</f>
        <v>0</v>
      </c>
      <c r="M32" s="4" t="str">
        <f>CURRENCY_NAME</f>
        <v>$million</v>
      </c>
    </row>
    <row r="33" spans="1:13" s="4" customFormat="1" ht="13.5" thickBot="1" x14ac:dyDescent="0.35">
      <c r="A33" s="5" t="s">
        <v>140</v>
      </c>
      <c r="B33" s="5"/>
      <c r="L33" s="54">
        <f>tac_ab</f>
        <v>0</v>
      </c>
      <c r="M33" s="4" t="str">
        <f>CURRENCY_NAME</f>
        <v>$million</v>
      </c>
    </row>
    <row r="34" spans="1:13" s="4" customFormat="1" ht="14" thickTop="1" thickBot="1" x14ac:dyDescent="0.35">
      <c r="A34" s="5" t="s">
        <v>475</v>
      </c>
      <c r="L34" s="109">
        <f>te_a-te_b</f>
        <v>-3711.6797754094005</v>
      </c>
      <c r="M34" s="4" t="str">
        <f>CURRENCY_NAME</f>
        <v>$million</v>
      </c>
    </row>
    <row r="35" spans="1:13" ht="13" thickTop="1" x14ac:dyDescent="0.25">
      <c r="M35" s="4"/>
    </row>
  </sheetData>
  <phoneticPr fontId="0" type="noConversion"/>
  <pageMargins left="0.75" right="0.75" top="1" bottom="1" header="0.5" footer="0.5"/>
  <pageSetup paperSize="9" orientation="portrait" horizontalDpi="360" verticalDpi="360" r:id="rId1"/>
  <headerFooter alignWithMargins="0"/>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836"/>
  <sheetViews>
    <sheetView topLeftCell="A679" workbookViewId="0">
      <selection activeCell="A692" sqref="A692"/>
    </sheetView>
  </sheetViews>
  <sheetFormatPr defaultRowHeight="12.5" x14ac:dyDescent="0.25"/>
  <cols>
    <col min="1" max="1" width="32.81640625" bestFit="1" customWidth="1"/>
    <col min="2" max="2" width="35.81640625" bestFit="1" customWidth="1"/>
    <col min="3" max="3" width="20" bestFit="1" customWidth="1"/>
    <col min="5" max="5" width="14.81640625" bestFit="1" customWidth="1"/>
  </cols>
  <sheetData>
    <row r="1" spans="1:5" ht="13" x14ac:dyDescent="0.3">
      <c r="A1" s="127" t="s">
        <v>2156</v>
      </c>
      <c r="B1" s="127" t="s">
        <v>2157</v>
      </c>
      <c r="C1" s="127" t="s">
        <v>2158</v>
      </c>
      <c r="D1" s="127"/>
      <c r="E1" s="127" t="s">
        <v>2159</v>
      </c>
    </row>
    <row r="2" spans="1:5" x14ac:dyDescent="0.25">
      <c r="A2" s="126" t="s">
        <v>496</v>
      </c>
      <c r="B2" s="126" t="s">
        <v>497</v>
      </c>
      <c r="C2" t="str">
        <f t="shared" ref="C2:C65" si="0">IF(ISERR(FIND("'",B2)),MID(B2,FIND("=",B2)+1,FIND("!",B2)-(FIND("=",B2)+1)-1),MID(B2,FIND("='",B2)+2,FIND("!",B2)-(FIND("='",B2)+2)-1))</f>
        <v>Adaptive costs A</v>
      </c>
      <c r="E2" t="str">
        <f>RIGHT(B2,LEN(B2)-FIND("!",B2))</f>
        <v>$B$170:$K$177</v>
      </c>
    </row>
    <row r="3" spans="1:5" x14ac:dyDescent="0.25">
      <c r="A3" s="126" t="s">
        <v>498</v>
      </c>
      <c r="B3" s="126" t="s">
        <v>499</v>
      </c>
      <c r="C3" t="str">
        <f t="shared" si="0"/>
        <v>Adaptive costs B</v>
      </c>
      <c r="E3" t="str">
        <f t="shared" ref="E3:E66" si="1">RIGHT(B3,LEN(B3)-FIND("!",B3))</f>
        <v>$B$170:$K$177</v>
      </c>
    </row>
    <row r="4" spans="1:5" x14ac:dyDescent="0.25">
      <c r="A4" s="126" t="s">
        <v>500</v>
      </c>
      <c r="B4" s="126" t="s">
        <v>501</v>
      </c>
      <c r="C4" t="str">
        <f t="shared" si="0"/>
        <v>Adaptive costs A</v>
      </c>
      <c r="E4" t="str">
        <f t="shared" si="1"/>
        <v>$B$178:$K$178</v>
      </c>
    </row>
    <row r="5" spans="1:5" x14ac:dyDescent="0.25">
      <c r="A5" s="126" t="s">
        <v>502</v>
      </c>
      <c r="B5" s="126" t="s">
        <v>503</v>
      </c>
      <c r="C5" t="str">
        <f t="shared" si="0"/>
        <v>Adaptive costs A-B</v>
      </c>
      <c r="E5" t="str">
        <f t="shared" si="1"/>
        <v>$B$178:$K$178</v>
      </c>
    </row>
    <row r="6" spans="1:5" x14ac:dyDescent="0.25">
      <c r="A6" s="126" t="s">
        <v>504</v>
      </c>
      <c r="B6" s="126" t="s">
        <v>505</v>
      </c>
      <c r="C6" t="str">
        <f t="shared" si="0"/>
        <v>Adaptive costs B</v>
      </c>
      <c r="E6" t="str">
        <f t="shared" si="1"/>
        <v>$B$178:$K$178</v>
      </c>
    </row>
    <row r="7" spans="1:5" x14ac:dyDescent="0.25">
      <c r="A7" s="126" t="s">
        <v>506</v>
      </c>
      <c r="B7" s="126" t="s">
        <v>507</v>
      </c>
      <c r="C7" t="str">
        <f t="shared" si="0"/>
        <v>Adaptive costs A</v>
      </c>
      <c r="E7" t="str">
        <f t="shared" si="1"/>
        <v>$L$178</v>
      </c>
    </row>
    <row r="8" spans="1:5" x14ac:dyDescent="0.25">
      <c r="A8" s="126" t="s">
        <v>508</v>
      </c>
      <c r="B8" s="126" t="s">
        <v>509</v>
      </c>
      <c r="C8" t="str">
        <f t="shared" si="0"/>
        <v>Adaptive costs B</v>
      </c>
      <c r="E8" t="str">
        <f t="shared" si="1"/>
        <v>$L$178</v>
      </c>
    </row>
    <row r="9" spans="1:5" x14ac:dyDescent="0.25">
      <c r="A9" s="126" t="s">
        <v>510</v>
      </c>
      <c r="B9" s="126" t="s">
        <v>511</v>
      </c>
      <c r="C9" t="str">
        <f t="shared" si="0"/>
        <v>Adaptive costs A</v>
      </c>
      <c r="E9" t="str">
        <f t="shared" si="1"/>
        <v>$B$72:$K$79</v>
      </c>
    </row>
    <row r="10" spans="1:5" x14ac:dyDescent="0.25">
      <c r="A10" s="126" t="s">
        <v>512</v>
      </c>
      <c r="B10" s="126" t="s">
        <v>513</v>
      </c>
      <c r="C10" t="str">
        <f t="shared" si="0"/>
        <v>Adaptive costs B</v>
      </c>
      <c r="E10" t="str">
        <f t="shared" si="1"/>
        <v>$B$72:$K$79</v>
      </c>
    </row>
    <row r="11" spans="1:5" x14ac:dyDescent="0.25">
      <c r="A11" s="126" t="s">
        <v>514</v>
      </c>
      <c r="B11" s="126" t="s">
        <v>515</v>
      </c>
      <c r="C11" t="str">
        <f t="shared" si="0"/>
        <v>Adaptive costs A</v>
      </c>
      <c r="E11" t="str">
        <f t="shared" si="1"/>
        <v>$B$80:$K$80</v>
      </c>
    </row>
    <row r="12" spans="1:5" x14ac:dyDescent="0.25">
      <c r="A12" s="126" t="s">
        <v>516</v>
      </c>
      <c r="B12" s="126" t="s">
        <v>517</v>
      </c>
      <c r="C12" t="str">
        <f t="shared" si="0"/>
        <v>Adaptive costs B</v>
      </c>
      <c r="E12" t="str">
        <f t="shared" si="1"/>
        <v>$B$80:$K$80</v>
      </c>
    </row>
    <row r="13" spans="1:5" x14ac:dyDescent="0.25">
      <c r="A13" s="126" t="s">
        <v>518</v>
      </c>
      <c r="B13" s="126" t="s">
        <v>519</v>
      </c>
      <c r="C13" t="str">
        <f t="shared" si="0"/>
        <v>Adaptive costs A</v>
      </c>
      <c r="E13" t="str">
        <f t="shared" si="1"/>
        <v>$B$102:$K$109</v>
      </c>
    </row>
    <row r="14" spans="1:5" x14ac:dyDescent="0.25">
      <c r="A14" s="126" t="s">
        <v>520</v>
      </c>
      <c r="B14" s="126" t="s">
        <v>521</v>
      </c>
      <c r="C14" t="str">
        <f t="shared" si="0"/>
        <v>Adaptive costs B</v>
      </c>
      <c r="E14" t="str">
        <f t="shared" si="1"/>
        <v>$B$102:$K$109</v>
      </c>
    </row>
    <row r="15" spans="1:5" x14ac:dyDescent="0.25">
      <c r="A15" s="126" t="s">
        <v>522</v>
      </c>
      <c r="B15" s="126" t="s">
        <v>523</v>
      </c>
      <c r="C15" t="str">
        <f t="shared" si="0"/>
        <v>Adaptive costs A</v>
      </c>
      <c r="E15" t="str">
        <f t="shared" si="1"/>
        <v>$B$110:$K$110</v>
      </c>
    </row>
    <row r="16" spans="1:5" x14ac:dyDescent="0.25">
      <c r="A16" s="126" t="s">
        <v>524</v>
      </c>
      <c r="B16" s="126" t="s">
        <v>525</v>
      </c>
      <c r="C16" t="str">
        <f t="shared" si="0"/>
        <v>Adaptive costs B</v>
      </c>
      <c r="E16" t="str">
        <f t="shared" si="1"/>
        <v>$B$110:$K$110</v>
      </c>
    </row>
    <row r="17" spans="1:5" x14ac:dyDescent="0.25">
      <c r="A17" s="126" t="s">
        <v>526</v>
      </c>
      <c r="B17" s="126" t="s">
        <v>527</v>
      </c>
      <c r="C17" t="str">
        <f t="shared" si="0"/>
        <v>Adaptive costs A</v>
      </c>
      <c r="E17" t="str">
        <f t="shared" si="1"/>
        <v>$B$42:$K$49</v>
      </c>
    </row>
    <row r="18" spans="1:5" x14ac:dyDescent="0.25">
      <c r="A18" s="126" t="s">
        <v>528</v>
      </c>
      <c r="B18" s="126" t="s">
        <v>529</v>
      </c>
      <c r="C18" t="str">
        <f t="shared" si="0"/>
        <v>Adaptive costs B</v>
      </c>
      <c r="E18" t="str">
        <f t="shared" si="1"/>
        <v>$B$42:$K$49</v>
      </c>
    </row>
    <row r="19" spans="1:5" x14ac:dyDescent="0.25">
      <c r="A19" s="126" t="s">
        <v>530</v>
      </c>
      <c r="B19" s="126" t="s">
        <v>531</v>
      </c>
      <c r="C19" t="str">
        <f t="shared" si="0"/>
        <v>Adaptive costs A</v>
      </c>
      <c r="E19" t="str">
        <f t="shared" si="1"/>
        <v>$B$50:$K$50</v>
      </c>
    </row>
    <row r="20" spans="1:5" x14ac:dyDescent="0.25">
      <c r="A20" s="126" t="s">
        <v>532</v>
      </c>
      <c r="B20" s="126" t="s">
        <v>533</v>
      </c>
      <c r="C20" t="str">
        <f t="shared" si="0"/>
        <v>Adaptive costs B</v>
      </c>
      <c r="E20" t="str">
        <f t="shared" si="1"/>
        <v>$B$50:$K$50</v>
      </c>
    </row>
    <row r="21" spans="1:5" x14ac:dyDescent="0.25">
      <c r="A21" s="126" t="s">
        <v>534</v>
      </c>
      <c r="B21" s="126" t="s">
        <v>535</v>
      </c>
      <c r="C21" t="str">
        <f t="shared" si="0"/>
        <v>Adaptive costs A</v>
      </c>
      <c r="E21" t="str">
        <f t="shared" si="1"/>
        <v>$B$62:$K$69</v>
      </c>
    </row>
    <row r="22" spans="1:5" x14ac:dyDescent="0.25">
      <c r="A22" s="126" t="s">
        <v>536</v>
      </c>
      <c r="B22" s="126" t="s">
        <v>537</v>
      </c>
      <c r="C22" t="str">
        <f t="shared" si="0"/>
        <v>Adaptive costs B</v>
      </c>
      <c r="E22" t="str">
        <f t="shared" si="1"/>
        <v>$B$62:$K$69</v>
      </c>
    </row>
    <row r="23" spans="1:5" x14ac:dyDescent="0.25">
      <c r="A23" s="126" t="s">
        <v>538</v>
      </c>
      <c r="B23" s="126" t="s">
        <v>539</v>
      </c>
      <c r="C23" t="str">
        <f t="shared" si="0"/>
        <v>Adaptive costs A</v>
      </c>
      <c r="E23" t="str">
        <f t="shared" si="1"/>
        <v>$B$70:$K$70</v>
      </c>
    </row>
    <row r="24" spans="1:5" x14ac:dyDescent="0.25">
      <c r="A24" s="126" t="s">
        <v>540</v>
      </c>
      <c r="B24" s="126" t="s">
        <v>541</v>
      </c>
      <c r="C24" t="str">
        <f t="shared" si="0"/>
        <v>Adaptive costs B</v>
      </c>
      <c r="E24" t="str">
        <f t="shared" si="1"/>
        <v>$B$70:$K$70</v>
      </c>
    </row>
    <row r="25" spans="1:5" x14ac:dyDescent="0.25">
      <c r="A25" s="126" t="s">
        <v>542</v>
      </c>
      <c r="B25" s="126" t="s">
        <v>543</v>
      </c>
      <c r="C25" t="str">
        <f t="shared" si="0"/>
        <v>Adaptive costs A</v>
      </c>
      <c r="E25" t="str">
        <f t="shared" si="1"/>
        <v>$B$92:$K$99</v>
      </c>
    </row>
    <row r="26" spans="1:5" x14ac:dyDescent="0.25">
      <c r="A26" s="126" t="s">
        <v>544</v>
      </c>
      <c r="B26" s="126" t="s">
        <v>545</v>
      </c>
      <c r="C26" t="str">
        <f t="shared" si="0"/>
        <v>Adaptive costs B</v>
      </c>
      <c r="E26" t="str">
        <f t="shared" si="1"/>
        <v>$B$92:$K$99</v>
      </c>
    </row>
    <row r="27" spans="1:5" x14ac:dyDescent="0.25">
      <c r="A27" s="126" t="s">
        <v>546</v>
      </c>
      <c r="B27" s="126" t="s">
        <v>547</v>
      </c>
      <c r="C27" t="str">
        <f t="shared" si="0"/>
        <v>Adaptive costs A</v>
      </c>
      <c r="E27" t="str">
        <f t="shared" si="1"/>
        <v>$B$100:$K$100</v>
      </c>
    </row>
    <row r="28" spans="1:5" x14ac:dyDescent="0.25">
      <c r="A28" s="126" t="s">
        <v>548</v>
      </c>
      <c r="B28" s="126" t="s">
        <v>549</v>
      </c>
      <c r="C28" t="str">
        <f t="shared" si="0"/>
        <v>Adaptive costs B</v>
      </c>
      <c r="E28" t="str">
        <f t="shared" si="1"/>
        <v>$B$100:$K$100</v>
      </c>
    </row>
    <row r="29" spans="1:5" x14ac:dyDescent="0.25">
      <c r="A29" s="126" t="s">
        <v>550</v>
      </c>
      <c r="B29" s="126" t="s">
        <v>551</v>
      </c>
      <c r="C29" t="str">
        <f t="shared" si="0"/>
        <v>Adaptive costs A</v>
      </c>
      <c r="E29" t="str">
        <f t="shared" si="1"/>
        <v>$B$32:$K$39</v>
      </c>
    </row>
    <row r="30" spans="1:5" x14ac:dyDescent="0.25">
      <c r="A30" s="126" t="s">
        <v>552</v>
      </c>
      <c r="B30" s="126" t="s">
        <v>553</v>
      </c>
      <c r="C30" t="str">
        <f t="shared" si="0"/>
        <v>Adaptive costs B</v>
      </c>
      <c r="E30" t="str">
        <f t="shared" si="1"/>
        <v>$B$32:$K$39</v>
      </c>
    </row>
    <row r="31" spans="1:5" x14ac:dyDescent="0.25">
      <c r="A31" s="126" t="s">
        <v>554</v>
      </c>
      <c r="B31" s="126" t="s">
        <v>555</v>
      </c>
      <c r="C31" t="str">
        <f t="shared" si="0"/>
        <v>Adaptive costs A</v>
      </c>
      <c r="E31" t="str">
        <f t="shared" si="1"/>
        <v>$B$40:$K$40</v>
      </c>
    </row>
    <row r="32" spans="1:5" x14ac:dyDescent="0.25">
      <c r="A32" s="126" t="s">
        <v>556</v>
      </c>
      <c r="B32" s="126" t="s">
        <v>557</v>
      </c>
      <c r="C32" t="str">
        <f t="shared" si="0"/>
        <v>Adaptive costs B</v>
      </c>
      <c r="E32" t="str">
        <f t="shared" si="1"/>
        <v>$B$40:$K$40</v>
      </c>
    </row>
    <row r="33" spans="1:5" x14ac:dyDescent="0.25">
      <c r="A33" s="126" t="s">
        <v>558</v>
      </c>
      <c r="B33" s="126" t="s">
        <v>559</v>
      </c>
      <c r="C33" t="str">
        <f t="shared" si="0"/>
        <v>Adaptive costs A</v>
      </c>
      <c r="E33" t="str">
        <f t="shared" si="1"/>
        <v>$B$52:$K$59</v>
      </c>
    </row>
    <row r="34" spans="1:5" x14ac:dyDescent="0.25">
      <c r="A34" s="126" t="s">
        <v>560</v>
      </c>
      <c r="B34" s="126" t="s">
        <v>561</v>
      </c>
      <c r="C34" t="str">
        <f t="shared" si="0"/>
        <v>Adaptive costs B</v>
      </c>
      <c r="E34" t="str">
        <f t="shared" si="1"/>
        <v>$B$52:$K$59</v>
      </c>
    </row>
    <row r="35" spans="1:5" x14ac:dyDescent="0.25">
      <c r="A35" s="126" t="s">
        <v>562</v>
      </c>
      <c r="B35" s="126" t="s">
        <v>563</v>
      </c>
      <c r="C35" t="str">
        <f t="shared" si="0"/>
        <v>Adaptive costs A</v>
      </c>
      <c r="E35" t="str">
        <f t="shared" si="1"/>
        <v>$B$60:$K$60</v>
      </c>
    </row>
    <row r="36" spans="1:5" x14ac:dyDescent="0.25">
      <c r="A36" s="126" t="s">
        <v>564</v>
      </c>
      <c r="B36" s="126" t="s">
        <v>565</v>
      </c>
      <c r="C36" t="str">
        <f t="shared" si="0"/>
        <v>Adaptive costs B</v>
      </c>
      <c r="E36" t="str">
        <f t="shared" si="1"/>
        <v>$B$60:$K$60</v>
      </c>
    </row>
    <row r="37" spans="1:5" x14ac:dyDescent="0.25">
      <c r="A37" s="126" t="s">
        <v>566</v>
      </c>
      <c r="B37" s="126" t="s">
        <v>567</v>
      </c>
      <c r="C37" t="str">
        <f t="shared" si="0"/>
        <v>Adaptive costs A</v>
      </c>
      <c r="E37" t="str">
        <f t="shared" si="1"/>
        <v>$B$82:$K$89</v>
      </c>
    </row>
    <row r="38" spans="1:5" x14ac:dyDescent="0.25">
      <c r="A38" s="126" t="s">
        <v>568</v>
      </c>
      <c r="B38" s="126" t="s">
        <v>569</v>
      </c>
      <c r="C38" t="str">
        <f t="shared" si="0"/>
        <v>Adaptive costs B</v>
      </c>
      <c r="E38" t="str">
        <f t="shared" si="1"/>
        <v>$B$82:$K$89</v>
      </c>
    </row>
    <row r="39" spans="1:5" x14ac:dyDescent="0.25">
      <c r="A39" s="126" t="s">
        <v>570</v>
      </c>
      <c r="B39" s="126" t="s">
        <v>571</v>
      </c>
      <c r="C39" t="str">
        <f t="shared" si="0"/>
        <v>Adaptive costs A</v>
      </c>
      <c r="E39" t="str">
        <f t="shared" si="1"/>
        <v>$B$90:$K$90</v>
      </c>
    </row>
    <row r="40" spans="1:5" x14ac:dyDescent="0.25">
      <c r="A40" s="126" t="s">
        <v>572</v>
      </c>
      <c r="B40" s="126" t="s">
        <v>573</v>
      </c>
      <c r="C40" t="str">
        <f t="shared" si="0"/>
        <v>Adaptive costs B</v>
      </c>
      <c r="E40" t="str">
        <f t="shared" si="1"/>
        <v>$B$90:$K$90</v>
      </c>
    </row>
    <row r="41" spans="1:5" x14ac:dyDescent="0.25">
      <c r="A41" s="126" t="s">
        <v>574</v>
      </c>
      <c r="B41" s="126" t="s">
        <v>575</v>
      </c>
      <c r="C41" t="str">
        <f t="shared" si="0"/>
        <v>Adaptive costs A</v>
      </c>
      <c r="E41" t="str">
        <f t="shared" si="1"/>
        <v>$B$22:$K$29</v>
      </c>
    </row>
    <row r="42" spans="1:5" x14ac:dyDescent="0.25">
      <c r="A42" s="126" t="s">
        <v>576</v>
      </c>
      <c r="B42" s="126" t="s">
        <v>577</v>
      </c>
      <c r="C42" t="str">
        <f t="shared" si="0"/>
        <v>Adaptive costs B</v>
      </c>
      <c r="E42" t="str">
        <f t="shared" si="1"/>
        <v>$B$22:$K$29</v>
      </c>
    </row>
    <row r="43" spans="1:5" x14ac:dyDescent="0.25">
      <c r="A43" s="126" t="s">
        <v>578</v>
      </c>
      <c r="B43" s="126" t="s">
        <v>579</v>
      </c>
      <c r="C43" t="str">
        <f t="shared" si="0"/>
        <v>Adaptive costs A</v>
      </c>
      <c r="E43" t="str">
        <f t="shared" si="1"/>
        <v>$B$30:$K$30</v>
      </c>
    </row>
    <row r="44" spans="1:5" x14ac:dyDescent="0.25">
      <c r="A44" s="126" t="s">
        <v>580</v>
      </c>
      <c r="B44" s="126" t="s">
        <v>581</v>
      </c>
      <c r="C44" t="str">
        <f t="shared" si="0"/>
        <v>Adaptive costs B</v>
      </c>
      <c r="E44" t="str">
        <f t="shared" si="1"/>
        <v>$B$30:$K$30</v>
      </c>
    </row>
    <row r="45" spans="1:5" x14ac:dyDescent="0.25">
      <c r="A45" s="126" t="s">
        <v>582</v>
      </c>
      <c r="B45" s="126" t="s">
        <v>583</v>
      </c>
      <c r="C45" t="str">
        <f t="shared" si="0"/>
        <v>Adaptive costs A</v>
      </c>
      <c r="E45" t="str">
        <f t="shared" si="1"/>
        <v>$B$112:$K$119</v>
      </c>
    </row>
    <row r="46" spans="1:5" x14ac:dyDescent="0.25">
      <c r="A46" s="126" t="s">
        <v>584</v>
      </c>
      <c r="B46" s="126" t="s">
        <v>585</v>
      </c>
      <c r="C46" t="str">
        <f t="shared" si="0"/>
        <v>Adaptive costs B</v>
      </c>
      <c r="E46" t="str">
        <f t="shared" si="1"/>
        <v>$B$112:$K$119</v>
      </c>
    </row>
    <row r="47" spans="1:5" x14ac:dyDescent="0.25">
      <c r="A47" s="126" t="s">
        <v>586</v>
      </c>
      <c r="B47" s="126" t="s">
        <v>587</v>
      </c>
      <c r="C47" t="str">
        <f t="shared" si="0"/>
        <v>Adaptive costs A</v>
      </c>
      <c r="E47" t="str">
        <f t="shared" si="1"/>
        <v>$B$120:$K$120</v>
      </c>
    </row>
    <row r="48" spans="1:5" x14ac:dyDescent="0.25">
      <c r="A48" s="126" t="s">
        <v>588</v>
      </c>
      <c r="B48" s="126" t="s">
        <v>589</v>
      </c>
      <c r="C48" t="str">
        <f t="shared" si="0"/>
        <v>Adaptive costs B</v>
      </c>
      <c r="E48" t="str">
        <f t="shared" si="1"/>
        <v>$B$120:$K$120</v>
      </c>
    </row>
    <row r="49" spans="1:5" x14ac:dyDescent="0.25">
      <c r="A49" s="126" t="s">
        <v>590</v>
      </c>
      <c r="B49" s="126" t="s">
        <v>591</v>
      </c>
      <c r="C49" t="str">
        <f t="shared" si="0"/>
        <v>Adaptive costs A</v>
      </c>
      <c r="E49" t="str">
        <f t="shared" si="1"/>
        <v>$B$122:$K$129</v>
      </c>
    </row>
    <row r="50" spans="1:5" x14ac:dyDescent="0.25">
      <c r="A50" s="126" t="s">
        <v>592</v>
      </c>
      <c r="B50" s="126" t="s">
        <v>593</v>
      </c>
      <c r="C50" t="str">
        <f t="shared" si="0"/>
        <v>Adaptive costs B</v>
      </c>
      <c r="E50" t="str">
        <f t="shared" si="1"/>
        <v>$B$122:$K$129</v>
      </c>
    </row>
    <row r="51" spans="1:5" x14ac:dyDescent="0.25">
      <c r="A51" s="126" t="s">
        <v>594</v>
      </c>
      <c r="B51" s="126" t="s">
        <v>595</v>
      </c>
      <c r="C51" t="str">
        <f t="shared" si="0"/>
        <v>Adaptive costs A</v>
      </c>
      <c r="E51" t="str">
        <f t="shared" si="1"/>
        <v>$B$130:$K$130</v>
      </c>
    </row>
    <row r="52" spans="1:5" x14ac:dyDescent="0.25">
      <c r="A52" s="126" t="s">
        <v>596</v>
      </c>
      <c r="B52" s="126" t="s">
        <v>597</v>
      </c>
      <c r="C52" t="str">
        <f t="shared" si="0"/>
        <v>Adaptive costs B</v>
      </c>
      <c r="E52" t="str">
        <f t="shared" si="1"/>
        <v>$B$130:$K$130</v>
      </c>
    </row>
    <row r="53" spans="1:5" x14ac:dyDescent="0.25">
      <c r="A53" s="126" t="s">
        <v>598</v>
      </c>
      <c r="B53" s="126" t="s">
        <v>599</v>
      </c>
      <c r="C53" t="str">
        <f t="shared" si="0"/>
        <v>Impacts A</v>
      </c>
      <c r="E53" t="str">
        <f t="shared" si="1"/>
        <v>$C$436:$L$443</v>
      </c>
    </row>
    <row r="54" spans="1:5" x14ac:dyDescent="0.25">
      <c r="A54" s="126" t="s">
        <v>600</v>
      </c>
      <c r="B54" s="126" t="s">
        <v>601</v>
      </c>
      <c r="C54" t="str">
        <f t="shared" si="0"/>
        <v>Impacts B</v>
      </c>
      <c r="E54" t="str">
        <f t="shared" si="1"/>
        <v>$C$436:$L$443</v>
      </c>
    </row>
    <row r="55" spans="1:5" x14ac:dyDescent="0.25">
      <c r="A55" s="126" t="s">
        <v>602</v>
      </c>
      <c r="B55" s="126" t="s">
        <v>603</v>
      </c>
      <c r="C55" t="str">
        <f t="shared" si="0"/>
        <v>Impacts A</v>
      </c>
      <c r="E55" t="str">
        <f t="shared" si="1"/>
        <v>$C$444:$L$444</v>
      </c>
    </row>
    <row r="56" spans="1:5" x14ac:dyDescent="0.25">
      <c r="A56" s="126" t="s">
        <v>604</v>
      </c>
      <c r="B56" s="126" t="s">
        <v>605</v>
      </c>
      <c r="C56" t="str">
        <f t="shared" si="0"/>
        <v>Impacts A-B</v>
      </c>
      <c r="E56" t="str">
        <f t="shared" si="1"/>
        <v>$C$444:$L$444</v>
      </c>
    </row>
    <row r="57" spans="1:5" x14ac:dyDescent="0.25">
      <c r="A57" s="126" t="s">
        <v>606</v>
      </c>
      <c r="B57" s="126" t="s">
        <v>607</v>
      </c>
      <c r="C57" t="str">
        <f t="shared" si="0"/>
        <v>Impacts B</v>
      </c>
      <c r="E57" t="str">
        <f t="shared" si="1"/>
        <v>$C$444:$L$444</v>
      </c>
    </row>
    <row r="58" spans="1:5" x14ac:dyDescent="0.25">
      <c r="A58" s="126" t="s">
        <v>608</v>
      </c>
      <c r="B58" s="126" t="s">
        <v>609</v>
      </c>
      <c r="C58" t="str">
        <f t="shared" si="0"/>
        <v>Impacts A</v>
      </c>
      <c r="E58" t="str">
        <f t="shared" si="1"/>
        <v>$M$444</v>
      </c>
    </row>
    <row r="59" spans="1:5" x14ac:dyDescent="0.25">
      <c r="A59" s="126" t="s">
        <v>610</v>
      </c>
      <c r="B59" s="126" t="s">
        <v>611</v>
      </c>
      <c r="C59" t="str">
        <f t="shared" si="0"/>
        <v>Impacts B</v>
      </c>
      <c r="E59" t="str">
        <f t="shared" si="1"/>
        <v>$M$444</v>
      </c>
    </row>
    <row r="60" spans="1:5" x14ac:dyDescent="0.25">
      <c r="A60" s="126" t="s">
        <v>612</v>
      </c>
      <c r="B60" s="126" t="s">
        <v>613</v>
      </c>
      <c r="C60" t="str">
        <f t="shared" si="0"/>
        <v>Impacts A</v>
      </c>
      <c r="E60" t="str">
        <f t="shared" si="1"/>
        <v>$M$436:$M$443</v>
      </c>
    </row>
    <row r="61" spans="1:5" x14ac:dyDescent="0.25">
      <c r="A61" s="126" t="s">
        <v>614</v>
      </c>
      <c r="B61" s="126" t="s">
        <v>615</v>
      </c>
      <c r="C61" t="str">
        <f t="shared" si="0"/>
        <v>Impacts B</v>
      </c>
      <c r="E61" t="str">
        <f t="shared" si="1"/>
        <v>$M$436:$M$443</v>
      </c>
    </row>
    <row r="62" spans="1:5" x14ac:dyDescent="0.25">
      <c r="A62" s="126" t="s">
        <v>616</v>
      </c>
      <c r="B62" s="126" t="s">
        <v>617</v>
      </c>
      <c r="C62" t="str">
        <f t="shared" si="0"/>
        <v>Preventative costs A</v>
      </c>
      <c r="E62" t="str">
        <f t="shared" si="1"/>
        <v>$B$506:$K$513</v>
      </c>
    </row>
    <row r="63" spans="1:5" x14ac:dyDescent="0.25">
      <c r="A63" s="126" t="s">
        <v>618</v>
      </c>
      <c r="B63" s="126" t="s">
        <v>619</v>
      </c>
      <c r="C63" t="str">
        <f t="shared" si="0"/>
        <v>Preventative costs B</v>
      </c>
      <c r="E63" t="str">
        <f t="shared" si="1"/>
        <v>$B$506:$K$513</v>
      </c>
    </row>
    <row r="64" spans="1:5" x14ac:dyDescent="0.25">
      <c r="A64" s="126" t="s">
        <v>620</v>
      </c>
      <c r="B64" s="126" t="s">
        <v>621</v>
      </c>
      <c r="C64" t="str">
        <f t="shared" si="0"/>
        <v>Preventative costs A</v>
      </c>
      <c r="E64" t="str">
        <f t="shared" si="1"/>
        <v>$B$497:$K$504</v>
      </c>
    </row>
    <row r="65" spans="1:5" x14ac:dyDescent="0.25">
      <c r="A65" s="126" t="s">
        <v>622</v>
      </c>
      <c r="B65" s="126" t="s">
        <v>623</v>
      </c>
      <c r="C65" t="str">
        <f t="shared" si="0"/>
        <v>Preventative costs B</v>
      </c>
      <c r="E65" t="str">
        <f t="shared" si="1"/>
        <v>$B$497:$K$504</v>
      </c>
    </row>
    <row r="66" spans="1:5" x14ac:dyDescent="0.25">
      <c r="A66" s="126" t="s">
        <v>624</v>
      </c>
      <c r="B66" s="126" t="s">
        <v>625</v>
      </c>
      <c r="C66" t="str">
        <f t="shared" ref="C66:C129" si="2">IF(ISERR(FIND("'",B66)),MID(B66,FIND("=",B66)+1,FIND("!",B66)-(FIND("=",B66)+1)-1),MID(B66,FIND("='",B66)+2,FIND("!",B66)-(FIND("='",B66)+2)-1))</f>
        <v>Preventative costs A</v>
      </c>
      <c r="E66" t="str">
        <f t="shared" si="1"/>
        <v>$B$524:$K$531</v>
      </c>
    </row>
    <row r="67" spans="1:5" x14ac:dyDescent="0.25">
      <c r="A67" s="126" t="s">
        <v>626</v>
      </c>
      <c r="B67" s="126" t="s">
        <v>627</v>
      </c>
      <c r="C67" t="str">
        <f t="shared" si="2"/>
        <v>Preventative costs B</v>
      </c>
      <c r="E67" t="str">
        <f t="shared" ref="E67:E130" si="3">RIGHT(B67,LEN(B67)-FIND("!",B67))</f>
        <v>$B$524:$K$531</v>
      </c>
    </row>
    <row r="68" spans="1:5" x14ac:dyDescent="0.25">
      <c r="A68" s="126" t="s">
        <v>628</v>
      </c>
      <c r="B68" s="126" t="s">
        <v>629</v>
      </c>
      <c r="C68" t="str">
        <f t="shared" si="2"/>
        <v>Preventative costs A</v>
      </c>
      <c r="E68" t="str">
        <f t="shared" si="3"/>
        <v>$B$515:$K$522</v>
      </c>
    </row>
    <row r="69" spans="1:5" x14ac:dyDescent="0.25">
      <c r="A69" s="126" t="s">
        <v>630</v>
      </c>
      <c r="B69" s="126" t="s">
        <v>631</v>
      </c>
      <c r="C69" t="str">
        <f t="shared" si="2"/>
        <v>Preventative costs B</v>
      </c>
      <c r="E69" t="str">
        <f t="shared" si="3"/>
        <v>$B$515:$K$522</v>
      </c>
    </row>
    <row r="70" spans="1:5" x14ac:dyDescent="0.25">
      <c r="A70" s="126" t="s">
        <v>632</v>
      </c>
      <c r="B70" s="126" t="s">
        <v>633</v>
      </c>
      <c r="C70" t="str">
        <f t="shared" si="2"/>
        <v>Base data</v>
      </c>
      <c r="E70" t="str">
        <f t="shared" si="3"/>
        <v>$C$17</v>
      </c>
    </row>
    <row r="71" spans="1:5" x14ac:dyDescent="0.25">
      <c r="A71" s="126" t="s">
        <v>634</v>
      </c>
      <c r="B71" s="126" t="s">
        <v>635</v>
      </c>
      <c r="C71" t="str">
        <f t="shared" si="2"/>
        <v>Library data</v>
      </c>
      <c r="E71" t="str">
        <f t="shared" si="3"/>
        <v>$C$4</v>
      </c>
    </row>
    <row r="72" spans="1:5" x14ac:dyDescent="0.25">
      <c r="A72" s="126" t="s">
        <v>636</v>
      </c>
      <c r="B72" s="126" t="s">
        <v>637</v>
      </c>
      <c r="C72" t="str">
        <f t="shared" si="2"/>
        <v>Base data</v>
      </c>
      <c r="E72" t="str">
        <f t="shared" si="3"/>
        <v>$E$17</v>
      </c>
    </row>
    <row r="73" spans="1:5" x14ac:dyDescent="0.25">
      <c r="A73" s="126" t="s">
        <v>638</v>
      </c>
      <c r="B73" s="126" t="s">
        <v>639</v>
      </c>
      <c r="C73" t="str">
        <f t="shared" si="2"/>
        <v>Base data</v>
      </c>
      <c r="E73" t="str">
        <f t="shared" si="3"/>
        <v>$D$17</v>
      </c>
    </row>
    <row r="74" spans="1:5" x14ac:dyDescent="0.25">
      <c r="A74" s="126" t="s">
        <v>640</v>
      </c>
      <c r="B74" s="126" t="s">
        <v>641</v>
      </c>
      <c r="C74" t="str">
        <f t="shared" si="2"/>
        <v>Preventative costs A</v>
      </c>
      <c r="E74" t="str">
        <f t="shared" si="3"/>
        <v>$B$434:$K$441</v>
      </c>
    </row>
    <row r="75" spans="1:5" x14ac:dyDescent="0.25">
      <c r="A75" s="126" t="s">
        <v>642</v>
      </c>
      <c r="B75" s="126" t="s">
        <v>643</v>
      </c>
      <c r="C75" t="str">
        <f t="shared" si="2"/>
        <v>Preventative costs A</v>
      </c>
      <c r="E75" t="str">
        <f t="shared" si="3"/>
        <v>$B$425:$K$432</v>
      </c>
    </row>
    <row r="76" spans="1:5" x14ac:dyDescent="0.25">
      <c r="A76" s="126" t="s">
        <v>644</v>
      </c>
      <c r="B76" s="126" t="s">
        <v>645</v>
      </c>
      <c r="C76" t="str">
        <f t="shared" si="2"/>
        <v>Preventative costs A</v>
      </c>
      <c r="E76" t="str">
        <f t="shared" si="3"/>
        <v>$B$452:$K$459</v>
      </c>
    </row>
    <row r="77" spans="1:5" x14ac:dyDescent="0.25">
      <c r="A77" s="126" t="s">
        <v>646</v>
      </c>
      <c r="B77" s="126" t="s">
        <v>647</v>
      </c>
      <c r="C77" t="str">
        <f t="shared" si="2"/>
        <v>Preventative costs A</v>
      </c>
      <c r="E77" t="str">
        <f t="shared" si="3"/>
        <v>$B$443:$K$450</v>
      </c>
    </row>
    <row r="78" spans="1:5" x14ac:dyDescent="0.25">
      <c r="A78" s="126" t="s">
        <v>648</v>
      </c>
      <c r="B78" s="126" t="s">
        <v>649</v>
      </c>
      <c r="C78" t="str">
        <f t="shared" si="2"/>
        <v>Base data</v>
      </c>
      <c r="E78" t="str">
        <f t="shared" si="3"/>
        <v>$C$24:$C$31</v>
      </c>
    </row>
    <row r="79" spans="1:5" x14ac:dyDescent="0.25">
      <c r="A79" s="126" t="s">
        <v>650</v>
      </c>
      <c r="B79" s="126" t="s">
        <v>651</v>
      </c>
      <c r="C79" t="str">
        <f t="shared" si="2"/>
        <v>Climate A</v>
      </c>
      <c r="E79" t="str">
        <f t="shared" si="3"/>
        <v>$D$3</v>
      </c>
    </row>
    <row r="80" spans="1:5" x14ac:dyDescent="0.25">
      <c r="A80" s="126" t="s">
        <v>652</v>
      </c>
      <c r="B80" s="126" t="s">
        <v>653</v>
      </c>
      <c r="C80" t="str">
        <f t="shared" si="2"/>
        <v>Climate A</v>
      </c>
      <c r="E80" t="str">
        <f t="shared" si="3"/>
        <v>$D$19:$M$19</v>
      </c>
    </row>
    <row r="81" spans="1:5" x14ac:dyDescent="0.25">
      <c r="A81" s="126" t="s">
        <v>654</v>
      </c>
      <c r="B81" s="126" t="s">
        <v>655</v>
      </c>
      <c r="C81" t="str">
        <f t="shared" si="2"/>
        <v>Climate B</v>
      </c>
      <c r="E81" t="str">
        <f t="shared" si="3"/>
        <v>$D$19:$M$19</v>
      </c>
    </row>
    <row r="82" spans="1:5" x14ac:dyDescent="0.25">
      <c r="A82" s="126" t="s">
        <v>656</v>
      </c>
      <c r="B82" s="126" t="s">
        <v>657</v>
      </c>
      <c r="C82" t="str">
        <f t="shared" si="2"/>
        <v>Impacts A</v>
      </c>
      <c r="E82" t="str">
        <f t="shared" si="3"/>
        <v>$C$32:$L$39</v>
      </c>
    </row>
    <row r="83" spans="1:5" x14ac:dyDescent="0.25">
      <c r="A83" s="126" t="s">
        <v>658</v>
      </c>
      <c r="B83" s="126" t="s">
        <v>659</v>
      </c>
      <c r="C83" t="str">
        <f t="shared" si="2"/>
        <v>Impacts B</v>
      </c>
      <c r="E83" t="str">
        <f t="shared" si="3"/>
        <v>$C$32:$L$39</v>
      </c>
    </row>
    <row r="84" spans="1:5" x14ac:dyDescent="0.25">
      <c r="A84" s="126" t="s">
        <v>660</v>
      </c>
      <c r="B84" s="126" t="s">
        <v>661</v>
      </c>
      <c r="C84" t="str">
        <f t="shared" si="2"/>
        <v>Impacts A</v>
      </c>
      <c r="E84" t="str">
        <f t="shared" si="3"/>
        <v>$C$41:$L$48</v>
      </c>
    </row>
    <row r="85" spans="1:5" x14ac:dyDescent="0.25">
      <c r="A85" s="126" t="s">
        <v>662</v>
      </c>
      <c r="B85" s="126" t="s">
        <v>663</v>
      </c>
      <c r="C85" t="str">
        <f t="shared" si="2"/>
        <v>Impacts B</v>
      </c>
      <c r="E85" t="str">
        <f t="shared" si="3"/>
        <v>$C$41:$L$48</v>
      </c>
    </row>
    <row r="86" spans="1:5" x14ac:dyDescent="0.25">
      <c r="A86" s="126" t="s">
        <v>664</v>
      </c>
      <c r="B86" s="126" t="s">
        <v>665</v>
      </c>
      <c r="C86" t="str">
        <f t="shared" si="2"/>
        <v>Impacts A</v>
      </c>
      <c r="E86" t="str">
        <f t="shared" si="3"/>
        <v>$C$23:$L$30</v>
      </c>
    </row>
    <row r="87" spans="1:5" x14ac:dyDescent="0.25">
      <c r="A87" s="126" t="s">
        <v>666</v>
      </c>
      <c r="B87" s="126" t="s">
        <v>667</v>
      </c>
      <c r="C87" t="str">
        <f t="shared" si="2"/>
        <v>Impacts B</v>
      </c>
      <c r="E87" t="str">
        <f t="shared" si="3"/>
        <v>$C$23:$L$30</v>
      </c>
    </row>
    <row r="88" spans="1:5" x14ac:dyDescent="0.25">
      <c r="A88" s="126" t="s">
        <v>668</v>
      </c>
      <c r="B88" s="126" t="s">
        <v>669</v>
      </c>
      <c r="C88" t="str">
        <f t="shared" si="2"/>
        <v>Library data</v>
      </c>
      <c r="E88" t="str">
        <f t="shared" si="3"/>
        <v>$C$134</v>
      </c>
    </row>
    <row r="89" spans="1:5" x14ac:dyDescent="0.25">
      <c r="A89" s="126" t="s">
        <v>362</v>
      </c>
      <c r="B89" s="126" t="s">
        <v>670</v>
      </c>
      <c r="C89" t="str">
        <f t="shared" si="2"/>
        <v>Preventative costs A</v>
      </c>
      <c r="E89" t="str">
        <f t="shared" si="3"/>
        <v>$B$233:$K$233</v>
      </c>
    </row>
    <row r="90" spans="1:5" x14ac:dyDescent="0.25">
      <c r="A90" s="126" t="s">
        <v>671</v>
      </c>
      <c r="B90" s="126" t="s">
        <v>672</v>
      </c>
      <c r="C90" t="str">
        <f t="shared" si="2"/>
        <v>Library data</v>
      </c>
      <c r="E90" t="str">
        <f t="shared" si="3"/>
        <v>$C$133</v>
      </c>
    </row>
    <row r="91" spans="1:5" x14ac:dyDescent="0.25">
      <c r="A91" s="126" t="s">
        <v>673</v>
      </c>
      <c r="B91" s="126" t="s">
        <v>674</v>
      </c>
      <c r="C91" t="str">
        <f t="shared" si="2"/>
        <v>Base data</v>
      </c>
      <c r="E91" t="str">
        <f t="shared" si="3"/>
        <v>$C$77:$L$84</v>
      </c>
    </row>
    <row r="92" spans="1:5" x14ac:dyDescent="0.25">
      <c r="A92" s="126" t="s">
        <v>675</v>
      </c>
      <c r="B92" s="126" t="s">
        <v>676</v>
      </c>
      <c r="C92" t="str">
        <f t="shared" si="2"/>
        <v>Base data</v>
      </c>
      <c r="E92" t="str">
        <f t="shared" si="3"/>
        <v>$C$68:$L$75</v>
      </c>
    </row>
    <row r="93" spans="1:5" x14ac:dyDescent="0.25">
      <c r="A93" s="126" t="s">
        <v>677</v>
      </c>
      <c r="B93" s="126" t="s">
        <v>678</v>
      </c>
      <c r="C93" t="str">
        <f t="shared" si="2"/>
        <v>Base data</v>
      </c>
      <c r="E93" t="str">
        <f t="shared" si="3"/>
        <v>$C$95:$L$102</v>
      </c>
    </row>
    <row r="94" spans="1:5" x14ac:dyDescent="0.25">
      <c r="A94" s="126" t="s">
        <v>679</v>
      </c>
      <c r="B94" s="126" t="s">
        <v>680</v>
      </c>
      <c r="C94" t="str">
        <f t="shared" si="2"/>
        <v>Base data</v>
      </c>
      <c r="E94" t="str">
        <f t="shared" si="3"/>
        <v>$C$86:$L$93</v>
      </c>
    </row>
    <row r="95" spans="1:5" x14ac:dyDescent="0.25">
      <c r="A95" s="126" t="s">
        <v>681</v>
      </c>
      <c r="B95" s="126" t="s">
        <v>682</v>
      </c>
      <c r="C95" t="str">
        <f t="shared" si="2"/>
        <v>Preventative costs A</v>
      </c>
      <c r="E95" t="str">
        <f t="shared" si="3"/>
        <v>$B$470:$K$477</v>
      </c>
    </row>
    <row r="96" spans="1:5" x14ac:dyDescent="0.25">
      <c r="A96" s="126" t="s">
        <v>683</v>
      </c>
      <c r="B96" s="126" t="s">
        <v>684</v>
      </c>
      <c r="C96" t="str">
        <f t="shared" si="2"/>
        <v>Preventative costs A</v>
      </c>
      <c r="E96" t="str">
        <f t="shared" si="3"/>
        <v>$B$461:$K$468</v>
      </c>
    </row>
    <row r="97" spans="1:5" x14ac:dyDescent="0.25">
      <c r="A97" s="126" t="s">
        <v>685</v>
      </c>
      <c r="B97" s="126" t="s">
        <v>686</v>
      </c>
      <c r="C97" t="str">
        <f t="shared" si="2"/>
        <v>Preventative costs A</v>
      </c>
      <c r="E97" t="str">
        <f t="shared" si="3"/>
        <v>$B$488:$K$495</v>
      </c>
    </row>
    <row r="98" spans="1:5" x14ac:dyDescent="0.25">
      <c r="A98" s="126" t="s">
        <v>687</v>
      </c>
      <c r="B98" s="126" t="s">
        <v>688</v>
      </c>
      <c r="C98" t="str">
        <f t="shared" si="2"/>
        <v>Preventative costs A</v>
      </c>
      <c r="E98" t="str">
        <f t="shared" si="3"/>
        <v>$B$479:$K$486</v>
      </c>
    </row>
    <row r="99" spans="1:5" x14ac:dyDescent="0.25">
      <c r="A99" s="126" t="s">
        <v>689</v>
      </c>
      <c r="B99" s="126" t="s">
        <v>690</v>
      </c>
      <c r="C99" t="str">
        <f t="shared" si="2"/>
        <v>Preventative costs A</v>
      </c>
      <c r="E99" t="str">
        <f t="shared" si="3"/>
        <v>$B$398:$K$405</v>
      </c>
    </row>
    <row r="100" spans="1:5" x14ac:dyDescent="0.25">
      <c r="A100" s="126" t="s">
        <v>691</v>
      </c>
      <c r="B100" s="126" t="s">
        <v>692</v>
      </c>
      <c r="C100" t="str">
        <f t="shared" si="2"/>
        <v>Preventative costs A</v>
      </c>
      <c r="E100" t="str">
        <f t="shared" si="3"/>
        <v>$B$389:$K$396</v>
      </c>
    </row>
    <row r="101" spans="1:5" x14ac:dyDescent="0.25">
      <c r="A101" s="126" t="s">
        <v>693</v>
      </c>
      <c r="B101" s="126" t="s">
        <v>694</v>
      </c>
      <c r="C101" t="str">
        <f t="shared" si="2"/>
        <v>Preventative costs A</v>
      </c>
      <c r="E101" t="str">
        <f t="shared" si="3"/>
        <v>$B$416:$K$423</v>
      </c>
    </row>
    <row r="102" spans="1:5" x14ac:dyDescent="0.25">
      <c r="A102" s="126" t="s">
        <v>695</v>
      </c>
      <c r="B102" s="126" t="s">
        <v>696</v>
      </c>
      <c r="C102" t="str">
        <f t="shared" si="2"/>
        <v>Preventative costs A</v>
      </c>
      <c r="E102" t="str">
        <f t="shared" si="3"/>
        <v>$B$407:$K$414</v>
      </c>
    </row>
    <row r="103" spans="1:5" x14ac:dyDescent="0.25">
      <c r="A103" s="126" t="s">
        <v>697</v>
      </c>
      <c r="B103" s="126" t="s">
        <v>698</v>
      </c>
      <c r="C103" t="str">
        <f t="shared" si="2"/>
        <v>Base data</v>
      </c>
      <c r="E103" t="str">
        <f t="shared" si="3"/>
        <v>$B$19:$E$19</v>
      </c>
    </row>
    <row r="104" spans="1:5" x14ac:dyDescent="0.25">
      <c r="A104" s="126" t="s">
        <v>699</v>
      </c>
      <c r="B104" s="126" t="s">
        <v>700</v>
      </c>
      <c r="C104" t="str">
        <f t="shared" si="2"/>
        <v>Climate A</v>
      </c>
      <c r="E104" t="str">
        <f t="shared" si="3"/>
        <v>$D$36:$M$36</v>
      </c>
    </row>
    <row r="105" spans="1:5" x14ac:dyDescent="0.25">
      <c r="A105" s="126" t="s">
        <v>701</v>
      </c>
      <c r="B105" s="126" t="s">
        <v>702</v>
      </c>
      <c r="C105" t="str">
        <f t="shared" si="2"/>
        <v>Base data</v>
      </c>
      <c r="E105" t="str">
        <f t="shared" si="3"/>
        <v>$C$19</v>
      </c>
    </row>
    <row r="106" spans="1:5" x14ac:dyDescent="0.25">
      <c r="A106" s="126" t="s">
        <v>703</v>
      </c>
      <c r="B106" s="126" t="s">
        <v>704</v>
      </c>
      <c r="C106" t="str">
        <f t="shared" si="2"/>
        <v>Climate B</v>
      </c>
      <c r="E106" t="str">
        <f t="shared" si="3"/>
        <v>$D$36:$M$36</v>
      </c>
    </row>
    <row r="107" spans="1:5" x14ac:dyDescent="0.25">
      <c r="A107" s="126" t="s">
        <v>705</v>
      </c>
      <c r="B107" s="126" t="s">
        <v>706</v>
      </c>
      <c r="C107" t="str">
        <f t="shared" si="2"/>
        <v>Climate A</v>
      </c>
      <c r="E107" t="str">
        <f t="shared" si="3"/>
        <v>$D$26:$M$26</v>
      </c>
    </row>
    <row r="108" spans="1:5" x14ac:dyDescent="0.25">
      <c r="A108" s="126" t="s">
        <v>707</v>
      </c>
      <c r="B108" s="126" t="s">
        <v>708</v>
      </c>
      <c r="C108" t="str">
        <f t="shared" si="2"/>
        <v>Base data</v>
      </c>
      <c r="E108" t="str">
        <f t="shared" si="3"/>
        <v>$B$19</v>
      </c>
    </row>
    <row r="109" spans="1:5" x14ac:dyDescent="0.25">
      <c r="A109" s="126" t="s">
        <v>709</v>
      </c>
      <c r="B109" s="126" t="s">
        <v>710</v>
      </c>
      <c r="C109" t="str">
        <f t="shared" si="2"/>
        <v>Climate B</v>
      </c>
      <c r="E109" t="str">
        <f t="shared" si="3"/>
        <v>$D$26:$M$26</v>
      </c>
    </row>
    <row r="110" spans="1:5" x14ac:dyDescent="0.25">
      <c r="A110" s="126" t="s">
        <v>711</v>
      </c>
      <c r="B110" s="126" t="s">
        <v>712</v>
      </c>
      <c r="C110" t="str">
        <f t="shared" si="2"/>
        <v>Climate A</v>
      </c>
      <c r="E110" t="str">
        <f t="shared" si="3"/>
        <v>$D$23:$M$23</v>
      </c>
    </row>
    <row r="111" spans="1:5" x14ac:dyDescent="0.25">
      <c r="A111" s="126" t="s">
        <v>713</v>
      </c>
      <c r="B111" s="126" t="s">
        <v>714</v>
      </c>
      <c r="C111" t="str">
        <f t="shared" si="2"/>
        <v>Climate B</v>
      </c>
      <c r="E111" t="str">
        <f t="shared" si="3"/>
        <v>$D$23:$M$23</v>
      </c>
    </row>
    <row r="112" spans="1:5" x14ac:dyDescent="0.25">
      <c r="A112" s="126" t="s">
        <v>715</v>
      </c>
      <c r="B112" s="126" t="s">
        <v>716</v>
      </c>
      <c r="C112" t="str">
        <f t="shared" si="2"/>
        <v>Climate A</v>
      </c>
      <c r="E112" t="str">
        <f t="shared" si="3"/>
        <v>$D$60:$M$60</v>
      </c>
    </row>
    <row r="113" spans="1:5" x14ac:dyDescent="0.25">
      <c r="A113" s="126" t="s">
        <v>717</v>
      </c>
      <c r="B113" s="126" t="s">
        <v>718</v>
      </c>
      <c r="C113" t="str">
        <f t="shared" si="2"/>
        <v>Base data</v>
      </c>
      <c r="E113" t="str">
        <f t="shared" si="3"/>
        <v>$E$19</v>
      </c>
    </row>
    <row r="114" spans="1:5" x14ac:dyDescent="0.25">
      <c r="A114" s="126" t="s">
        <v>719</v>
      </c>
      <c r="B114" s="126" t="s">
        <v>720</v>
      </c>
      <c r="C114" t="str">
        <f t="shared" si="2"/>
        <v>Climate B</v>
      </c>
      <c r="E114" t="str">
        <f t="shared" si="3"/>
        <v>$D$60:$M$60</v>
      </c>
    </row>
    <row r="115" spans="1:5" x14ac:dyDescent="0.25">
      <c r="A115" s="126" t="s">
        <v>721</v>
      </c>
      <c r="B115" s="126" t="s">
        <v>722</v>
      </c>
      <c r="C115" t="str">
        <f t="shared" si="2"/>
        <v>Climate A</v>
      </c>
      <c r="E115" t="str">
        <f t="shared" si="3"/>
        <v>$D$46:$M$46</v>
      </c>
    </row>
    <row r="116" spans="1:5" x14ac:dyDescent="0.25">
      <c r="A116" s="126" t="s">
        <v>723</v>
      </c>
      <c r="B116" s="126" t="s">
        <v>724</v>
      </c>
      <c r="C116" t="str">
        <f t="shared" si="2"/>
        <v>Base data</v>
      </c>
      <c r="E116" t="str">
        <f t="shared" si="3"/>
        <v>$D$19</v>
      </c>
    </row>
    <row r="117" spans="1:5" x14ac:dyDescent="0.25">
      <c r="A117" s="126" t="s">
        <v>725</v>
      </c>
      <c r="B117" s="126" t="s">
        <v>726</v>
      </c>
      <c r="C117" t="str">
        <f t="shared" si="2"/>
        <v>Climate B</v>
      </c>
      <c r="E117" t="str">
        <f t="shared" si="3"/>
        <v>$D$46:$M$46</v>
      </c>
    </row>
    <row r="118" spans="1:5" x14ac:dyDescent="0.25">
      <c r="A118" s="126" t="s">
        <v>727</v>
      </c>
      <c r="B118" s="126" t="s">
        <v>728</v>
      </c>
      <c r="C118" t="str">
        <f t="shared" si="2"/>
        <v>Preventative costs A</v>
      </c>
      <c r="E118" t="str">
        <f t="shared" si="3"/>
        <v>$B$236:$K$236</v>
      </c>
    </row>
    <row r="119" spans="1:5" x14ac:dyDescent="0.25">
      <c r="A119" s="126" t="s">
        <v>729</v>
      </c>
      <c r="B119" s="126" t="s">
        <v>730</v>
      </c>
      <c r="C119" t="str">
        <f t="shared" si="2"/>
        <v>Preventative costs A</v>
      </c>
      <c r="E119" t="str">
        <f t="shared" si="3"/>
        <v>$B$235:$K$235</v>
      </c>
    </row>
    <row r="120" spans="1:5" x14ac:dyDescent="0.25">
      <c r="A120" s="126" t="s">
        <v>731</v>
      </c>
      <c r="B120" s="126" t="s">
        <v>732</v>
      </c>
      <c r="C120" t="str">
        <f t="shared" si="2"/>
        <v>Preventative costs A</v>
      </c>
      <c r="E120" t="str">
        <f t="shared" si="3"/>
        <v>$B$238:$K$238</v>
      </c>
    </row>
    <row r="121" spans="1:5" x14ac:dyDescent="0.25">
      <c r="A121" s="126" t="s">
        <v>733</v>
      </c>
      <c r="B121" s="126" t="s">
        <v>734</v>
      </c>
      <c r="C121" t="str">
        <f t="shared" si="2"/>
        <v>Library data</v>
      </c>
      <c r="E121" t="str">
        <f t="shared" si="3"/>
        <v>$C$79</v>
      </c>
    </row>
    <row r="122" spans="1:5" x14ac:dyDescent="0.25">
      <c r="A122" s="126" t="s">
        <v>735</v>
      </c>
      <c r="B122" s="126" t="s">
        <v>736</v>
      </c>
      <c r="C122" t="str">
        <f t="shared" si="2"/>
        <v>Library data</v>
      </c>
      <c r="E122" t="str">
        <f t="shared" si="3"/>
        <v>$C$72</v>
      </c>
    </row>
    <row r="123" spans="1:5" x14ac:dyDescent="0.25">
      <c r="A123" s="126" t="s">
        <v>737</v>
      </c>
      <c r="B123" s="126" t="s">
        <v>738</v>
      </c>
      <c r="C123" t="str">
        <f t="shared" si="2"/>
        <v>Library data</v>
      </c>
      <c r="E123" t="str">
        <f t="shared" si="3"/>
        <v>$C$93</v>
      </c>
    </row>
    <row r="124" spans="1:5" x14ac:dyDescent="0.25">
      <c r="A124" s="126" t="s">
        <v>739</v>
      </c>
      <c r="B124" s="126" t="s">
        <v>740</v>
      </c>
      <c r="C124" t="str">
        <f t="shared" si="2"/>
        <v>Library data</v>
      </c>
      <c r="E124" t="str">
        <f t="shared" si="3"/>
        <v>$C$86</v>
      </c>
    </row>
    <row r="125" spans="1:5" x14ac:dyDescent="0.25">
      <c r="A125" s="126" t="s">
        <v>741</v>
      </c>
      <c r="B125" s="126" t="s">
        <v>742</v>
      </c>
      <c r="C125" t="str">
        <f t="shared" si="2"/>
        <v>Preventative costs A</v>
      </c>
      <c r="E125" t="str">
        <f t="shared" si="3"/>
        <v>$B$237:$K$237</v>
      </c>
    </row>
    <row r="126" spans="1:5" x14ac:dyDescent="0.25">
      <c r="A126" s="126" t="s">
        <v>743</v>
      </c>
      <c r="B126" s="126" t="s">
        <v>744</v>
      </c>
      <c r="C126" t="str">
        <f t="shared" si="2"/>
        <v>Library data</v>
      </c>
      <c r="E126" t="str">
        <f t="shared" si="3"/>
        <v>$C$127</v>
      </c>
    </row>
    <row r="127" spans="1:5" x14ac:dyDescent="0.25">
      <c r="A127" s="126" t="s">
        <v>745</v>
      </c>
      <c r="B127" s="126" t="s">
        <v>746</v>
      </c>
      <c r="C127" t="str">
        <f t="shared" si="2"/>
        <v>Library data</v>
      </c>
      <c r="E127" t="str">
        <f t="shared" si="3"/>
        <v>$C$126</v>
      </c>
    </row>
    <row r="128" spans="1:5" x14ac:dyDescent="0.25">
      <c r="A128" s="126" t="s">
        <v>747</v>
      </c>
      <c r="B128" s="126" t="s">
        <v>748</v>
      </c>
      <c r="C128" t="str">
        <f t="shared" si="2"/>
        <v>Preventative costs A</v>
      </c>
      <c r="E128" t="str">
        <f t="shared" si="3"/>
        <v>$B$94:$K$101</v>
      </c>
    </row>
    <row r="129" spans="1:5" x14ac:dyDescent="0.25">
      <c r="A129" s="126" t="s">
        <v>749</v>
      </c>
      <c r="B129" s="126" t="s">
        <v>750</v>
      </c>
      <c r="C129" t="str">
        <f t="shared" si="2"/>
        <v>Preventative costs B</v>
      </c>
      <c r="E129" t="str">
        <f t="shared" si="3"/>
        <v>$B$94:$K$101</v>
      </c>
    </row>
    <row r="130" spans="1:5" x14ac:dyDescent="0.25">
      <c r="A130" s="126" t="s">
        <v>751</v>
      </c>
      <c r="B130" s="126" t="s">
        <v>752</v>
      </c>
      <c r="C130" t="str">
        <f t="shared" ref="C130:C193" si="4">IF(ISERR(FIND("'",B130)),MID(B130,FIND("=",B130)+1,FIND("!",B130)-(FIND("=",B130)+1)-1),MID(B130,FIND("='",B130)+2,FIND("!",B130)-(FIND("='",B130)+2)-1))</f>
        <v>Preventative costs A</v>
      </c>
      <c r="E130" t="str">
        <f t="shared" si="3"/>
        <v>$B$85:$K$92</v>
      </c>
    </row>
    <row r="131" spans="1:5" x14ac:dyDescent="0.25">
      <c r="A131" s="126" t="s">
        <v>753</v>
      </c>
      <c r="B131" s="126" t="s">
        <v>754</v>
      </c>
      <c r="C131" t="str">
        <f t="shared" si="4"/>
        <v>Preventative costs B</v>
      </c>
      <c r="E131" t="str">
        <f t="shared" ref="E131:E194" si="5">RIGHT(B131,LEN(B131)-FIND("!",B131))</f>
        <v>$B$85:$K$92</v>
      </c>
    </row>
    <row r="132" spans="1:5" x14ac:dyDescent="0.25">
      <c r="A132" s="126" t="s">
        <v>755</v>
      </c>
      <c r="B132" s="126" t="s">
        <v>756</v>
      </c>
      <c r="C132" t="str">
        <f t="shared" si="4"/>
        <v>Preventative costs A</v>
      </c>
      <c r="E132" t="str">
        <f t="shared" si="5"/>
        <v>$B$112:$K$119</v>
      </c>
    </row>
    <row r="133" spans="1:5" x14ac:dyDescent="0.25">
      <c r="A133" s="126" t="s">
        <v>757</v>
      </c>
      <c r="B133" s="126" t="s">
        <v>758</v>
      </c>
      <c r="C133" t="str">
        <f t="shared" si="4"/>
        <v>Preventative costs B</v>
      </c>
      <c r="E133" t="str">
        <f t="shared" si="5"/>
        <v>$B$112:$K$119</v>
      </c>
    </row>
    <row r="134" spans="1:5" x14ac:dyDescent="0.25">
      <c r="A134" s="126" t="s">
        <v>759</v>
      </c>
      <c r="B134" s="126" t="s">
        <v>760</v>
      </c>
      <c r="C134" t="str">
        <f t="shared" si="4"/>
        <v>Preventative costs A</v>
      </c>
      <c r="E134" t="str">
        <f t="shared" si="5"/>
        <v>$B$103:$K$110</v>
      </c>
    </row>
    <row r="135" spans="1:5" x14ac:dyDescent="0.25">
      <c r="A135" s="126" t="s">
        <v>761</v>
      </c>
      <c r="B135" s="126" t="s">
        <v>762</v>
      </c>
      <c r="C135" t="str">
        <f t="shared" si="4"/>
        <v>Preventative costs B</v>
      </c>
      <c r="E135" t="str">
        <f t="shared" si="5"/>
        <v>$B$103:$K$110</v>
      </c>
    </row>
    <row r="136" spans="1:5" x14ac:dyDescent="0.25">
      <c r="A136" s="126" t="s">
        <v>763</v>
      </c>
      <c r="B136" s="126" t="s">
        <v>764</v>
      </c>
      <c r="C136" t="str">
        <f t="shared" si="4"/>
        <v>Preventative costs A</v>
      </c>
      <c r="E136" t="str">
        <f t="shared" si="5"/>
        <v>$B$130:$K$137</v>
      </c>
    </row>
    <row r="137" spans="1:5" x14ac:dyDescent="0.25">
      <c r="A137" s="126" t="s">
        <v>765</v>
      </c>
      <c r="B137" s="126" t="s">
        <v>766</v>
      </c>
      <c r="C137" t="str">
        <f t="shared" si="4"/>
        <v>Preventative costs B</v>
      </c>
      <c r="E137" t="str">
        <f t="shared" si="5"/>
        <v>$B$130:$K$137</v>
      </c>
    </row>
    <row r="138" spans="1:5" x14ac:dyDescent="0.25">
      <c r="A138" s="126" t="s">
        <v>767</v>
      </c>
      <c r="B138" s="126" t="s">
        <v>768</v>
      </c>
      <c r="C138" t="str">
        <f t="shared" si="4"/>
        <v>Preventative costs A</v>
      </c>
      <c r="E138" t="str">
        <f t="shared" si="5"/>
        <v>$B$121:$K$128</v>
      </c>
    </row>
    <row r="139" spans="1:5" x14ac:dyDescent="0.25">
      <c r="A139" s="126" t="s">
        <v>769</v>
      </c>
      <c r="B139" s="126" t="s">
        <v>770</v>
      </c>
      <c r="C139" t="str">
        <f t="shared" si="4"/>
        <v>Preventative costs B</v>
      </c>
      <c r="E139" t="str">
        <f t="shared" si="5"/>
        <v>$B$121:$K$128</v>
      </c>
    </row>
    <row r="140" spans="1:5" x14ac:dyDescent="0.25">
      <c r="A140" s="126" t="s">
        <v>771</v>
      </c>
      <c r="B140" s="126" t="s">
        <v>772</v>
      </c>
      <c r="C140" t="str">
        <f t="shared" si="4"/>
        <v>Preventative costs A</v>
      </c>
      <c r="E140" t="str">
        <f t="shared" si="5"/>
        <v>$B$148:$K$155</v>
      </c>
    </row>
    <row r="141" spans="1:5" x14ac:dyDescent="0.25">
      <c r="A141" s="126" t="s">
        <v>773</v>
      </c>
      <c r="B141" s="126" t="s">
        <v>774</v>
      </c>
      <c r="C141" t="str">
        <f t="shared" si="4"/>
        <v>Preventative costs B</v>
      </c>
      <c r="E141" t="str">
        <f t="shared" si="5"/>
        <v>$B$148:$K$155</v>
      </c>
    </row>
    <row r="142" spans="1:5" x14ac:dyDescent="0.25">
      <c r="A142" s="126" t="s">
        <v>775</v>
      </c>
      <c r="B142" s="126" t="s">
        <v>776</v>
      </c>
      <c r="C142" t="str">
        <f t="shared" si="4"/>
        <v>Preventative costs A</v>
      </c>
      <c r="E142" t="str">
        <f t="shared" si="5"/>
        <v>$B$139:$K$146</v>
      </c>
    </row>
    <row r="143" spans="1:5" x14ac:dyDescent="0.25">
      <c r="A143" s="126" t="s">
        <v>777</v>
      </c>
      <c r="B143" s="126" t="s">
        <v>778</v>
      </c>
      <c r="C143" t="str">
        <f t="shared" si="4"/>
        <v>Preventative costs B</v>
      </c>
      <c r="E143" t="str">
        <f t="shared" si="5"/>
        <v>$B$139:$K$146</v>
      </c>
    </row>
    <row r="144" spans="1:5" x14ac:dyDescent="0.25">
      <c r="A144" s="126" t="s">
        <v>779</v>
      </c>
      <c r="B144" s="126" t="s">
        <v>780</v>
      </c>
      <c r="C144" t="str">
        <f t="shared" si="4"/>
        <v>Library data</v>
      </c>
      <c r="E144" t="str">
        <f t="shared" si="5"/>
        <v>$C$7</v>
      </c>
    </row>
    <row r="145" spans="1:5" x14ac:dyDescent="0.25">
      <c r="A145" s="126" t="s">
        <v>781</v>
      </c>
      <c r="B145" s="126" t="s">
        <v>782</v>
      </c>
      <c r="C145" t="str">
        <f t="shared" si="4"/>
        <v>Climate A</v>
      </c>
      <c r="E145" t="str">
        <f t="shared" si="5"/>
        <v>$D$25:$M$25</v>
      </c>
    </row>
    <row r="146" spans="1:5" x14ac:dyDescent="0.25">
      <c r="A146" s="126" t="s">
        <v>783</v>
      </c>
      <c r="B146" s="126" t="s">
        <v>784</v>
      </c>
      <c r="C146" t="str">
        <f t="shared" si="4"/>
        <v>Climate B</v>
      </c>
      <c r="E146" t="str">
        <f t="shared" si="5"/>
        <v>$D$25:$M$25</v>
      </c>
    </row>
    <row r="147" spans="1:5" x14ac:dyDescent="0.25">
      <c r="A147" s="126" t="s">
        <v>785</v>
      </c>
      <c r="B147" s="126" t="s">
        <v>786</v>
      </c>
      <c r="C147" t="str">
        <f t="shared" si="4"/>
        <v>Library data</v>
      </c>
      <c r="E147" t="str">
        <f t="shared" si="5"/>
        <v>$C$8</v>
      </c>
    </row>
    <row r="148" spans="1:5" x14ac:dyDescent="0.25">
      <c r="A148" s="126" t="s">
        <v>787</v>
      </c>
      <c r="B148" s="126" t="s">
        <v>788</v>
      </c>
      <c r="C148" t="str">
        <f t="shared" si="4"/>
        <v>Base data</v>
      </c>
      <c r="E148" t="str">
        <f t="shared" si="5"/>
        <v>$B$20</v>
      </c>
    </row>
    <row r="149" spans="1:5" x14ac:dyDescent="0.25">
      <c r="A149" s="126" t="s">
        <v>789</v>
      </c>
      <c r="B149" s="126" t="s">
        <v>790</v>
      </c>
      <c r="C149" t="str">
        <f t="shared" si="4"/>
        <v>Climate A</v>
      </c>
      <c r="E149" t="str">
        <f t="shared" si="5"/>
        <v>$D$16:$M$16</v>
      </c>
    </row>
    <row r="150" spans="1:5" x14ac:dyDescent="0.25">
      <c r="A150" s="126" t="s">
        <v>791</v>
      </c>
      <c r="B150" s="126" t="s">
        <v>792</v>
      </c>
      <c r="C150" t="str">
        <f t="shared" si="4"/>
        <v>Climate A</v>
      </c>
      <c r="E150" t="str">
        <f t="shared" si="5"/>
        <v>$C$16</v>
      </c>
    </row>
    <row r="151" spans="1:5" x14ac:dyDescent="0.25">
      <c r="A151" s="126" t="s">
        <v>793</v>
      </c>
      <c r="B151" s="126" t="s">
        <v>794</v>
      </c>
      <c r="C151" t="str">
        <f t="shared" si="4"/>
        <v>Climate B</v>
      </c>
      <c r="E151" t="str">
        <f t="shared" si="5"/>
        <v>$D$16:$M$16</v>
      </c>
    </row>
    <row r="152" spans="1:5" x14ac:dyDescent="0.25">
      <c r="A152" s="126" t="s">
        <v>795</v>
      </c>
      <c r="B152" s="126" t="s">
        <v>796</v>
      </c>
      <c r="C152" t="str">
        <f t="shared" si="4"/>
        <v>Library data</v>
      </c>
      <c r="E152" t="str">
        <f t="shared" si="5"/>
        <v>$C$60:$C$66</v>
      </c>
    </row>
    <row r="153" spans="1:5" x14ac:dyDescent="0.25">
      <c r="A153" s="126" t="s">
        <v>797</v>
      </c>
      <c r="B153" s="126" t="s">
        <v>798</v>
      </c>
      <c r="C153" t="str">
        <f t="shared" si="4"/>
        <v>Adaptive costs A</v>
      </c>
      <c r="E153" t="str">
        <f t="shared" si="5"/>
        <v>$E$5:$E$12</v>
      </c>
    </row>
    <row r="154" spans="1:5" x14ac:dyDescent="0.25">
      <c r="A154" s="126" t="s">
        <v>799</v>
      </c>
      <c r="B154" s="126" t="s">
        <v>800</v>
      </c>
      <c r="C154" t="str">
        <f t="shared" si="4"/>
        <v>Library data</v>
      </c>
      <c r="E154" t="str">
        <f t="shared" si="5"/>
        <v>$C$57</v>
      </c>
    </row>
    <row r="155" spans="1:5" x14ac:dyDescent="0.25">
      <c r="A155" s="126" t="s">
        <v>801</v>
      </c>
      <c r="B155" s="126" t="s">
        <v>802</v>
      </c>
      <c r="C155" t="str">
        <f t="shared" si="4"/>
        <v>Adaptive costs A</v>
      </c>
      <c r="E155" t="str">
        <f t="shared" si="5"/>
        <v>$G$5:$G$12</v>
      </c>
    </row>
    <row r="156" spans="1:5" x14ac:dyDescent="0.25">
      <c r="A156" s="126" t="s">
        <v>803</v>
      </c>
      <c r="B156" s="126" t="s">
        <v>804</v>
      </c>
      <c r="C156" t="str">
        <f t="shared" si="4"/>
        <v>Library data</v>
      </c>
      <c r="E156" t="str">
        <f t="shared" si="5"/>
        <v>$C$59</v>
      </c>
    </row>
    <row r="157" spans="1:5" x14ac:dyDescent="0.25">
      <c r="A157" s="126" t="s">
        <v>805</v>
      </c>
      <c r="B157" s="126" t="s">
        <v>806</v>
      </c>
      <c r="C157" t="str">
        <f t="shared" si="4"/>
        <v>Adaptive costs A</v>
      </c>
      <c r="E157" t="str">
        <f t="shared" si="5"/>
        <v>$C$5:$C$12</v>
      </c>
    </row>
    <row r="158" spans="1:5" x14ac:dyDescent="0.25">
      <c r="A158" s="126" t="s">
        <v>807</v>
      </c>
      <c r="B158" s="126" t="s">
        <v>808</v>
      </c>
      <c r="C158" t="str">
        <f t="shared" si="4"/>
        <v>Library data</v>
      </c>
      <c r="E158" t="str">
        <f t="shared" si="5"/>
        <v>$C$55</v>
      </c>
    </row>
    <row r="159" spans="1:5" x14ac:dyDescent="0.25">
      <c r="A159" s="126" t="s">
        <v>809</v>
      </c>
      <c r="B159" s="126" t="s">
        <v>810</v>
      </c>
      <c r="C159" t="str">
        <f t="shared" si="4"/>
        <v>Library data</v>
      </c>
      <c r="E159" t="str">
        <f t="shared" si="5"/>
        <v>$C$44</v>
      </c>
    </row>
    <row r="160" spans="1:5" x14ac:dyDescent="0.25">
      <c r="A160" s="126" t="s">
        <v>811</v>
      </c>
      <c r="B160" s="126" t="s">
        <v>812</v>
      </c>
      <c r="C160" t="str">
        <f t="shared" si="4"/>
        <v>Preventative costs A</v>
      </c>
      <c r="E160" t="str">
        <f t="shared" si="5"/>
        <v>$B$362:$K$369</v>
      </c>
    </row>
    <row r="161" spans="1:5" x14ac:dyDescent="0.25">
      <c r="A161" s="126" t="s">
        <v>813</v>
      </c>
      <c r="B161" s="126" t="s">
        <v>814</v>
      </c>
      <c r="C161" t="str">
        <f t="shared" si="4"/>
        <v>Preventative costs B</v>
      </c>
      <c r="E161" t="str">
        <f t="shared" si="5"/>
        <v>$B$362:$K$369</v>
      </c>
    </row>
    <row r="162" spans="1:5" x14ac:dyDescent="0.25">
      <c r="A162" s="126" t="s">
        <v>815</v>
      </c>
      <c r="B162" s="126" t="s">
        <v>816</v>
      </c>
      <c r="C162" t="str">
        <f t="shared" si="4"/>
        <v>Preventative costs A</v>
      </c>
      <c r="E162" t="str">
        <f t="shared" si="5"/>
        <v>$B$353:$K$360</v>
      </c>
    </row>
    <row r="163" spans="1:5" x14ac:dyDescent="0.25">
      <c r="A163" s="126" t="s">
        <v>817</v>
      </c>
      <c r="B163" s="126" t="s">
        <v>818</v>
      </c>
      <c r="C163" t="str">
        <f t="shared" si="4"/>
        <v>Preventative costs B</v>
      </c>
      <c r="E163" t="str">
        <f t="shared" si="5"/>
        <v>$B$353:$K$360</v>
      </c>
    </row>
    <row r="164" spans="1:5" x14ac:dyDescent="0.25">
      <c r="A164" s="126" t="s">
        <v>819</v>
      </c>
      <c r="B164" s="126" t="s">
        <v>820</v>
      </c>
      <c r="C164" t="str">
        <f t="shared" si="4"/>
        <v>Preventative costs A</v>
      </c>
      <c r="E164" t="str">
        <f t="shared" si="5"/>
        <v>$B$380:$K$387</v>
      </c>
    </row>
    <row r="165" spans="1:5" x14ac:dyDescent="0.25">
      <c r="A165" s="126" t="s">
        <v>821</v>
      </c>
      <c r="B165" s="126" t="s">
        <v>822</v>
      </c>
      <c r="C165" t="str">
        <f t="shared" si="4"/>
        <v>Preventative costs B</v>
      </c>
      <c r="E165" t="str">
        <f t="shared" si="5"/>
        <v>$B$380:$K$387</v>
      </c>
    </row>
    <row r="166" spans="1:5" x14ac:dyDescent="0.25">
      <c r="A166" s="126" t="s">
        <v>823</v>
      </c>
      <c r="B166" s="126" t="s">
        <v>824</v>
      </c>
      <c r="C166" t="str">
        <f t="shared" si="4"/>
        <v>Preventative costs A</v>
      </c>
      <c r="E166" t="str">
        <f t="shared" si="5"/>
        <v>$C$31:$C$38</v>
      </c>
    </row>
    <row r="167" spans="1:5" x14ac:dyDescent="0.25">
      <c r="A167" s="126" t="s">
        <v>825</v>
      </c>
      <c r="B167" s="126" t="s">
        <v>826</v>
      </c>
      <c r="C167" t="str">
        <f t="shared" si="4"/>
        <v>Library data</v>
      </c>
      <c r="E167" t="str">
        <f t="shared" si="5"/>
        <v>$C$81</v>
      </c>
    </row>
    <row r="168" spans="1:5" x14ac:dyDescent="0.25">
      <c r="A168" s="126" t="s">
        <v>827</v>
      </c>
      <c r="B168" s="126" t="s">
        <v>828</v>
      </c>
      <c r="C168" t="str">
        <f t="shared" si="4"/>
        <v>Preventative costs A</v>
      </c>
      <c r="E168" t="str">
        <f t="shared" si="5"/>
        <v>$B$31:$B$38</v>
      </c>
    </row>
    <row r="169" spans="1:5" x14ac:dyDescent="0.25">
      <c r="A169" s="126" t="s">
        <v>829</v>
      </c>
      <c r="B169" s="126" t="s">
        <v>830</v>
      </c>
      <c r="C169" t="str">
        <f t="shared" si="4"/>
        <v>Library data</v>
      </c>
      <c r="E169" t="str">
        <f t="shared" si="5"/>
        <v>$C$74</v>
      </c>
    </row>
    <row r="170" spans="1:5" x14ac:dyDescent="0.25">
      <c r="A170" s="126" t="s">
        <v>831</v>
      </c>
      <c r="B170" s="126" t="s">
        <v>832</v>
      </c>
      <c r="C170" t="str">
        <f t="shared" si="4"/>
        <v>Preventative costs A</v>
      </c>
      <c r="E170" t="str">
        <f t="shared" si="5"/>
        <v>$E$31:$E$38</v>
      </c>
    </row>
    <row r="171" spans="1:5" x14ac:dyDescent="0.25">
      <c r="A171" s="126" t="s">
        <v>833</v>
      </c>
      <c r="B171" s="126" t="s">
        <v>834</v>
      </c>
      <c r="C171" t="str">
        <f t="shared" si="4"/>
        <v>Library data</v>
      </c>
      <c r="E171" t="str">
        <f t="shared" si="5"/>
        <v>$C$95</v>
      </c>
    </row>
    <row r="172" spans="1:5" x14ac:dyDescent="0.25">
      <c r="A172" s="126" t="s">
        <v>835</v>
      </c>
      <c r="B172" s="126" t="s">
        <v>836</v>
      </c>
      <c r="C172" t="str">
        <f t="shared" si="4"/>
        <v>Preventative costs A</v>
      </c>
      <c r="E172" t="str">
        <f t="shared" si="5"/>
        <v>$D$31:$D$38</v>
      </c>
    </row>
    <row r="173" spans="1:5" x14ac:dyDescent="0.25">
      <c r="A173" s="126" t="s">
        <v>837</v>
      </c>
      <c r="B173" s="126" t="s">
        <v>838</v>
      </c>
      <c r="C173" t="str">
        <f t="shared" si="4"/>
        <v>Library data</v>
      </c>
      <c r="E173" t="str">
        <f t="shared" si="5"/>
        <v>$C$88</v>
      </c>
    </row>
    <row r="174" spans="1:5" x14ac:dyDescent="0.25">
      <c r="A174" s="126" t="s">
        <v>839</v>
      </c>
      <c r="B174" s="126" t="s">
        <v>840</v>
      </c>
      <c r="C174" t="str">
        <f t="shared" si="4"/>
        <v>Preventative costs A</v>
      </c>
      <c r="E174" t="str">
        <f t="shared" si="5"/>
        <v>$B$371:$K$378</v>
      </c>
    </row>
    <row r="175" spans="1:5" x14ac:dyDescent="0.25">
      <c r="A175" s="126" t="s">
        <v>841</v>
      </c>
      <c r="B175" s="126" t="s">
        <v>842</v>
      </c>
      <c r="C175" t="str">
        <f t="shared" si="4"/>
        <v>Preventative costs B</v>
      </c>
      <c r="E175" t="str">
        <f t="shared" si="5"/>
        <v>$B$371:$K$378</v>
      </c>
    </row>
    <row r="176" spans="1:5" x14ac:dyDescent="0.25">
      <c r="A176" s="126" t="s">
        <v>843</v>
      </c>
      <c r="B176" s="126" t="s">
        <v>844</v>
      </c>
      <c r="C176" t="str">
        <f t="shared" si="4"/>
        <v>Library data</v>
      </c>
      <c r="E176" t="str">
        <f t="shared" si="5"/>
        <v>$C$114:$C$120</v>
      </c>
    </row>
    <row r="177" spans="1:5" x14ac:dyDescent="0.25">
      <c r="A177" s="126" t="s">
        <v>845</v>
      </c>
      <c r="B177" s="126" t="s">
        <v>846</v>
      </c>
      <c r="C177" t="str">
        <f t="shared" si="4"/>
        <v>Impacts A</v>
      </c>
      <c r="E177" t="str">
        <f t="shared" si="5"/>
        <v>$C$143:$L$150</v>
      </c>
    </row>
    <row r="178" spans="1:5" x14ac:dyDescent="0.25">
      <c r="A178" s="126" t="s">
        <v>847</v>
      </c>
      <c r="B178" s="126" t="s">
        <v>848</v>
      </c>
      <c r="C178" t="str">
        <f t="shared" si="4"/>
        <v>Impacts A</v>
      </c>
      <c r="E178" t="str">
        <f t="shared" si="5"/>
        <v>$B$143:$B$150</v>
      </c>
    </row>
    <row r="179" spans="1:5" x14ac:dyDescent="0.25">
      <c r="A179" s="126" t="s">
        <v>849</v>
      </c>
      <c r="B179" s="126" t="s">
        <v>850</v>
      </c>
      <c r="C179" t="str">
        <f t="shared" si="4"/>
        <v>Impacts A</v>
      </c>
      <c r="E179" t="str">
        <f t="shared" si="5"/>
        <v>$C$173:$L$180</v>
      </c>
    </row>
    <row r="180" spans="1:5" x14ac:dyDescent="0.25">
      <c r="A180" s="126" t="s">
        <v>851</v>
      </c>
      <c r="B180" s="126" t="s">
        <v>852</v>
      </c>
      <c r="C180" t="str">
        <f t="shared" si="4"/>
        <v>Impacts B</v>
      </c>
      <c r="E180" t="str">
        <f t="shared" si="5"/>
        <v>$C$173:$L$180</v>
      </c>
    </row>
    <row r="181" spans="1:5" x14ac:dyDescent="0.25">
      <c r="A181" s="126" t="s">
        <v>853</v>
      </c>
      <c r="B181" s="126" t="s">
        <v>854</v>
      </c>
      <c r="C181" t="str">
        <f t="shared" si="4"/>
        <v>Impacts A</v>
      </c>
      <c r="E181" t="str">
        <f t="shared" si="5"/>
        <v>$C$143:$L$143</v>
      </c>
    </row>
    <row r="182" spans="1:5" x14ac:dyDescent="0.25">
      <c r="A182" s="126" t="s">
        <v>855</v>
      </c>
      <c r="B182" s="126" t="s">
        <v>856</v>
      </c>
      <c r="C182" t="str">
        <f t="shared" si="4"/>
        <v>Impacts A</v>
      </c>
      <c r="E182" t="str">
        <f t="shared" si="5"/>
        <v>$B$143</v>
      </c>
    </row>
    <row r="183" spans="1:5" x14ac:dyDescent="0.25">
      <c r="A183" s="126" t="s">
        <v>857</v>
      </c>
      <c r="B183" s="126" t="s">
        <v>858</v>
      </c>
      <c r="C183" t="str">
        <f t="shared" si="4"/>
        <v>Impacts A</v>
      </c>
      <c r="E183" t="str">
        <f t="shared" si="5"/>
        <v>$C$151:$L$151</v>
      </c>
    </row>
    <row r="184" spans="1:5" x14ac:dyDescent="0.25">
      <c r="A184" s="126" t="s">
        <v>859</v>
      </c>
      <c r="B184" s="126" t="s">
        <v>860</v>
      </c>
      <c r="C184" t="str">
        <f t="shared" si="4"/>
        <v>Impacts A</v>
      </c>
      <c r="E184" t="str">
        <f t="shared" si="5"/>
        <v>$B$151</v>
      </c>
    </row>
    <row r="185" spans="1:5" x14ac:dyDescent="0.25">
      <c r="A185" s="126" t="s">
        <v>861</v>
      </c>
      <c r="B185" s="126" t="s">
        <v>862</v>
      </c>
      <c r="C185" t="str">
        <f t="shared" si="4"/>
        <v>Impacts A</v>
      </c>
      <c r="E185" t="str">
        <f t="shared" si="5"/>
        <v>$C$151</v>
      </c>
    </row>
    <row r="186" spans="1:5" x14ac:dyDescent="0.25">
      <c r="A186" s="126" t="s">
        <v>863</v>
      </c>
      <c r="B186" s="126" t="s">
        <v>864</v>
      </c>
      <c r="C186" t="str">
        <f t="shared" si="4"/>
        <v>Impacts A</v>
      </c>
      <c r="E186" t="str">
        <f t="shared" si="5"/>
        <v>$D$151:$L$151</v>
      </c>
    </row>
    <row r="187" spans="1:5" x14ac:dyDescent="0.25">
      <c r="A187" s="126" t="s">
        <v>865</v>
      </c>
      <c r="B187" s="126" t="s">
        <v>866</v>
      </c>
      <c r="C187" t="str">
        <f t="shared" si="4"/>
        <v>Adaptive costs A</v>
      </c>
      <c r="E187" t="str">
        <f t="shared" si="5"/>
        <v>$D$5:$D$12</v>
      </c>
    </row>
    <row r="188" spans="1:5" x14ac:dyDescent="0.25">
      <c r="A188" s="126" t="s">
        <v>867</v>
      </c>
      <c r="B188" s="126" t="s">
        <v>868</v>
      </c>
      <c r="C188" t="str">
        <f t="shared" si="4"/>
        <v>Library data</v>
      </c>
      <c r="E188" t="str">
        <f t="shared" si="5"/>
        <v>$C$56</v>
      </c>
    </row>
    <row r="189" spans="1:5" x14ac:dyDescent="0.25">
      <c r="A189" s="126" t="s">
        <v>869</v>
      </c>
      <c r="B189" s="126" t="s">
        <v>870</v>
      </c>
      <c r="C189" t="str">
        <f t="shared" si="4"/>
        <v>Adaptive costs A</v>
      </c>
      <c r="E189" t="str">
        <f t="shared" si="5"/>
        <v>$F$5:$F$12</v>
      </c>
    </row>
    <row r="190" spans="1:5" x14ac:dyDescent="0.25">
      <c r="A190" s="126" t="s">
        <v>871</v>
      </c>
      <c r="B190" s="126" t="s">
        <v>872</v>
      </c>
      <c r="C190" t="str">
        <f t="shared" si="4"/>
        <v>Library data</v>
      </c>
      <c r="E190" t="str">
        <f t="shared" si="5"/>
        <v>$C$58</v>
      </c>
    </row>
    <row r="191" spans="1:5" x14ac:dyDescent="0.25">
      <c r="A191" s="126" t="s">
        <v>873</v>
      </c>
      <c r="B191" s="126" t="s">
        <v>874</v>
      </c>
      <c r="C191" t="str">
        <f t="shared" si="4"/>
        <v>Adaptive costs A</v>
      </c>
      <c r="E191" t="str">
        <f t="shared" si="5"/>
        <v>$B$5:$B$12</v>
      </c>
    </row>
    <row r="192" spans="1:5" x14ac:dyDescent="0.25">
      <c r="A192" s="126" t="s">
        <v>875</v>
      </c>
      <c r="B192" s="126" t="s">
        <v>876</v>
      </c>
      <c r="C192" t="str">
        <f t="shared" si="4"/>
        <v>Library data</v>
      </c>
      <c r="E192" t="str">
        <f t="shared" si="5"/>
        <v>$C$54</v>
      </c>
    </row>
    <row r="193" spans="1:5" x14ac:dyDescent="0.25">
      <c r="A193" s="126" t="s">
        <v>877</v>
      </c>
      <c r="B193" s="126" t="s">
        <v>878</v>
      </c>
      <c r="C193" t="str">
        <f t="shared" si="4"/>
        <v>Library data</v>
      </c>
      <c r="E193" t="str">
        <f t="shared" si="5"/>
        <v>$C$130</v>
      </c>
    </row>
    <row r="194" spans="1:5" x14ac:dyDescent="0.25">
      <c r="A194" s="126" t="s">
        <v>879</v>
      </c>
      <c r="B194" s="126" t="s">
        <v>880</v>
      </c>
      <c r="C194" t="str">
        <f t="shared" ref="C194:C257" si="6">IF(ISERR(FIND("'",B194)),MID(B194,FIND("=",B194)+1,FIND("!",B194)-(FIND("=",B194)+1)-1),MID(B194,FIND("='",B194)+2,FIND("!",B194)-(FIND("='",B194)+2)-1))</f>
        <v>Preventative costs A</v>
      </c>
      <c r="E194" t="str">
        <f t="shared" si="5"/>
        <v>$B$167:$K$174</v>
      </c>
    </row>
    <row r="195" spans="1:5" x14ac:dyDescent="0.25">
      <c r="A195" s="126" t="s">
        <v>881</v>
      </c>
      <c r="B195" s="126" t="s">
        <v>882</v>
      </c>
      <c r="C195" t="str">
        <f t="shared" si="6"/>
        <v>Preventative costs B</v>
      </c>
      <c r="E195" t="str">
        <f t="shared" ref="E195:E258" si="7">RIGHT(B195,LEN(B195)-FIND("!",B195))</f>
        <v>$B$167:$K$174</v>
      </c>
    </row>
    <row r="196" spans="1:5" x14ac:dyDescent="0.25">
      <c r="A196" s="126" t="s">
        <v>883</v>
      </c>
      <c r="B196" s="126" t="s">
        <v>884</v>
      </c>
      <c r="C196" t="str">
        <f t="shared" si="6"/>
        <v>Preventative costs A</v>
      </c>
      <c r="E196" t="str">
        <f t="shared" si="7"/>
        <v>$B$175:$K$175</v>
      </c>
    </row>
    <row r="197" spans="1:5" x14ac:dyDescent="0.25">
      <c r="A197" s="126" t="s">
        <v>885</v>
      </c>
      <c r="B197" s="126" t="s">
        <v>886</v>
      </c>
      <c r="C197" t="str">
        <f t="shared" si="6"/>
        <v>Preventative costs B</v>
      </c>
      <c r="E197" t="str">
        <f t="shared" si="7"/>
        <v>$B$175:$K$175</v>
      </c>
    </row>
    <row r="198" spans="1:5" x14ac:dyDescent="0.25">
      <c r="A198" s="126" t="s">
        <v>887</v>
      </c>
      <c r="B198" s="126" t="s">
        <v>888</v>
      </c>
      <c r="C198" t="str">
        <f t="shared" si="6"/>
        <v>Preventative costs A</v>
      </c>
      <c r="E198" t="str">
        <f t="shared" si="7"/>
        <v>$B$157:$K$164</v>
      </c>
    </row>
    <row r="199" spans="1:5" x14ac:dyDescent="0.25">
      <c r="A199" s="126" t="s">
        <v>889</v>
      </c>
      <c r="B199" s="126" t="s">
        <v>890</v>
      </c>
      <c r="C199" t="str">
        <f t="shared" si="6"/>
        <v>Preventative costs B</v>
      </c>
      <c r="E199" t="str">
        <f t="shared" si="7"/>
        <v>$B$157:$K$164</v>
      </c>
    </row>
    <row r="200" spans="1:5" x14ac:dyDescent="0.25">
      <c r="A200" s="126" t="s">
        <v>891</v>
      </c>
      <c r="B200" s="126" t="s">
        <v>892</v>
      </c>
      <c r="C200" t="str">
        <f t="shared" si="6"/>
        <v>Preventative costs A</v>
      </c>
      <c r="E200" t="str">
        <f t="shared" si="7"/>
        <v>$B$165:$K$165</v>
      </c>
    </row>
    <row r="201" spans="1:5" x14ac:dyDescent="0.25">
      <c r="A201" s="126" t="s">
        <v>893</v>
      </c>
      <c r="B201" s="126" t="s">
        <v>894</v>
      </c>
      <c r="C201" t="str">
        <f t="shared" si="6"/>
        <v>Preventative costs B</v>
      </c>
      <c r="E201" t="str">
        <f t="shared" si="7"/>
        <v>$B$165:$K$165</v>
      </c>
    </row>
    <row r="202" spans="1:5" x14ac:dyDescent="0.25">
      <c r="A202" s="126" t="s">
        <v>895</v>
      </c>
      <c r="B202" s="126" t="s">
        <v>896</v>
      </c>
      <c r="C202" t="str">
        <f t="shared" si="6"/>
        <v>Preventative costs A</v>
      </c>
      <c r="E202" t="str">
        <f t="shared" si="7"/>
        <v>$B$187:$K$194</v>
      </c>
    </row>
    <row r="203" spans="1:5" x14ac:dyDescent="0.25">
      <c r="A203" s="126" t="s">
        <v>897</v>
      </c>
      <c r="B203" s="126" t="s">
        <v>898</v>
      </c>
      <c r="C203" t="str">
        <f t="shared" si="6"/>
        <v>Preventative costs B</v>
      </c>
      <c r="E203" t="str">
        <f t="shared" si="7"/>
        <v>$B$187:$K$194</v>
      </c>
    </row>
    <row r="204" spans="1:5" x14ac:dyDescent="0.25">
      <c r="A204" s="126" t="s">
        <v>899</v>
      </c>
      <c r="B204" s="126" t="s">
        <v>900</v>
      </c>
      <c r="C204" t="str">
        <f t="shared" si="6"/>
        <v>Preventative costs A</v>
      </c>
      <c r="E204" t="str">
        <f t="shared" si="7"/>
        <v>$B$195:$K$195</v>
      </c>
    </row>
    <row r="205" spans="1:5" x14ac:dyDescent="0.25">
      <c r="A205" s="126" t="s">
        <v>901</v>
      </c>
      <c r="B205" s="126" t="s">
        <v>902</v>
      </c>
      <c r="C205" t="str">
        <f t="shared" si="6"/>
        <v>Preventative costs B</v>
      </c>
      <c r="E205" t="str">
        <f t="shared" si="7"/>
        <v>$B$195:$K$195</v>
      </c>
    </row>
    <row r="206" spans="1:5" x14ac:dyDescent="0.25">
      <c r="A206" s="126" t="s">
        <v>903</v>
      </c>
      <c r="B206" s="126" t="s">
        <v>904</v>
      </c>
      <c r="C206" t="str">
        <f t="shared" si="6"/>
        <v>Preventative costs A</v>
      </c>
      <c r="E206" t="str">
        <f t="shared" si="7"/>
        <v>$B$177:$K$184</v>
      </c>
    </row>
    <row r="207" spans="1:5" x14ac:dyDescent="0.25">
      <c r="A207" s="126" t="s">
        <v>905</v>
      </c>
      <c r="B207" s="126" t="s">
        <v>906</v>
      </c>
      <c r="C207" t="str">
        <f t="shared" si="6"/>
        <v>Preventative costs B</v>
      </c>
      <c r="E207" t="str">
        <f t="shared" si="7"/>
        <v>$B$177:$K$184</v>
      </c>
    </row>
    <row r="208" spans="1:5" x14ac:dyDescent="0.25">
      <c r="A208" s="126" t="s">
        <v>907</v>
      </c>
      <c r="B208" s="126" t="s">
        <v>908</v>
      </c>
      <c r="C208" t="str">
        <f t="shared" si="6"/>
        <v>Preventative costs A</v>
      </c>
      <c r="E208" t="str">
        <f t="shared" si="7"/>
        <v>$B$185:$K$185</v>
      </c>
    </row>
    <row r="209" spans="1:5" x14ac:dyDescent="0.25">
      <c r="A209" s="126" t="s">
        <v>909</v>
      </c>
      <c r="B209" s="126" t="s">
        <v>910</v>
      </c>
      <c r="C209" t="str">
        <f t="shared" si="6"/>
        <v>Preventative costs B</v>
      </c>
      <c r="E209" t="str">
        <f t="shared" si="7"/>
        <v>$B$185:$K$185</v>
      </c>
    </row>
    <row r="210" spans="1:5" x14ac:dyDescent="0.25">
      <c r="A210" s="126" t="s">
        <v>911</v>
      </c>
      <c r="B210" s="126" t="s">
        <v>912</v>
      </c>
      <c r="C210" t="str">
        <f t="shared" si="6"/>
        <v>Base data</v>
      </c>
      <c r="E210" t="str">
        <f t="shared" si="7"/>
        <v>$D$32</v>
      </c>
    </row>
    <row r="211" spans="1:5" x14ac:dyDescent="0.25">
      <c r="A211" s="126" t="s">
        <v>913</v>
      </c>
      <c r="B211" s="126" t="s">
        <v>914</v>
      </c>
      <c r="C211" t="str">
        <f t="shared" si="6"/>
        <v>Library data</v>
      </c>
      <c r="E211" t="str">
        <f t="shared" si="7"/>
        <v>$C$129</v>
      </c>
    </row>
    <row r="212" spans="1:5" x14ac:dyDescent="0.25">
      <c r="A212" s="126" t="s">
        <v>915</v>
      </c>
      <c r="B212" s="126" t="s">
        <v>916</v>
      </c>
      <c r="C212" t="str">
        <f t="shared" si="6"/>
        <v>Library data</v>
      </c>
      <c r="E212" t="str">
        <f t="shared" si="7"/>
        <v>$C$128</v>
      </c>
    </row>
    <row r="213" spans="1:5" x14ac:dyDescent="0.25">
      <c r="A213" s="126" t="s">
        <v>917</v>
      </c>
      <c r="B213" s="126" t="s">
        <v>918</v>
      </c>
      <c r="C213" t="str">
        <f t="shared" si="6"/>
        <v>Library data</v>
      </c>
      <c r="E213" t="str">
        <f t="shared" si="7"/>
        <v>$C$11</v>
      </c>
    </row>
    <row r="214" spans="1:5" x14ac:dyDescent="0.25">
      <c r="A214" s="126" t="s">
        <v>919</v>
      </c>
      <c r="B214" s="126" t="s">
        <v>920</v>
      </c>
      <c r="C214" t="str">
        <f t="shared" si="6"/>
        <v>Base data</v>
      </c>
      <c r="E214" t="str">
        <f t="shared" si="7"/>
        <v>$B$13:$E$13</v>
      </c>
    </row>
    <row r="215" spans="1:5" x14ac:dyDescent="0.25">
      <c r="A215" s="126" t="s">
        <v>921</v>
      </c>
      <c r="B215" s="126" t="s">
        <v>922</v>
      </c>
      <c r="C215" t="str">
        <f t="shared" si="6"/>
        <v>Base data</v>
      </c>
      <c r="E215" t="str">
        <f t="shared" si="7"/>
        <v>$C$13</v>
      </c>
    </row>
    <row r="216" spans="1:5" x14ac:dyDescent="0.25">
      <c r="A216" s="126" t="s">
        <v>923</v>
      </c>
      <c r="B216" s="126" t="s">
        <v>924</v>
      </c>
      <c r="C216" t="str">
        <f t="shared" si="6"/>
        <v>Base data</v>
      </c>
      <c r="E216" t="str">
        <f t="shared" si="7"/>
        <v>$B$13</v>
      </c>
    </row>
    <row r="217" spans="1:5" x14ac:dyDescent="0.25">
      <c r="A217" s="126" t="s">
        <v>925</v>
      </c>
      <c r="B217" s="126" t="s">
        <v>926</v>
      </c>
      <c r="C217" t="str">
        <f t="shared" si="6"/>
        <v>Base data</v>
      </c>
      <c r="E217" t="str">
        <f t="shared" si="7"/>
        <v>$E$13</v>
      </c>
    </row>
    <row r="218" spans="1:5" x14ac:dyDescent="0.25">
      <c r="A218" s="126" t="s">
        <v>927</v>
      </c>
      <c r="B218" s="126" t="s">
        <v>928</v>
      </c>
      <c r="C218" t="str">
        <f t="shared" si="6"/>
        <v>Base data</v>
      </c>
      <c r="E218" t="str">
        <f t="shared" si="7"/>
        <v>$D$13</v>
      </c>
    </row>
    <row r="219" spans="1:5" x14ac:dyDescent="0.25">
      <c r="A219" s="126" t="s">
        <v>929</v>
      </c>
      <c r="B219" s="126" t="s">
        <v>930</v>
      </c>
      <c r="C219" t="str">
        <f t="shared" si="6"/>
        <v>Impacts A</v>
      </c>
      <c r="E219" t="str">
        <f t="shared" si="7"/>
        <v>$C$154:$L$161</v>
      </c>
    </row>
    <row r="220" spans="1:5" x14ac:dyDescent="0.25">
      <c r="A220" s="126" t="s">
        <v>931</v>
      </c>
      <c r="B220" s="126" t="s">
        <v>932</v>
      </c>
      <c r="C220" t="str">
        <f t="shared" si="6"/>
        <v>Preventative costs A</v>
      </c>
      <c r="E220" t="str">
        <f t="shared" si="7"/>
        <v>$B$687:$K$694</v>
      </c>
    </row>
    <row r="221" spans="1:5" x14ac:dyDescent="0.25">
      <c r="A221" s="126" t="s">
        <v>933</v>
      </c>
      <c r="B221" s="126" t="s">
        <v>934</v>
      </c>
      <c r="C221" t="str">
        <f t="shared" si="6"/>
        <v>Library data</v>
      </c>
      <c r="E221" t="str">
        <f t="shared" si="7"/>
        <v>$C$42</v>
      </c>
    </row>
    <row r="222" spans="1:5" x14ac:dyDescent="0.25">
      <c r="A222" s="126" t="s">
        <v>935</v>
      </c>
      <c r="B222" s="126" t="s">
        <v>936</v>
      </c>
      <c r="C222" t="str">
        <f t="shared" si="6"/>
        <v>Base data</v>
      </c>
      <c r="E222" t="str">
        <f t="shared" si="7"/>
        <v>$C$58:$L$65</v>
      </c>
    </row>
    <row r="223" spans="1:5" x14ac:dyDescent="0.25">
      <c r="A223" s="126" t="s">
        <v>937</v>
      </c>
      <c r="B223" s="126" t="s">
        <v>938</v>
      </c>
      <c r="C223" t="str">
        <f t="shared" si="6"/>
        <v>Base data</v>
      </c>
      <c r="E223" t="str">
        <f t="shared" si="7"/>
        <v>$C$58:$C$65</v>
      </c>
    </row>
    <row r="224" spans="1:5" x14ac:dyDescent="0.25">
      <c r="A224" s="126" t="s">
        <v>939</v>
      </c>
      <c r="B224" s="126" t="s">
        <v>940</v>
      </c>
      <c r="C224" t="str">
        <f t="shared" si="6"/>
        <v>Base data</v>
      </c>
      <c r="E224" t="str">
        <f t="shared" si="7"/>
        <v>$D$58:$L$65</v>
      </c>
    </row>
    <row r="225" spans="1:5" x14ac:dyDescent="0.25">
      <c r="A225" s="126" t="s">
        <v>941</v>
      </c>
      <c r="B225" s="126" t="s">
        <v>942</v>
      </c>
      <c r="C225" t="str">
        <f t="shared" si="6"/>
        <v>Base data</v>
      </c>
      <c r="E225" t="str">
        <f t="shared" si="7"/>
        <v>$M$4</v>
      </c>
    </row>
    <row r="226" spans="1:5" x14ac:dyDescent="0.25">
      <c r="A226" s="126" t="s">
        <v>943</v>
      </c>
      <c r="B226" s="126" t="s">
        <v>944</v>
      </c>
      <c r="C226" t="str">
        <f t="shared" si="6"/>
        <v>Emissions A</v>
      </c>
      <c r="E226" t="str">
        <f t="shared" si="7"/>
        <v>$C$35:$L$42</v>
      </c>
    </row>
    <row r="227" spans="1:5" x14ac:dyDescent="0.25">
      <c r="A227" s="126" t="s">
        <v>945</v>
      </c>
      <c r="B227" s="126" t="s">
        <v>946</v>
      </c>
      <c r="C227" t="str">
        <f t="shared" si="6"/>
        <v>Base data</v>
      </c>
      <c r="E227" t="str">
        <f t="shared" si="7"/>
        <v>$G$24:$G$31</v>
      </c>
    </row>
    <row r="228" spans="1:5" x14ac:dyDescent="0.25">
      <c r="A228" s="126" t="s">
        <v>947</v>
      </c>
      <c r="B228" s="126" t="s">
        <v>948</v>
      </c>
      <c r="C228" t="str">
        <f t="shared" si="6"/>
        <v>Emissions B</v>
      </c>
      <c r="E228" t="str">
        <f t="shared" si="7"/>
        <v>$C$35:$L$42</v>
      </c>
    </row>
    <row r="229" spans="1:5" x14ac:dyDescent="0.25">
      <c r="A229" s="126" t="s">
        <v>949</v>
      </c>
      <c r="B229" s="126" t="s">
        <v>950</v>
      </c>
      <c r="C229" t="str">
        <f t="shared" si="6"/>
        <v>Emissions A</v>
      </c>
      <c r="E229" t="str">
        <f t="shared" si="7"/>
        <v>$C$43:$L$43</v>
      </c>
    </row>
    <row r="230" spans="1:5" x14ac:dyDescent="0.25">
      <c r="A230" s="126" t="s">
        <v>951</v>
      </c>
      <c r="B230" s="126" t="s">
        <v>952</v>
      </c>
      <c r="C230" t="str">
        <f t="shared" si="6"/>
        <v>Emissions A</v>
      </c>
      <c r="E230" t="str">
        <f t="shared" si="7"/>
        <v>$B$43</v>
      </c>
    </row>
    <row r="231" spans="1:5" x14ac:dyDescent="0.25">
      <c r="A231" s="126" t="s">
        <v>953</v>
      </c>
      <c r="B231" s="126" t="s">
        <v>954</v>
      </c>
      <c r="C231" t="str">
        <f t="shared" si="6"/>
        <v>Emissions B</v>
      </c>
      <c r="E231" t="str">
        <f t="shared" si="7"/>
        <v>$C$43:$L$43</v>
      </c>
    </row>
    <row r="232" spans="1:5" x14ac:dyDescent="0.25">
      <c r="A232" s="126" t="s">
        <v>955</v>
      </c>
      <c r="B232" s="126" t="s">
        <v>956</v>
      </c>
      <c r="C232" t="str">
        <f t="shared" si="6"/>
        <v>Emissions A</v>
      </c>
      <c r="E232" t="str">
        <f t="shared" si="7"/>
        <v>$C$4:$L$11</v>
      </c>
    </row>
    <row r="233" spans="1:5" x14ac:dyDescent="0.25">
      <c r="A233" s="126" t="s">
        <v>957</v>
      </c>
      <c r="B233" s="126" t="s">
        <v>958</v>
      </c>
      <c r="C233" t="str">
        <f t="shared" si="6"/>
        <v>Base data</v>
      </c>
      <c r="E233" t="str">
        <f t="shared" si="7"/>
        <v>$F$24:$F$31</v>
      </c>
    </row>
    <row r="234" spans="1:5" x14ac:dyDescent="0.25">
      <c r="A234" s="126" t="s">
        <v>959</v>
      </c>
      <c r="B234" s="126" t="s">
        <v>960</v>
      </c>
      <c r="C234" t="str">
        <f t="shared" si="6"/>
        <v>Emissions B</v>
      </c>
      <c r="E234" t="str">
        <f t="shared" si="7"/>
        <v>$C$4:$L$11</v>
      </c>
    </row>
    <row r="235" spans="1:5" x14ac:dyDescent="0.25">
      <c r="A235" s="126" t="s">
        <v>961</v>
      </c>
      <c r="B235" s="126" t="s">
        <v>962</v>
      </c>
      <c r="C235" t="str">
        <f t="shared" si="6"/>
        <v>Emissions A</v>
      </c>
      <c r="E235" t="str">
        <f t="shared" si="7"/>
        <v>$C$12:$L$12</v>
      </c>
    </row>
    <row r="236" spans="1:5" x14ac:dyDescent="0.25">
      <c r="A236" s="126" t="s">
        <v>963</v>
      </c>
      <c r="B236" s="126" t="s">
        <v>964</v>
      </c>
      <c r="C236" t="str">
        <f t="shared" si="6"/>
        <v>Emissions A</v>
      </c>
      <c r="E236" t="str">
        <f t="shared" si="7"/>
        <v>$B$12</v>
      </c>
    </row>
    <row r="237" spans="1:5" x14ac:dyDescent="0.25">
      <c r="A237" s="126" t="s">
        <v>965</v>
      </c>
      <c r="B237" s="126" t="s">
        <v>966</v>
      </c>
      <c r="C237" t="str">
        <f t="shared" si="6"/>
        <v>Emissions B</v>
      </c>
      <c r="E237" t="str">
        <f t="shared" si="7"/>
        <v>$C$12:$L$12</v>
      </c>
    </row>
    <row r="238" spans="1:5" x14ac:dyDescent="0.25">
      <c r="A238" s="126" t="s">
        <v>967</v>
      </c>
      <c r="B238" s="126" t="s">
        <v>968</v>
      </c>
      <c r="C238" t="str">
        <f t="shared" si="6"/>
        <v>Base data</v>
      </c>
      <c r="E238" t="str">
        <f t="shared" si="7"/>
        <v>$I$24:$I$31</v>
      </c>
    </row>
    <row r="239" spans="1:5" x14ac:dyDescent="0.25">
      <c r="A239" s="126" t="s">
        <v>969</v>
      </c>
      <c r="B239" s="126" t="s">
        <v>970</v>
      </c>
      <c r="C239" t="str">
        <f t="shared" si="6"/>
        <v>Emissions A</v>
      </c>
      <c r="E239" t="str">
        <f t="shared" si="7"/>
        <v>$C$105:$L$105</v>
      </c>
    </row>
    <row r="240" spans="1:5" x14ac:dyDescent="0.25">
      <c r="A240" s="126" t="s">
        <v>971</v>
      </c>
      <c r="B240" s="126" t="s">
        <v>972</v>
      </c>
      <c r="C240" t="str">
        <f t="shared" si="6"/>
        <v>Emissions A</v>
      </c>
      <c r="E240" t="str">
        <f t="shared" si="7"/>
        <v>$B$105</v>
      </c>
    </row>
    <row r="241" spans="1:5" x14ac:dyDescent="0.25">
      <c r="A241" s="126" t="s">
        <v>973</v>
      </c>
      <c r="B241" s="126" t="s">
        <v>974</v>
      </c>
      <c r="C241" t="str">
        <f t="shared" si="6"/>
        <v>Emissions B</v>
      </c>
      <c r="E241" t="str">
        <f t="shared" si="7"/>
        <v>$C$105:$L$105</v>
      </c>
    </row>
    <row r="242" spans="1:5" x14ac:dyDescent="0.25">
      <c r="A242" s="126" t="s">
        <v>975</v>
      </c>
      <c r="B242" s="126" t="s">
        <v>976</v>
      </c>
      <c r="C242" t="str">
        <f t="shared" si="6"/>
        <v>Emissions A</v>
      </c>
      <c r="E242" t="str">
        <f t="shared" si="7"/>
        <v>$C$66:$L$73</v>
      </c>
    </row>
    <row r="243" spans="1:5" x14ac:dyDescent="0.25">
      <c r="A243" s="126" t="s">
        <v>977</v>
      </c>
      <c r="B243" s="126" t="s">
        <v>978</v>
      </c>
      <c r="C243" t="str">
        <f t="shared" si="6"/>
        <v>Base data</v>
      </c>
      <c r="E243" t="str">
        <f t="shared" si="7"/>
        <v>$H$24:$H$31</v>
      </c>
    </row>
    <row r="244" spans="1:5" x14ac:dyDescent="0.25">
      <c r="A244" s="126" t="s">
        <v>979</v>
      </c>
      <c r="B244" s="126" t="s">
        <v>980</v>
      </c>
      <c r="C244" t="str">
        <f t="shared" si="6"/>
        <v>Emissions B</v>
      </c>
      <c r="E244" t="str">
        <f t="shared" si="7"/>
        <v>$C$66:$L$73</v>
      </c>
    </row>
    <row r="245" spans="1:5" x14ac:dyDescent="0.25">
      <c r="A245" s="126" t="s">
        <v>981</v>
      </c>
      <c r="B245" s="126" t="s">
        <v>982</v>
      </c>
      <c r="C245" t="str">
        <f t="shared" si="6"/>
        <v>Emissions A</v>
      </c>
      <c r="E245" t="str">
        <f t="shared" si="7"/>
        <v>$C$74:$L$74</v>
      </c>
    </row>
    <row r="246" spans="1:5" x14ac:dyDescent="0.25">
      <c r="A246" s="126" t="s">
        <v>983</v>
      </c>
      <c r="B246" s="126" t="s">
        <v>984</v>
      </c>
      <c r="C246" t="str">
        <f t="shared" si="6"/>
        <v>Emissions A</v>
      </c>
      <c r="E246" t="str">
        <f t="shared" si="7"/>
        <v>$B$74</v>
      </c>
    </row>
    <row r="247" spans="1:5" x14ac:dyDescent="0.25">
      <c r="A247" s="126" t="s">
        <v>985</v>
      </c>
      <c r="B247" s="126" t="s">
        <v>986</v>
      </c>
      <c r="C247" t="str">
        <f t="shared" si="6"/>
        <v>Emissions B</v>
      </c>
      <c r="E247" t="str">
        <f t="shared" si="7"/>
        <v>$C$74:$L$74</v>
      </c>
    </row>
    <row r="248" spans="1:5" x14ac:dyDescent="0.25">
      <c r="A248" s="126" t="s">
        <v>987</v>
      </c>
      <c r="B248" s="126" t="s">
        <v>988</v>
      </c>
      <c r="C248" t="str">
        <f t="shared" si="6"/>
        <v>Adaptive costs A</v>
      </c>
      <c r="E248" t="str">
        <f t="shared" si="7"/>
        <v>$B$132:$K$139</v>
      </c>
    </row>
    <row r="249" spans="1:5" x14ac:dyDescent="0.25">
      <c r="A249" s="126" t="s">
        <v>989</v>
      </c>
      <c r="B249" s="126" t="s">
        <v>990</v>
      </c>
      <c r="C249" t="str">
        <f t="shared" si="6"/>
        <v>Adaptive costs B</v>
      </c>
      <c r="E249" t="str">
        <f t="shared" si="7"/>
        <v>$B$132:$K$139</v>
      </c>
    </row>
    <row r="250" spans="1:5" x14ac:dyDescent="0.25">
      <c r="A250" s="126" t="s">
        <v>991</v>
      </c>
      <c r="B250" s="126" t="s">
        <v>992</v>
      </c>
      <c r="C250" t="str">
        <f t="shared" si="6"/>
        <v>Preventative costs A</v>
      </c>
      <c r="E250" t="str">
        <f t="shared" si="7"/>
        <v>$C$5:$C$12</v>
      </c>
    </row>
    <row r="251" spans="1:5" x14ac:dyDescent="0.25">
      <c r="A251" s="126" t="s">
        <v>993</v>
      </c>
      <c r="B251" s="126" t="s">
        <v>994</v>
      </c>
      <c r="C251" t="str">
        <f t="shared" si="6"/>
        <v>Library data</v>
      </c>
      <c r="E251" t="str">
        <f t="shared" si="7"/>
        <v>$C$77</v>
      </c>
    </row>
    <row r="252" spans="1:5" x14ac:dyDescent="0.25">
      <c r="A252" s="126" t="s">
        <v>995</v>
      </c>
      <c r="B252" s="126" t="s">
        <v>996</v>
      </c>
      <c r="C252" t="str">
        <f t="shared" si="6"/>
        <v>Preventative costs A</v>
      </c>
      <c r="E252" t="str">
        <f t="shared" si="7"/>
        <v>$B$5:$B$12</v>
      </c>
    </row>
    <row r="253" spans="1:5" x14ac:dyDescent="0.25">
      <c r="A253" s="126" t="s">
        <v>997</v>
      </c>
      <c r="B253" s="126" t="s">
        <v>998</v>
      </c>
      <c r="C253" t="str">
        <f t="shared" si="6"/>
        <v>Library data</v>
      </c>
      <c r="E253" t="str">
        <f t="shared" si="7"/>
        <v>$C$70</v>
      </c>
    </row>
    <row r="254" spans="1:5" x14ac:dyDescent="0.25">
      <c r="A254" s="126" t="s">
        <v>999</v>
      </c>
      <c r="B254" s="126" t="s">
        <v>1000</v>
      </c>
      <c r="C254" t="str">
        <f t="shared" si="6"/>
        <v>Preventative costs A</v>
      </c>
      <c r="E254" t="str">
        <f t="shared" si="7"/>
        <v>$E$5:$E$12</v>
      </c>
    </row>
    <row r="255" spans="1:5" x14ac:dyDescent="0.25">
      <c r="A255" s="126" t="s">
        <v>1001</v>
      </c>
      <c r="B255" s="126" t="s">
        <v>1002</v>
      </c>
      <c r="C255" t="str">
        <f t="shared" si="6"/>
        <v>Library data</v>
      </c>
      <c r="E255" t="str">
        <f t="shared" si="7"/>
        <v>$C$91</v>
      </c>
    </row>
    <row r="256" spans="1:5" x14ac:dyDescent="0.25">
      <c r="A256" s="126" t="s">
        <v>1003</v>
      </c>
      <c r="B256" s="126" t="s">
        <v>1004</v>
      </c>
      <c r="C256" t="str">
        <f t="shared" si="6"/>
        <v>Preventative costs A</v>
      </c>
      <c r="E256" t="str">
        <f t="shared" si="7"/>
        <v>$D$5:$D$12</v>
      </c>
    </row>
    <row r="257" spans="1:5" x14ac:dyDescent="0.25">
      <c r="A257" s="126" t="s">
        <v>1005</v>
      </c>
      <c r="B257" s="126" t="s">
        <v>1006</v>
      </c>
      <c r="C257" t="str">
        <f t="shared" si="6"/>
        <v>Library data</v>
      </c>
      <c r="E257" t="str">
        <f t="shared" si="7"/>
        <v>$C$84</v>
      </c>
    </row>
    <row r="258" spans="1:5" x14ac:dyDescent="0.25">
      <c r="A258" s="126" t="s">
        <v>1007</v>
      </c>
      <c r="B258" s="126" t="s">
        <v>1008</v>
      </c>
      <c r="C258" t="str">
        <f t="shared" ref="C258:C321" si="8">IF(ISERR(FIND("'",B258)),MID(B258,FIND("=",B258)+1,FIND("!",B258)-(FIND("=",B258)+1)-1),MID(B258,FIND("='",B258)+2,FIND("!",B258)-(FIND("='",B258)+2)-1))</f>
        <v>Base data</v>
      </c>
      <c r="E258" t="str">
        <f t="shared" si="7"/>
        <v>$F$32</v>
      </c>
    </row>
    <row r="259" spans="1:5" x14ac:dyDescent="0.25">
      <c r="A259" s="126" t="s">
        <v>1009</v>
      </c>
      <c r="B259" s="126" t="s">
        <v>1010</v>
      </c>
      <c r="C259" t="str">
        <f t="shared" si="8"/>
        <v>Library data</v>
      </c>
      <c r="E259" t="str">
        <f t="shared" ref="E259:E322" si="9">RIGHT(B259,LEN(B259)-FIND("!",B259))</f>
        <v>$C$98:$C$104</v>
      </c>
    </row>
    <row r="260" spans="1:5" x14ac:dyDescent="0.25">
      <c r="A260" s="126" t="s">
        <v>1011</v>
      </c>
      <c r="B260" s="126" t="s">
        <v>1012</v>
      </c>
      <c r="C260" t="str">
        <f t="shared" si="8"/>
        <v>Base data</v>
      </c>
      <c r="E260" t="str">
        <f t="shared" si="9"/>
        <v>$B$10</v>
      </c>
    </row>
    <row r="261" spans="1:5" x14ac:dyDescent="0.25">
      <c r="A261" s="126" t="s">
        <v>1013</v>
      </c>
      <c r="B261" s="126" t="s">
        <v>1014</v>
      </c>
      <c r="C261" t="str">
        <f t="shared" si="8"/>
        <v>Impacts A</v>
      </c>
      <c r="E261" t="str">
        <f t="shared" si="9"/>
        <v>$C$163:$L$170</v>
      </c>
    </row>
    <row r="262" spans="1:5" x14ac:dyDescent="0.25">
      <c r="A262" s="126" t="s">
        <v>1015</v>
      </c>
      <c r="B262" s="126" t="s">
        <v>1016</v>
      </c>
      <c r="C262" t="str">
        <f t="shared" si="8"/>
        <v>Impacts A</v>
      </c>
      <c r="E262" t="str">
        <f t="shared" si="9"/>
        <v>$B$163:$B$170</v>
      </c>
    </row>
    <row r="263" spans="1:5" x14ac:dyDescent="0.25">
      <c r="A263" s="126" t="s">
        <v>1017</v>
      </c>
      <c r="B263" s="126" t="s">
        <v>1018</v>
      </c>
      <c r="C263" t="str">
        <f t="shared" si="8"/>
        <v>Base data</v>
      </c>
      <c r="E263" t="str">
        <f t="shared" si="9"/>
        <v>$B$9</v>
      </c>
    </row>
    <row r="264" spans="1:5" x14ac:dyDescent="0.25">
      <c r="A264" s="126" t="s">
        <v>1019</v>
      </c>
      <c r="B264" s="126" t="s">
        <v>1020</v>
      </c>
      <c r="C264" t="str">
        <f t="shared" si="8"/>
        <v>Impacts A</v>
      </c>
      <c r="E264" t="str">
        <f t="shared" si="9"/>
        <v>$C$171:$L$171</v>
      </c>
    </row>
    <row r="265" spans="1:5" x14ac:dyDescent="0.25">
      <c r="A265" s="126" t="s">
        <v>1021</v>
      </c>
      <c r="B265" s="126" t="s">
        <v>1022</v>
      </c>
      <c r="C265" t="str">
        <f t="shared" si="8"/>
        <v>Impacts A</v>
      </c>
      <c r="E265" t="str">
        <f t="shared" si="9"/>
        <v>$B$171</v>
      </c>
    </row>
    <row r="266" spans="1:5" x14ac:dyDescent="0.25">
      <c r="A266" s="126" t="s">
        <v>1023</v>
      </c>
      <c r="B266" s="126" t="s">
        <v>1024</v>
      </c>
      <c r="C266" t="str">
        <f t="shared" si="8"/>
        <v>Library data</v>
      </c>
      <c r="E266" t="str">
        <f t="shared" si="9"/>
        <v>$C$135</v>
      </c>
    </row>
    <row r="267" spans="1:5" x14ac:dyDescent="0.25">
      <c r="A267" s="126" t="s">
        <v>1025</v>
      </c>
      <c r="B267" s="126" t="s">
        <v>1026</v>
      </c>
      <c r="C267" t="str">
        <f t="shared" si="8"/>
        <v>Policy A</v>
      </c>
      <c r="E267" t="str">
        <f t="shared" si="9"/>
        <v>$B$14:$B$21</v>
      </c>
    </row>
    <row r="268" spans="1:5" x14ac:dyDescent="0.25">
      <c r="A268" s="126" t="s">
        <v>1027</v>
      </c>
      <c r="B268" s="126" t="s">
        <v>1028</v>
      </c>
      <c r="C268" t="str">
        <f t="shared" si="8"/>
        <v>Policy B</v>
      </c>
      <c r="E268" t="str">
        <f t="shared" si="9"/>
        <v>$B$14:$B$21</v>
      </c>
    </row>
    <row r="269" spans="1:5" x14ac:dyDescent="0.25">
      <c r="A269" s="126" t="s">
        <v>1029</v>
      </c>
      <c r="B269" s="126" t="s">
        <v>1030</v>
      </c>
      <c r="C269" t="str">
        <f t="shared" si="8"/>
        <v>Policy A</v>
      </c>
      <c r="E269" t="str">
        <f t="shared" si="9"/>
        <v>$B$14:$K$21</v>
      </c>
    </row>
    <row r="270" spans="1:5" x14ac:dyDescent="0.25">
      <c r="A270" s="126" t="s">
        <v>1031</v>
      </c>
      <c r="B270" s="126" t="s">
        <v>1032</v>
      </c>
      <c r="C270" t="str">
        <f t="shared" si="8"/>
        <v>Policy B</v>
      </c>
      <c r="E270" t="str">
        <f t="shared" si="9"/>
        <v>$B$14:$K$21</v>
      </c>
    </row>
    <row r="271" spans="1:5" x14ac:dyDescent="0.25">
      <c r="A271" s="126" t="s">
        <v>1033</v>
      </c>
      <c r="B271" s="126" t="s">
        <v>1034</v>
      </c>
      <c r="C271" t="str">
        <f t="shared" si="8"/>
        <v>Policy A</v>
      </c>
      <c r="E271" t="str">
        <f t="shared" si="9"/>
        <v>$C$14:$K$21</v>
      </c>
    </row>
    <row r="272" spans="1:5" x14ac:dyDescent="0.25">
      <c r="A272" s="126" t="s">
        <v>1035</v>
      </c>
      <c r="B272" s="126" t="s">
        <v>1036</v>
      </c>
      <c r="C272" t="str">
        <f t="shared" si="8"/>
        <v>Policy B</v>
      </c>
      <c r="E272" t="str">
        <f t="shared" si="9"/>
        <v>$C$14:$K$21</v>
      </c>
    </row>
    <row r="273" spans="1:5" x14ac:dyDescent="0.25">
      <c r="A273" s="126" t="s">
        <v>1037</v>
      </c>
      <c r="B273" s="126" t="s">
        <v>1038</v>
      </c>
      <c r="C273" t="str">
        <f t="shared" si="8"/>
        <v>Policy A</v>
      </c>
      <c r="E273" t="str">
        <f t="shared" si="9"/>
        <v>$B$5:$B$12</v>
      </c>
    </row>
    <row r="274" spans="1:5" x14ac:dyDescent="0.25">
      <c r="A274" s="126" t="s">
        <v>1039</v>
      </c>
      <c r="B274" s="126" t="s">
        <v>1040</v>
      </c>
      <c r="C274" t="str">
        <f t="shared" si="8"/>
        <v>Policy B</v>
      </c>
      <c r="E274" t="str">
        <f t="shared" si="9"/>
        <v>$B$5:$B$12</v>
      </c>
    </row>
    <row r="275" spans="1:5" x14ac:dyDescent="0.25">
      <c r="A275" s="126" t="s">
        <v>1041</v>
      </c>
      <c r="B275" s="126" t="s">
        <v>1042</v>
      </c>
      <c r="C275" t="str">
        <f t="shared" si="8"/>
        <v>Policy A</v>
      </c>
      <c r="E275" t="str">
        <f t="shared" si="9"/>
        <v>$B$5:$K$12</v>
      </c>
    </row>
    <row r="276" spans="1:5" x14ac:dyDescent="0.25">
      <c r="A276" s="126" t="s">
        <v>1043</v>
      </c>
      <c r="B276" s="126" t="s">
        <v>1044</v>
      </c>
      <c r="C276" t="str">
        <f t="shared" si="8"/>
        <v>Policy B</v>
      </c>
      <c r="E276" t="str">
        <f t="shared" si="9"/>
        <v>$B$5:$K$12</v>
      </c>
    </row>
    <row r="277" spans="1:5" x14ac:dyDescent="0.25">
      <c r="A277" s="126" t="s">
        <v>1045</v>
      </c>
      <c r="B277" s="126" t="s">
        <v>1046</v>
      </c>
      <c r="C277" t="str">
        <f t="shared" si="8"/>
        <v>Policy A</v>
      </c>
      <c r="E277" t="str">
        <f t="shared" si="9"/>
        <v>$C$5:$K$12</v>
      </c>
    </row>
    <row r="278" spans="1:5" x14ac:dyDescent="0.25">
      <c r="A278" s="126" t="s">
        <v>1047</v>
      </c>
      <c r="B278" s="126" t="s">
        <v>1048</v>
      </c>
      <c r="C278" t="str">
        <f t="shared" si="8"/>
        <v>Policy B</v>
      </c>
      <c r="E278" t="str">
        <f t="shared" si="9"/>
        <v>$C$5:$K$12</v>
      </c>
    </row>
    <row r="279" spans="1:5" x14ac:dyDescent="0.25">
      <c r="A279" s="126" t="s">
        <v>1049</v>
      </c>
      <c r="B279" s="126" t="s">
        <v>1050</v>
      </c>
      <c r="C279" t="str">
        <f t="shared" si="8"/>
        <v>Policy A</v>
      </c>
      <c r="E279" t="str">
        <f t="shared" si="9"/>
        <v>$B$32:$B$39</v>
      </c>
    </row>
    <row r="280" spans="1:5" x14ac:dyDescent="0.25">
      <c r="A280" s="126" t="s">
        <v>1051</v>
      </c>
      <c r="B280" s="126" t="s">
        <v>1052</v>
      </c>
      <c r="C280" t="str">
        <f t="shared" si="8"/>
        <v>Policy B</v>
      </c>
      <c r="E280" t="str">
        <f t="shared" si="9"/>
        <v>$B$32:$B$39</v>
      </c>
    </row>
    <row r="281" spans="1:5" x14ac:dyDescent="0.25">
      <c r="A281" s="126" t="s">
        <v>1053</v>
      </c>
      <c r="B281" s="126" t="s">
        <v>1054</v>
      </c>
      <c r="C281" t="str">
        <f t="shared" si="8"/>
        <v>Policy A</v>
      </c>
      <c r="E281" t="str">
        <f t="shared" si="9"/>
        <v>$B$32:$K$39</v>
      </c>
    </row>
    <row r="282" spans="1:5" x14ac:dyDescent="0.25">
      <c r="A282" s="126" t="s">
        <v>1055</v>
      </c>
      <c r="B282" s="126" t="s">
        <v>1056</v>
      </c>
      <c r="C282" t="str">
        <f t="shared" si="8"/>
        <v>Policy B</v>
      </c>
      <c r="E282" t="str">
        <f t="shared" si="9"/>
        <v>$B$32:$K$39</v>
      </c>
    </row>
    <row r="283" spans="1:5" x14ac:dyDescent="0.25">
      <c r="A283" s="126" t="s">
        <v>1057</v>
      </c>
      <c r="B283" s="126" t="s">
        <v>1058</v>
      </c>
      <c r="C283" t="str">
        <f t="shared" si="8"/>
        <v>Policy A</v>
      </c>
      <c r="E283" t="str">
        <f t="shared" si="9"/>
        <v>$C$32:$K$39</v>
      </c>
    </row>
    <row r="284" spans="1:5" x14ac:dyDescent="0.25">
      <c r="A284" s="126" t="s">
        <v>1059</v>
      </c>
      <c r="B284" s="126" t="s">
        <v>1060</v>
      </c>
      <c r="C284" t="str">
        <f t="shared" si="8"/>
        <v>Policy B</v>
      </c>
      <c r="E284" t="str">
        <f t="shared" si="9"/>
        <v>$C$32:$K$39</v>
      </c>
    </row>
    <row r="285" spans="1:5" x14ac:dyDescent="0.25">
      <c r="A285" s="126" t="s">
        <v>1061</v>
      </c>
      <c r="B285" s="126" t="s">
        <v>1062</v>
      </c>
      <c r="C285" t="str">
        <f t="shared" si="8"/>
        <v>Policy A</v>
      </c>
      <c r="E285" t="str">
        <f t="shared" si="9"/>
        <v>$B$23:$B$30</v>
      </c>
    </row>
    <row r="286" spans="1:5" x14ac:dyDescent="0.25">
      <c r="A286" s="126" t="s">
        <v>1063</v>
      </c>
      <c r="B286" s="126" t="s">
        <v>1064</v>
      </c>
      <c r="C286" t="str">
        <f t="shared" si="8"/>
        <v>Policy B</v>
      </c>
      <c r="E286" t="str">
        <f t="shared" si="9"/>
        <v>$B$23:$B$30</v>
      </c>
    </row>
    <row r="287" spans="1:5" x14ac:dyDescent="0.25">
      <c r="A287" s="126" t="s">
        <v>1065</v>
      </c>
      <c r="B287" s="126" t="s">
        <v>1066</v>
      </c>
      <c r="C287" t="str">
        <f t="shared" si="8"/>
        <v>Policy A</v>
      </c>
      <c r="E287" t="str">
        <f t="shared" si="9"/>
        <v>$B$23:$K$30</v>
      </c>
    </row>
    <row r="288" spans="1:5" x14ac:dyDescent="0.25">
      <c r="A288" s="126" t="s">
        <v>1067</v>
      </c>
      <c r="B288" s="126" t="s">
        <v>1068</v>
      </c>
      <c r="C288" t="str">
        <f t="shared" si="8"/>
        <v>Policy B</v>
      </c>
      <c r="E288" t="str">
        <f t="shared" si="9"/>
        <v>$B$23:$K$30</v>
      </c>
    </row>
    <row r="289" spans="1:5" x14ac:dyDescent="0.25">
      <c r="A289" s="126" t="s">
        <v>1069</v>
      </c>
      <c r="B289" s="126" t="s">
        <v>1070</v>
      </c>
      <c r="C289" t="str">
        <f t="shared" si="8"/>
        <v>Policy A</v>
      </c>
      <c r="E289" t="str">
        <f t="shared" si="9"/>
        <v>$C$23:$K$30</v>
      </c>
    </row>
    <row r="290" spans="1:5" x14ac:dyDescent="0.25">
      <c r="A290" s="126" t="s">
        <v>1071</v>
      </c>
      <c r="B290" s="126" t="s">
        <v>1072</v>
      </c>
      <c r="C290" t="str">
        <f t="shared" si="8"/>
        <v>Policy B</v>
      </c>
      <c r="E290" t="str">
        <f t="shared" si="9"/>
        <v>$C$23:$K$30</v>
      </c>
    </row>
    <row r="291" spans="1:5" x14ac:dyDescent="0.25">
      <c r="A291" s="126" t="s">
        <v>1073</v>
      </c>
      <c r="B291" s="126" t="s">
        <v>1074</v>
      </c>
      <c r="C291" t="str">
        <f t="shared" si="8"/>
        <v>Policy B</v>
      </c>
      <c r="E291" t="str">
        <f t="shared" si="9"/>
        <v>$B$2:$K$2</v>
      </c>
    </row>
    <row r="292" spans="1:5" x14ac:dyDescent="0.25">
      <c r="A292" s="126" t="s">
        <v>1075</v>
      </c>
      <c r="B292" s="126" t="s">
        <v>1076</v>
      </c>
      <c r="C292" t="str">
        <f t="shared" si="8"/>
        <v>Climate A</v>
      </c>
      <c r="E292" t="str">
        <f t="shared" si="9"/>
        <v>$D$137:$M$137</v>
      </c>
    </row>
    <row r="293" spans="1:5" x14ac:dyDescent="0.25">
      <c r="A293" s="126" t="s">
        <v>1077</v>
      </c>
      <c r="B293" s="126" t="s">
        <v>1078</v>
      </c>
      <c r="C293" t="str">
        <f t="shared" si="8"/>
        <v>Climate A</v>
      </c>
      <c r="E293" t="str">
        <f t="shared" si="9"/>
        <v>$C$137</v>
      </c>
    </row>
    <row r="294" spans="1:5" x14ac:dyDescent="0.25">
      <c r="A294" s="126" t="s">
        <v>1079</v>
      </c>
      <c r="B294" s="126" t="s">
        <v>1080</v>
      </c>
      <c r="C294" t="str">
        <f t="shared" si="8"/>
        <v>Climate B</v>
      </c>
      <c r="E294" t="str">
        <f t="shared" si="9"/>
        <v>$D$137:$M$137</v>
      </c>
    </row>
    <row r="295" spans="1:5" x14ac:dyDescent="0.25">
      <c r="A295" s="126" t="s">
        <v>1081</v>
      </c>
      <c r="B295" s="126" t="s">
        <v>1082</v>
      </c>
      <c r="C295" t="str">
        <f t="shared" si="8"/>
        <v>Climate A</v>
      </c>
      <c r="E295" t="str">
        <f t="shared" si="9"/>
        <v>$E$137:$M$137</v>
      </c>
    </row>
    <row r="296" spans="1:5" x14ac:dyDescent="0.25">
      <c r="A296" s="126" t="s">
        <v>1083</v>
      </c>
      <c r="B296" s="126" t="s">
        <v>1084</v>
      </c>
      <c r="C296" t="str">
        <f t="shared" si="8"/>
        <v>Climate B</v>
      </c>
      <c r="E296" t="str">
        <f t="shared" si="9"/>
        <v>$E$137:$M$137</v>
      </c>
    </row>
    <row r="297" spans="1:5" x14ac:dyDescent="0.25">
      <c r="A297" s="126" t="s">
        <v>1085</v>
      </c>
      <c r="B297" s="126" t="s">
        <v>1086</v>
      </c>
      <c r="C297" t="str">
        <f t="shared" si="8"/>
        <v>Climate A</v>
      </c>
      <c r="E297" t="str">
        <f t="shared" si="9"/>
        <v>$D$101:$M$108</v>
      </c>
    </row>
    <row r="298" spans="1:5" x14ac:dyDescent="0.25">
      <c r="A298" s="126" t="s">
        <v>1087</v>
      </c>
      <c r="B298" s="126" t="s">
        <v>1088</v>
      </c>
      <c r="C298" t="str">
        <f t="shared" si="8"/>
        <v>Climate A</v>
      </c>
      <c r="E298" t="str">
        <f t="shared" si="9"/>
        <v>$D$101:$D$108</v>
      </c>
    </row>
    <row r="299" spans="1:5" x14ac:dyDescent="0.25">
      <c r="A299" s="126" t="s">
        <v>1089</v>
      </c>
      <c r="B299" s="126" t="s">
        <v>1090</v>
      </c>
      <c r="C299" t="str">
        <f t="shared" si="8"/>
        <v>Climate B</v>
      </c>
      <c r="E299" t="str">
        <f t="shared" si="9"/>
        <v>$D$101:$D$108</v>
      </c>
    </row>
    <row r="300" spans="1:5" x14ac:dyDescent="0.25">
      <c r="A300" s="126" t="s">
        <v>1091</v>
      </c>
      <c r="B300" s="126" t="s">
        <v>1092</v>
      </c>
      <c r="C300" t="str">
        <f t="shared" si="8"/>
        <v>Climate B</v>
      </c>
      <c r="E300" t="str">
        <f t="shared" si="9"/>
        <v>$D$101:$M$108</v>
      </c>
    </row>
    <row r="301" spans="1:5" x14ac:dyDescent="0.25">
      <c r="A301" s="126" t="s">
        <v>1093</v>
      </c>
      <c r="B301" s="126" t="s">
        <v>1094</v>
      </c>
      <c r="C301" t="str">
        <f t="shared" si="8"/>
        <v>Climate A</v>
      </c>
      <c r="E301" t="str">
        <f t="shared" si="9"/>
        <v>$E$101:$M$108</v>
      </c>
    </row>
    <row r="302" spans="1:5" x14ac:dyDescent="0.25">
      <c r="A302" s="126" t="s">
        <v>1095</v>
      </c>
      <c r="B302" s="126" t="s">
        <v>1096</v>
      </c>
      <c r="C302" t="str">
        <f t="shared" si="8"/>
        <v>Climate B</v>
      </c>
      <c r="E302" t="str">
        <f t="shared" si="9"/>
        <v>$E$101:$M$108</v>
      </c>
    </row>
    <row r="303" spans="1:5" x14ac:dyDescent="0.25">
      <c r="A303" s="126" t="s">
        <v>66</v>
      </c>
      <c r="B303" s="126" t="s">
        <v>1097</v>
      </c>
      <c r="C303" t="str">
        <f t="shared" si="8"/>
        <v>Climate A</v>
      </c>
      <c r="E303" t="str">
        <f t="shared" si="9"/>
        <v>$D$9:$G$9</v>
      </c>
    </row>
    <row r="304" spans="1:5" x14ac:dyDescent="0.25">
      <c r="A304" s="126" t="s">
        <v>1098</v>
      </c>
      <c r="B304" s="126" t="s">
        <v>1099</v>
      </c>
      <c r="C304" t="str">
        <f t="shared" si="8"/>
        <v>Climate A</v>
      </c>
      <c r="E304" t="str">
        <f t="shared" si="9"/>
        <v>$E$9</v>
      </c>
    </row>
    <row r="305" spans="1:5" x14ac:dyDescent="0.25">
      <c r="A305" s="126" t="s">
        <v>1100</v>
      </c>
      <c r="B305" s="126" t="s">
        <v>1101</v>
      </c>
      <c r="C305" t="str">
        <f t="shared" si="8"/>
        <v>Climate A</v>
      </c>
      <c r="E305" t="str">
        <f t="shared" si="9"/>
        <v>$D$9</v>
      </c>
    </row>
    <row r="306" spans="1:5" x14ac:dyDescent="0.25">
      <c r="A306" s="126" t="s">
        <v>1102</v>
      </c>
      <c r="B306" s="126" t="s">
        <v>1103</v>
      </c>
      <c r="C306" t="str">
        <f t="shared" si="8"/>
        <v>Climate A</v>
      </c>
      <c r="E306" t="str">
        <f t="shared" si="9"/>
        <v>$G$9</v>
      </c>
    </row>
    <row r="307" spans="1:5" x14ac:dyDescent="0.25">
      <c r="A307" s="126" t="s">
        <v>1104</v>
      </c>
      <c r="B307" s="126" t="s">
        <v>1105</v>
      </c>
      <c r="C307" t="str">
        <f t="shared" si="8"/>
        <v>Climate A</v>
      </c>
      <c r="E307" t="str">
        <f t="shared" si="9"/>
        <v>$F$9</v>
      </c>
    </row>
    <row r="308" spans="1:5" x14ac:dyDescent="0.25">
      <c r="A308" s="126" t="s">
        <v>1106</v>
      </c>
      <c r="B308" s="126" t="s">
        <v>1107</v>
      </c>
      <c r="C308" t="str">
        <f t="shared" si="8"/>
        <v>Base data</v>
      </c>
      <c r="E308" t="str">
        <f t="shared" si="9"/>
        <v>$B$104</v>
      </c>
    </row>
    <row r="309" spans="1:5" x14ac:dyDescent="0.25">
      <c r="A309" s="126" t="s">
        <v>1108</v>
      </c>
      <c r="B309" s="126" t="s">
        <v>1109</v>
      </c>
      <c r="C309" t="str">
        <f t="shared" si="8"/>
        <v>Policy A</v>
      </c>
      <c r="E309" t="str">
        <f t="shared" si="9"/>
        <v>$B$50:$K$50</v>
      </c>
    </row>
    <row r="310" spans="1:5" x14ac:dyDescent="0.25">
      <c r="A310" s="126" t="s">
        <v>1110</v>
      </c>
      <c r="B310" s="126" t="s">
        <v>1111</v>
      </c>
      <c r="C310" t="str">
        <f t="shared" si="8"/>
        <v>Policy B</v>
      </c>
      <c r="E310" t="str">
        <f t="shared" si="9"/>
        <v>$B$50:$K$50</v>
      </c>
    </row>
    <row r="311" spans="1:5" x14ac:dyDescent="0.25">
      <c r="A311" s="126" t="s">
        <v>1112</v>
      </c>
      <c r="B311" s="126" t="s">
        <v>1113</v>
      </c>
      <c r="C311" t="str">
        <f t="shared" si="8"/>
        <v>Climate A</v>
      </c>
      <c r="E311" t="str">
        <f t="shared" si="9"/>
        <v>$D$32:$M$32</v>
      </c>
    </row>
    <row r="312" spans="1:5" x14ac:dyDescent="0.25">
      <c r="A312" s="126" t="s">
        <v>1114</v>
      </c>
      <c r="B312" s="126" t="s">
        <v>1115</v>
      </c>
      <c r="C312" t="str">
        <f t="shared" si="8"/>
        <v>Climate A</v>
      </c>
      <c r="E312" t="str">
        <f t="shared" si="9"/>
        <v>$E$32:$M$32</v>
      </c>
    </row>
    <row r="313" spans="1:5" x14ac:dyDescent="0.25">
      <c r="A313" s="126" t="s">
        <v>1116</v>
      </c>
      <c r="B313" s="126" t="s">
        <v>1117</v>
      </c>
      <c r="C313" t="str">
        <f t="shared" si="8"/>
        <v>Climate A</v>
      </c>
      <c r="E313" t="str">
        <f t="shared" si="9"/>
        <v>$D$56:$M$56</v>
      </c>
    </row>
    <row r="314" spans="1:5" x14ac:dyDescent="0.25">
      <c r="A314" s="126" t="s">
        <v>1118</v>
      </c>
      <c r="B314" s="126" t="s">
        <v>1119</v>
      </c>
      <c r="C314" t="str">
        <f t="shared" si="8"/>
        <v>Climate A</v>
      </c>
      <c r="E314" t="str">
        <f t="shared" si="9"/>
        <v>$E$56:$M$56</v>
      </c>
    </row>
    <row r="315" spans="1:5" x14ac:dyDescent="0.25">
      <c r="A315" s="126" t="s">
        <v>1120</v>
      </c>
      <c r="B315" s="126" t="s">
        <v>1121</v>
      </c>
      <c r="C315" t="str">
        <f t="shared" si="8"/>
        <v>Climate A</v>
      </c>
      <c r="E315" t="str">
        <f t="shared" si="9"/>
        <v>$D$42:$M$42</v>
      </c>
    </row>
    <row r="316" spans="1:5" x14ac:dyDescent="0.25">
      <c r="A316" s="126" t="s">
        <v>1122</v>
      </c>
      <c r="B316" s="126" t="s">
        <v>1123</v>
      </c>
      <c r="C316" t="str">
        <f t="shared" si="8"/>
        <v>Climate A</v>
      </c>
      <c r="E316" t="str">
        <f t="shared" si="9"/>
        <v>$E$42:$M$42</v>
      </c>
    </row>
    <row r="317" spans="1:5" x14ac:dyDescent="0.25">
      <c r="A317" s="126" t="s">
        <v>1124</v>
      </c>
      <c r="B317" s="126" t="s">
        <v>1125</v>
      </c>
      <c r="C317" t="str">
        <f t="shared" si="8"/>
        <v>Climate A</v>
      </c>
      <c r="E317" t="str">
        <f t="shared" si="9"/>
        <v>$D$17:$M$17</v>
      </c>
    </row>
    <row r="318" spans="1:5" x14ac:dyDescent="0.25">
      <c r="A318" s="126" t="s">
        <v>1126</v>
      </c>
      <c r="B318" s="126" t="s">
        <v>1127</v>
      </c>
      <c r="C318" t="str">
        <f t="shared" si="8"/>
        <v>Climate A</v>
      </c>
      <c r="E318" t="str">
        <f t="shared" si="9"/>
        <v>$E$17:$M$17</v>
      </c>
    </row>
    <row r="319" spans="1:5" x14ac:dyDescent="0.25">
      <c r="A319" s="126" t="s">
        <v>1128</v>
      </c>
      <c r="B319" s="126" t="s">
        <v>1129</v>
      </c>
      <c r="C319" t="str">
        <f t="shared" si="8"/>
        <v>Climate A</v>
      </c>
      <c r="E319" t="str">
        <f t="shared" si="9"/>
        <v>$D$18:$M$18</v>
      </c>
    </row>
    <row r="320" spans="1:5" x14ac:dyDescent="0.25">
      <c r="A320" s="126" t="s">
        <v>1130</v>
      </c>
      <c r="B320" s="126" t="s">
        <v>1131</v>
      </c>
      <c r="C320" t="str">
        <f t="shared" si="8"/>
        <v>Impacts A</v>
      </c>
      <c r="E320" t="str">
        <f t="shared" si="9"/>
        <v>$C$106:$L$106</v>
      </c>
    </row>
    <row r="321" spans="1:5" x14ac:dyDescent="0.25">
      <c r="A321" s="126" t="s">
        <v>1132</v>
      </c>
      <c r="B321" s="126" t="s">
        <v>1133</v>
      </c>
      <c r="C321" t="str">
        <f t="shared" si="8"/>
        <v>Impacts A</v>
      </c>
      <c r="E321" t="str">
        <f t="shared" si="9"/>
        <v>$C$106</v>
      </c>
    </row>
    <row r="322" spans="1:5" x14ac:dyDescent="0.25">
      <c r="A322" s="126" t="s">
        <v>1134</v>
      </c>
      <c r="B322" s="126" t="s">
        <v>1135</v>
      </c>
      <c r="C322" t="str">
        <f t="shared" ref="C322:C385" si="10">IF(ISERR(FIND("'",B322)),MID(B322,FIND("=",B322)+1,FIND("!",B322)-(FIND("=",B322)+1)-1),MID(B322,FIND("='",B322)+2,FIND("!",B322)-(FIND("='",B322)+2)-1))</f>
        <v>Impacts A</v>
      </c>
      <c r="E322" t="str">
        <f t="shared" si="9"/>
        <v>$D$106:$L$106</v>
      </c>
    </row>
    <row r="323" spans="1:5" x14ac:dyDescent="0.25">
      <c r="A323" s="126" t="s">
        <v>236</v>
      </c>
      <c r="B323" s="126" t="s">
        <v>1136</v>
      </c>
      <c r="C323" t="str">
        <f t="shared" si="10"/>
        <v>Climate A</v>
      </c>
      <c r="E323" t="str">
        <f t="shared" ref="E323:E386" si="11">RIGHT(B323,LEN(B323)-FIND("!",B323))</f>
        <v>$D$138:$M$138</v>
      </c>
    </row>
    <row r="324" spans="1:5" x14ac:dyDescent="0.25">
      <c r="A324" s="126" t="s">
        <v>1137</v>
      </c>
      <c r="B324" s="126" t="s">
        <v>1138</v>
      </c>
      <c r="C324" t="str">
        <f t="shared" si="10"/>
        <v>Climate A</v>
      </c>
      <c r="E324" t="str">
        <f t="shared" si="11"/>
        <v>$D$138</v>
      </c>
    </row>
    <row r="325" spans="1:5" x14ac:dyDescent="0.25">
      <c r="A325" s="126" t="s">
        <v>1139</v>
      </c>
      <c r="B325" s="126" t="s">
        <v>1140</v>
      </c>
      <c r="C325" t="str">
        <f t="shared" si="10"/>
        <v>Climate A</v>
      </c>
      <c r="E325" t="str">
        <f t="shared" si="11"/>
        <v>$E$138:$M$138</v>
      </c>
    </row>
    <row r="326" spans="1:5" x14ac:dyDescent="0.25">
      <c r="A326" s="126" t="s">
        <v>224</v>
      </c>
      <c r="B326" s="126" t="s">
        <v>1141</v>
      </c>
      <c r="C326" t="str">
        <f t="shared" si="10"/>
        <v>Climate A</v>
      </c>
      <c r="E326" t="str">
        <f t="shared" si="11"/>
        <v>$D$109:$M$109</v>
      </c>
    </row>
    <row r="327" spans="1:5" x14ac:dyDescent="0.25">
      <c r="A327" s="126" t="s">
        <v>1142</v>
      </c>
      <c r="B327" s="126" t="s">
        <v>1143</v>
      </c>
      <c r="C327" t="str">
        <f t="shared" si="10"/>
        <v>Climate A</v>
      </c>
      <c r="E327" t="str">
        <f t="shared" si="11"/>
        <v>$E$109:$M$109</v>
      </c>
    </row>
    <row r="328" spans="1:5" x14ac:dyDescent="0.25">
      <c r="A328" s="126" t="s">
        <v>1144</v>
      </c>
      <c r="B328" s="126" t="s">
        <v>1145</v>
      </c>
      <c r="C328" t="str">
        <f t="shared" si="10"/>
        <v>Climate A</v>
      </c>
      <c r="E328" t="str">
        <f t="shared" si="11"/>
        <v>$D$50:$M$50</v>
      </c>
    </row>
    <row r="329" spans="1:5" x14ac:dyDescent="0.25">
      <c r="A329" s="126" t="s">
        <v>1146</v>
      </c>
      <c r="B329" s="126" t="s">
        <v>1147</v>
      </c>
      <c r="C329" t="str">
        <f t="shared" si="10"/>
        <v>Base data</v>
      </c>
      <c r="E329" t="str">
        <f t="shared" si="11"/>
        <v>$C$21</v>
      </c>
    </row>
    <row r="330" spans="1:5" x14ac:dyDescent="0.25">
      <c r="A330" s="126" t="s">
        <v>1148</v>
      </c>
      <c r="B330" s="126" t="s">
        <v>1149</v>
      </c>
      <c r="C330" t="str">
        <f t="shared" si="10"/>
        <v>Climate B</v>
      </c>
      <c r="E330" t="str">
        <f t="shared" si="11"/>
        <v>$D$50:$M$50</v>
      </c>
    </row>
    <row r="331" spans="1:5" x14ac:dyDescent="0.25">
      <c r="A331" s="126" t="s">
        <v>1150</v>
      </c>
      <c r="B331" s="126" t="s">
        <v>1151</v>
      </c>
      <c r="C331" t="str">
        <f t="shared" si="10"/>
        <v>Climate A</v>
      </c>
      <c r="E331" t="str">
        <f t="shared" si="11"/>
        <v>$D$37:$M$37</v>
      </c>
    </row>
    <row r="332" spans="1:5" x14ac:dyDescent="0.25">
      <c r="A332" s="126" t="s">
        <v>1152</v>
      </c>
      <c r="B332" s="126" t="s">
        <v>1153</v>
      </c>
      <c r="C332" t="str">
        <f t="shared" si="10"/>
        <v>Climate B</v>
      </c>
      <c r="E332" t="str">
        <f t="shared" si="11"/>
        <v>$D$37:$M$37</v>
      </c>
    </row>
    <row r="333" spans="1:5" x14ac:dyDescent="0.25">
      <c r="A333" s="126" t="s">
        <v>1154</v>
      </c>
      <c r="B333" s="126" t="s">
        <v>1155</v>
      </c>
      <c r="C333" t="str">
        <f t="shared" si="10"/>
        <v>Climate A</v>
      </c>
      <c r="E333" t="str">
        <f t="shared" si="11"/>
        <v>$D$27:$M$27</v>
      </c>
    </row>
    <row r="334" spans="1:5" x14ac:dyDescent="0.25">
      <c r="A334" s="126" t="s">
        <v>1156</v>
      </c>
      <c r="B334" s="126" t="s">
        <v>1157</v>
      </c>
      <c r="C334" t="str">
        <f t="shared" si="10"/>
        <v>Base data</v>
      </c>
      <c r="E334" t="str">
        <f t="shared" si="11"/>
        <v>$B$21</v>
      </c>
    </row>
    <row r="335" spans="1:5" x14ac:dyDescent="0.25">
      <c r="A335" s="126" t="s">
        <v>1158</v>
      </c>
      <c r="B335" s="126" t="s">
        <v>1159</v>
      </c>
      <c r="C335" t="str">
        <f t="shared" si="10"/>
        <v>Climate B</v>
      </c>
      <c r="E335" t="str">
        <f t="shared" si="11"/>
        <v>$D$27:$M$27</v>
      </c>
    </row>
    <row r="336" spans="1:5" x14ac:dyDescent="0.25">
      <c r="A336" s="126" t="s">
        <v>1160</v>
      </c>
      <c r="B336" s="126" t="s">
        <v>1161</v>
      </c>
      <c r="C336" t="str">
        <f t="shared" si="10"/>
        <v>Climate A</v>
      </c>
      <c r="E336" t="str">
        <f t="shared" si="11"/>
        <v>$D$61:$M$61</v>
      </c>
    </row>
    <row r="337" spans="1:5" x14ac:dyDescent="0.25">
      <c r="A337" s="126" t="s">
        <v>1162</v>
      </c>
      <c r="B337" s="126" t="s">
        <v>1163</v>
      </c>
      <c r="C337" t="str">
        <f t="shared" si="10"/>
        <v>Base data</v>
      </c>
      <c r="E337" t="str">
        <f t="shared" si="11"/>
        <v>$E$21</v>
      </c>
    </row>
    <row r="338" spans="1:5" x14ac:dyDescent="0.25">
      <c r="A338" s="126" t="s">
        <v>1164</v>
      </c>
      <c r="B338" s="126" t="s">
        <v>1165</v>
      </c>
      <c r="C338" t="str">
        <f t="shared" si="10"/>
        <v>Climate B</v>
      </c>
      <c r="E338" t="str">
        <f t="shared" si="11"/>
        <v>$D$61:$M$61</v>
      </c>
    </row>
    <row r="339" spans="1:5" x14ac:dyDescent="0.25">
      <c r="A339" s="126" t="s">
        <v>1166</v>
      </c>
      <c r="B339" s="126" t="s">
        <v>1167</v>
      </c>
      <c r="C339" t="str">
        <f t="shared" si="10"/>
        <v>Climate A</v>
      </c>
      <c r="E339" t="str">
        <f t="shared" si="11"/>
        <v>$D$51:$M$51</v>
      </c>
    </row>
    <row r="340" spans="1:5" x14ac:dyDescent="0.25">
      <c r="A340" s="126" t="s">
        <v>1168</v>
      </c>
      <c r="B340" s="126" t="s">
        <v>1169</v>
      </c>
      <c r="C340" t="str">
        <f t="shared" si="10"/>
        <v>Base data</v>
      </c>
      <c r="E340" t="str">
        <f t="shared" si="11"/>
        <v>$D$21</v>
      </c>
    </row>
    <row r="341" spans="1:5" x14ac:dyDescent="0.25">
      <c r="A341" s="126" t="s">
        <v>1170</v>
      </c>
      <c r="B341" s="126" t="s">
        <v>1171</v>
      </c>
      <c r="C341" t="str">
        <f t="shared" si="10"/>
        <v>Climate B</v>
      </c>
      <c r="E341" t="str">
        <f t="shared" si="11"/>
        <v>$D$51:$M$51</v>
      </c>
    </row>
    <row r="342" spans="1:5" x14ac:dyDescent="0.25">
      <c r="A342" s="126" t="s">
        <v>1172</v>
      </c>
      <c r="B342" s="126" t="s">
        <v>1173</v>
      </c>
      <c r="C342" t="str">
        <f t="shared" si="10"/>
        <v>Climate A</v>
      </c>
      <c r="E342" t="str">
        <f t="shared" si="11"/>
        <v>$D$47:$M$47</v>
      </c>
    </row>
    <row r="343" spans="1:5" x14ac:dyDescent="0.25">
      <c r="A343" s="126" t="s">
        <v>1174</v>
      </c>
      <c r="B343" s="126" t="s">
        <v>1175</v>
      </c>
      <c r="C343" t="str">
        <f t="shared" si="10"/>
        <v>Climate B</v>
      </c>
      <c r="E343" t="str">
        <f t="shared" si="11"/>
        <v>$D$47:$M$47</v>
      </c>
    </row>
    <row r="344" spans="1:5" x14ac:dyDescent="0.25">
      <c r="A344" s="126" t="s">
        <v>1176</v>
      </c>
      <c r="B344" s="126" t="s">
        <v>1177</v>
      </c>
      <c r="C344" t="str">
        <f t="shared" si="10"/>
        <v>Library data</v>
      </c>
      <c r="E344" t="str">
        <f t="shared" si="11"/>
        <v>$C$17</v>
      </c>
    </row>
    <row r="345" spans="1:5" x14ac:dyDescent="0.25">
      <c r="A345" s="126" t="s">
        <v>1178</v>
      </c>
      <c r="B345" s="126" t="s">
        <v>1179</v>
      </c>
      <c r="C345" t="str">
        <f t="shared" si="10"/>
        <v>Climate A</v>
      </c>
      <c r="E345" t="str">
        <f t="shared" si="11"/>
        <v>$D$91:$M$98</v>
      </c>
    </row>
    <row r="346" spans="1:5" x14ac:dyDescent="0.25">
      <c r="A346" s="126" t="s">
        <v>1180</v>
      </c>
      <c r="B346" s="126" t="s">
        <v>1181</v>
      </c>
      <c r="C346" t="str">
        <f t="shared" si="10"/>
        <v>Climate B</v>
      </c>
      <c r="E346" t="str">
        <f t="shared" si="11"/>
        <v>$D$91:$M$98</v>
      </c>
    </row>
    <row r="347" spans="1:5" x14ac:dyDescent="0.25">
      <c r="A347" s="126" t="s">
        <v>1182</v>
      </c>
      <c r="B347" s="126" t="s">
        <v>1183</v>
      </c>
      <c r="C347" t="str">
        <f t="shared" si="10"/>
        <v>Climate A</v>
      </c>
      <c r="E347" t="str">
        <f t="shared" si="11"/>
        <v>$D$99:$M$99</v>
      </c>
    </row>
    <row r="348" spans="1:5" x14ac:dyDescent="0.25">
      <c r="A348" s="126" t="s">
        <v>1184</v>
      </c>
      <c r="B348" s="126" t="s">
        <v>1185</v>
      </c>
      <c r="C348" t="str">
        <f t="shared" si="10"/>
        <v>Climate B</v>
      </c>
      <c r="E348" t="str">
        <f t="shared" si="11"/>
        <v>$D$99:$M$99</v>
      </c>
    </row>
    <row r="349" spans="1:5" x14ac:dyDescent="0.25">
      <c r="A349" s="126" t="s">
        <v>1186</v>
      </c>
      <c r="B349" s="126" t="s">
        <v>1187</v>
      </c>
      <c r="C349" t="str">
        <f t="shared" si="10"/>
        <v>Climate A</v>
      </c>
      <c r="E349" t="str">
        <f t="shared" si="11"/>
        <v>$D$73:$M$80</v>
      </c>
    </row>
    <row r="350" spans="1:5" x14ac:dyDescent="0.25">
      <c r="A350" s="126" t="s">
        <v>1188</v>
      </c>
      <c r="B350" s="126" t="s">
        <v>1189</v>
      </c>
      <c r="C350" t="str">
        <f t="shared" si="10"/>
        <v>Climate A</v>
      </c>
      <c r="E350" t="str">
        <f t="shared" si="11"/>
        <v>$C$73:$C$80</v>
      </c>
    </row>
    <row r="351" spans="1:5" x14ac:dyDescent="0.25">
      <c r="A351" s="126" t="s">
        <v>1190</v>
      </c>
      <c r="B351" s="126" t="s">
        <v>1191</v>
      </c>
      <c r="C351" t="str">
        <f t="shared" si="10"/>
        <v>Climate B</v>
      </c>
      <c r="E351" t="str">
        <f t="shared" si="11"/>
        <v>$D$73:$M$80</v>
      </c>
    </row>
    <row r="352" spans="1:5" x14ac:dyDescent="0.25">
      <c r="A352" s="126" t="s">
        <v>1192</v>
      </c>
      <c r="B352" s="126" t="s">
        <v>1193</v>
      </c>
      <c r="C352" t="str">
        <f t="shared" si="10"/>
        <v>Climate A</v>
      </c>
      <c r="E352" t="str">
        <f t="shared" si="11"/>
        <v>$D$81:$M$81</v>
      </c>
    </row>
    <row r="353" spans="1:5" x14ac:dyDescent="0.25">
      <c r="A353" s="126" t="s">
        <v>1194</v>
      </c>
      <c r="B353" s="126" t="s">
        <v>1195</v>
      </c>
      <c r="C353" t="str">
        <f t="shared" si="10"/>
        <v>Climate B</v>
      </c>
      <c r="E353" t="str">
        <f t="shared" si="11"/>
        <v>$D$81:$M$81</v>
      </c>
    </row>
    <row r="354" spans="1:5" x14ac:dyDescent="0.25">
      <c r="A354" s="126" t="s">
        <v>1196</v>
      </c>
      <c r="B354" s="126" t="s">
        <v>1197</v>
      </c>
      <c r="C354" t="str">
        <f t="shared" si="10"/>
        <v>Climate A</v>
      </c>
      <c r="E354" t="str">
        <f t="shared" si="11"/>
        <v>$D$82:$M$89</v>
      </c>
    </row>
    <row r="355" spans="1:5" x14ac:dyDescent="0.25">
      <c r="A355" s="126" t="s">
        <v>1198</v>
      </c>
      <c r="B355" s="126" t="s">
        <v>1199</v>
      </c>
      <c r="C355" t="str">
        <f t="shared" si="10"/>
        <v>Climate B</v>
      </c>
      <c r="E355" t="str">
        <f t="shared" si="11"/>
        <v>$D$82:$M$89</v>
      </c>
    </row>
    <row r="356" spans="1:5" x14ac:dyDescent="0.25">
      <c r="A356" s="126" t="s">
        <v>1200</v>
      </c>
      <c r="B356" s="126" t="s">
        <v>1201</v>
      </c>
      <c r="C356" t="str">
        <f t="shared" si="10"/>
        <v>Climate A</v>
      </c>
      <c r="E356" t="str">
        <f t="shared" si="11"/>
        <v>$D$90:$M$90</v>
      </c>
    </row>
    <row r="357" spans="1:5" x14ac:dyDescent="0.25">
      <c r="A357" s="126" t="s">
        <v>1202</v>
      </c>
      <c r="B357" s="126" t="s">
        <v>1203</v>
      </c>
      <c r="C357" t="str">
        <f t="shared" si="10"/>
        <v>Climate B</v>
      </c>
      <c r="E357" t="str">
        <f t="shared" si="11"/>
        <v>$D$90:$M$90</v>
      </c>
    </row>
    <row r="358" spans="1:5" x14ac:dyDescent="0.25">
      <c r="A358" s="126" t="s">
        <v>1204</v>
      </c>
      <c r="B358" s="126" t="s">
        <v>1205</v>
      </c>
      <c r="C358" t="str">
        <f t="shared" si="10"/>
        <v>Base data</v>
      </c>
      <c r="E358" t="str">
        <f t="shared" si="11"/>
        <v>$C$14</v>
      </c>
    </row>
    <row r="359" spans="1:5" x14ac:dyDescent="0.25">
      <c r="A359" s="126" t="s">
        <v>1206</v>
      </c>
      <c r="B359" s="126" t="s">
        <v>1207</v>
      </c>
      <c r="C359" t="str">
        <f t="shared" si="10"/>
        <v>Base data</v>
      </c>
      <c r="E359" t="str">
        <f t="shared" si="11"/>
        <v>$B$14</v>
      </c>
    </row>
    <row r="360" spans="1:5" x14ac:dyDescent="0.25">
      <c r="A360" s="126" t="s">
        <v>1208</v>
      </c>
      <c r="B360" s="126" t="s">
        <v>1209</v>
      </c>
      <c r="C360" t="str">
        <f t="shared" si="10"/>
        <v>Base data</v>
      </c>
      <c r="E360" t="str">
        <f t="shared" si="11"/>
        <v>$E$14</v>
      </c>
    </row>
    <row r="361" spans="1:5" x14ac:dyDescent="0.25">
      <c r="A361" s="126" t="s">
        <v>1210</v>
      </c>
      <c r="B361" s="126" t="s">
        <v>1211</v>
      </c>
      <c r="C361" t="str">
        <f t="shared" si="10"/>
        <v>Base data</v>
      </c>
      <c r="E361" t="str">
        <f t="shared" si="11"/>
        <v>$D$14</v>
      </c>
    </row>
    <row r="362" spans="1:5" x14ac:dyDescent="0.25">
      <c r="A362" s="126" t="s">
        <v>1212</v>
      </c>
      <c r="B362" s="126" t="s">
        <v>1213</v>
      </c>
      <c r="C362" t="str">
        <f t="shared" si="10"/>
        <v>Climate A</v>
      </c>
      <c r="E362" t="str">
        <f t="shared" si="11"/>
        <v>$D$62:$M$62</v>
      </c>
    </row>
    <row r="363" spans="1:5" x14ac:dyDescent="0.25">
      <c r="A363" s="126" t="s">
        <v>1214</v>
      </c>
      <c r="B363" s="126" t="s">
        <v>1215</v>
      </c>
      <c r="C363" t="str">
        <f t="shared" si="10"/>
        <v>Climate A</v>
      </c>
      <c r="E363" t="str">
        <f t="shared" si="11"/>
        <v>$C$62</v>
      </c>
    </row>
    <row r="364" spans="1:5" x14ac:dyDescent="0.25">
      <c r="A364" s="126" t="s">
        <v>1216</v>
      </c>
      <c r="B364" s="126" t="s">
        <v>1217</v>
      </c>
      <c r="C364" t="str">
        <f t="shared" si="10"/>
        <v>Climate B</v>
      </c>
      <c r="E364" t="str">
        <f t="shared" si="11"/>
        <v>$D$62:$M$62</v>
      </c>
    </row>
    <row r="365" spans="1:5" x14ac:dyDescent="0.25">
      <c r="A365" s="126" t="s">
        <v>1218</v>
      </c>
      <c r="B365" s="126" t="s">
        <v>1219</v>
      </c>
      <c r="C365" t="str">
        <f t="shared" si="10"/>
        <v>Climate A</v>
      </c>
      <c r="E365" t="str">
        <f t="shared" si="11"/>
        <v>$D$24:$M$24</v>
      </c>
    </row>
    <row r="366" spans="1:5" x14ac:dyDescent="0.25">
      <c r="A366" s="126" t="s">
        <v>1220</v>
      </c>
      <c r="B366" s="126" t="s">
        <v>1221</v>
      </c>
      <c r="C366" t="str">
        <f t="shared" si="10"/>
        <v>Climate B</v>
      </c>
      <c r="E366" t="str">
        <f t="shared" si="11"/>
        <v>$D$24:$M$24</v>
      </c>
    </row>
    <row r="367" spans="1:5" x14ac:dyDescent="0.25">
      <c r="A367" s="126" t="s">
        <v>23</v>
      </c>
      <c r="B367" s="126" t="s">
        <v>1222</v>
      </c>
      <c r="C367" t="str">
        <f t="shared" si="10"/>
        <v>Impacts A</v>
      </c>
      <c r="E367" t="str">
        <f t="shared" si="11"/>
        <v>$C$110:$L$117</v>
      </c>
    </row>
    <row r="368" spans="1:5" x14ac:dyDescent="0.25">
      <c r="A368" s="126" t="s">
        <v>1223</v>
      </c>
      <c r="B368" s="126" t="s">
        <v>1224</v>
      </c>
      <c r="C368" t="str">
        <f t="shared" si="10"/>
        <v>Base data</v>
      </c>
      <c r="E368" t="str">
        <f t="shared" si="11"/>
        <v>$D$24:$D$31</v>
      </c>
    </row>
    <row r="369" spans="1:5" x14ac:dyDescent="0.25">
      <c r="A369" s="126" t="s">
        <v>1225</v>
      </c>
      <c r="B369" s="126" t="s">
        <v>1226</v>
      </c>
      <c r="C369" t="str">
        <f t="shared" si="10"/>
        <v>Impacts A</v>
      </c>
      <c r="E369" t="str">
        <f t="shared" si="11"/>
        <v>$C$118:$L$118</v>
      </c>
    </row>
    <row r="370" spans="1:5" x14ac:dyDescent="0.25">
      <c r="A370" s="126" t="s">
        <v>1227</v>
      </c>
      <c r="B370" s="126" t="s">
        <v>1228</v>
      </c>
      <c r="C370" t="str">
        <f t="shared" si="10"/>
        <v>Impacts A</v>
      </c>
      <c r="E370" t="str">
        <f t="shared" si="11"/>
        <v>$B$118</v>
      </c>
    </row>
    <row r="371" spans="1:5" x14ac:dyDescent="0.25">
      <c r="A371" s="126" t="s">
        <v>1229</v>
      </c>
      <c r="B371" s="126" t="s">
        <v>1230</v>
      </c>
      <c r="C371" t="str">
        <f t="shared" si="10"/>
        <v>Impacts A</v>
      </c>
      <c r="E371" t="str">
        <f t="shared" si="11"/>
        <v>$C$118</v>
      </c>
    </row>
    <row r="372" spans="1:5" x14ac:dyDescent="0.25">
      <c r="A372" s="126" t="s">
        <v>1231</v>
      </c>
      <c r="B372" s="126" t="s">
        <v>1232</v>
      </c>
      <c r="C372" t="str">
        <f t="shared" si="10"/>
        <v>Impacts A</v>
      </c>
      <c r="E372" t="str">
        <f t="shared" si="11"/>
        <v>$D$118:$L$118</v>
      </c>
    </row>
    <row r="373" spans="1:5" x14ac:dyDescent="0.25">
      <c r="A373" s="126" t="s">
        <v>1233</v>
      </c>
      <c r="B373" s="126" t="s">
        <v>1234</v>
      </c>
      <c r="C373" t="str">
        <f t="shared" si="10"/>
        <v>Impacts A</v>
      </c>
      <c r="E373" t="str">
        <f t="shared" si="11"/>
        <v>$D$110:$L$117</v>
      </c>
    </row>
    <row r="374" spans="1:5" x14ac:dyDescent="0.25">
      <c r="A374" s="126" t="s">
        <v>1235</v>
      </c>
      <c r="B374" s="126" t="s">
        <v>1236</v>
      </c>
      <c r="C374" t="str">
        <f t="shared" si="10"/>
        <v>Impacts A</v>
      </c>
      <c r="E374" t="str">
        <f t="shared" si="11"/>
        <v>$C$132:$L$139</v>
      </c>
    </row>
    <row r="375" spans="1:5" x14ac:dyDescent="0.25">
      <c r="A375" s="126" t="s">
        <v>1237</v>
      </c>
      <c r="B375" s="126" t="s">
        <v>1238</v>
      </c>
      <c r="C375" t="str">
        <f t="shared" si="10"/>
        <v>Impacts A</v>
      </c>
      <c r="E375" t="str">
        <f t="shared" si="11"/>
        <v>$B$132:$B$139</v>
      </c>
    </row>
    <row r="376" spans="1:5" x14ac:dyDescent="0.25">
      <c r="A376" s="126" t="s">
        <v>1239</v>
      </c>
      <c r="B376" s="126" t="s">
        <v>1240</v>
      </c>
      <c r="C376" t="str">
        <f t="shared" si="10"/>
        <v>Impacts A</v>
      </c>
      <c r="E376" t="str">
        <f t="shared" si="11"/>
        <v>$C$182:$L$189</v>
      </c>
    </row>
    <row r="377" spans="1:5" x14ac:dyDescent="0.25">
      <c r="A377" s="126" t="s">
        <v>1241</v>
      </c>
      <c r="B377" s="126" t="s">
        <v>1242</v>
      </c>
      <c r="C377" t="str">
        <f t="shared" si="10"/>
        <v>Impacts B</v>
      </c>
      <c r="E377" t="str">
        <f t="shared" si="11"/>
        <v>$C$182:$L$189</v>
      </c>
    </row>
    <row r="378" spans="1:5" x14ac:dyDescent="0.25">
      <c r="A378" s="126" t="s">
        <v>1243</v>
      </c>
      <c r="B378" s="126" t="s">
        <v>1244</v>
      </c>
      <c r="C378" t="str">
        <f t="shared" si="10"/>
        <v>Impacts A</v>
      </c>
      <c r="E378" t="str">
        <f t="shared" si="11"/>
        <v>$B$132</v>
      </c>
    </row>
    <row r="379" spans="1:5" x14ac:dyDescent="0.25">
      <c r="A379" s="126" t="s">
        <v>1245</v>
      </c>
      <c r="B379" s="126" t="s">
        <v>1246</v>
      </c>
      <c r="C379" t="str">
        <f t="shared" si="10"/>
        <v>Impacts A</v>
      </c>
      <c r="E379" t="str">
        <f t="shared" si="11"/>
        <v>$C$140:$L$140</v>
      </c>
    </row>
    <row r="380" spans="1:5" x14ac:dyDescent="0.25">
      <c r="A380" s="126" t="s">
        <v>1247</v>
      </c>
      <c r="B380" s="126" t="s">
        <v>1248</v>
      </c>
      <c r="C380" t="str">
        <f t="shared" si="10"/>
        <v>Impacts A</v>
      </c>
      <c r="E380" t="str">
        <f t="shared" si="11"/>
        <v>$B$140</v>
      </c>
    </row>
    <row r="381" spans="1:5" x14ac:dyDescent="0.25">
      <c r="A381" s="126" t="s">
        <v>1249</v>
      </c>
      <c r="B381" s="126" t="s">
        <v>1250</v>
      </c>
      <c r="C381" t="str">
        <f t="shared" si="10"/>
        <v>Base data</v>
      </c>
      <c r="E381" t="str">
        <f t="shared" si="11"/>
        <v>$E$11</v>
      </c>
    </row>
    <row r="382" spans="1:5" x14ac:dyDescent="0.25">
      <c r="A382" s="126" t="s">
        <v>1251</v>
      </c>
      <c r="B382" s="126" t="s">
        <v>1252</v>
      </c>
      <c r="C382" t="str">
        <f t="shared" si="10"/>
        <v>Base data</v>
      </c>
      <c r="E382" t="str">
        <f t="shared" si="11"/>
        <v>$C$36:$L$43</v>
      </c>
    </row>
    <row r="383" spans="1:5" x14ac:dyDescent="0.25">
      <c r="A383" s="126" t="s">
        <v>1253</v>
      </c>
      <c r="B383" s="126" t="s">
        <v>1254</v>
      </c>
      <c r="C383" t="str">
        <f t="shared" si="10"/>
        <v>Base data</v>
      </c>
      <c r="E383" t="str">
        <f t="shared" si="11"/>
        <v>$C$36:$C$43</v>
      </c>
    </row>
    <row r="384" spans="1:5" x14ac:dyDescent="0.25">
      <c r="A384" s="126" t="s">
        <v>1255</v>
      </c>
      <c r="B384" s="126" t="s">
        <v>1256</v>
      </c>
      <c r="C384" t="str">
        <f t="shared" si="10"/>
        <v>Impacts A</v>
      </c>
      <c r="E384" t="str">
        <f t="shared" si="11"/>
        <v>$C$119:$L$119</v>
      </c>
    </row>
    <row r="385" spans="1:5" x14ac:dyDescent="0.25">
      <c r="A385" s="126" t="s">
        <v>1257</v>
      </c>
      <c r="B385" s="126" t="s">
        <v>1258</v>
      </c>
      <c r="C385" t="str">
        <f t="shared" si="10"/>
        <v>Base data</v>
      </c>
      <c r="E385" t="str">
        <f t="shared" si="11"/>
        <v>$D$36:$L$43</v>
      </c>
    </row>
    <row r="386" spans="1:5" x14ac:dyDescent="0.25">
      <c r="A386" s="126" t="s">
        <v>1259</v>
      </c>
      <c r="B386" s="126" t="s">
        <v>1260</v>
      </c>
      <c r="C386" t="str">
        <f t="shared" ref="C386:C449" si="12">IF(ISERR(FIND("'",B386)),MID(B386,FIND("=",B386)+1,FIND("!",B386)-(FIND("=",B386)+1)-1),MID(B386,FIND("='",B386)+2,FIND("!",B386)-(FIND("='",B386)+2)-1))</f>
        <v>Impacts A</v>
      </c>
      <c r="E386" t="str">
        <f t="shared" si="11"/>
        <v>$C$86:$L$93</v>
      </c>
    </row>
    <row r="387" spans="1:5" x14ac:dyDescent="0.25">
      <c r="A387" s="126" t="s">
        <v>1261</v>
      </c>
      <c r="B387" s="126" t="s">
        <v>1262</v>
      </c>
      <c r="C387" t="str">
        <f t="shared" si="12"/>
        <v>Impacts B</v>
      </c>
      <c r="E387" t="str">
        <f t="shared" ref="E387:E450" si="13">RIGHT(B387,LEN(B387)-FIND("!",B387))</f>
        <v>$C$86:$L$93</v>
      </c>
    </row>
    <row r="388" spans="1:5" x14ac:dyDescent="0.25">
      <c r="A388" s="126" t="s">
        <v>1263</v>
      </c>
      <c r="B388" s="126" t="s">
        <v>1264</v>
      </c>
      <c r="C388" t="str">
        <f t="shared" si="12"/>
        <v>Base data</v>
      </c>
      <c r="E388" t="str">
        <f t="shared" si="13"/>
        <v>$B$6</v>
      </c>
    </row>
    <row r="389" spans="1:5" x14ac:dyDescent="0.25">
      <c r="A389" s="126" t="s">
        <v>1265</v>
      </c>
      <c r="B389" s="126" t="s">
        <v>1266</v>
      </c>
      <c r="C389" t="str">
        <f t="shared" si="12"/>
        <v>Impacts A</v>
      </c>
      <c r="E389" t="str">
        <f t="shared" si="13"/>
        <v>$C$95:$L$102</v>
      </c>
    </row>
    <row r="390" spans="1:5" x14ac:dyDescent="0.25">
      <c r="A390" s="126" t="s">
        <v>1267</v>
      </c>
      <c r="B390" s="126" t="s">
        <v>1268</v>
      </c>
      <c r="C390" t="str">
        <f t="shared" si="12"/>
        <v>Impacts B</v>
      </c>
      <c r="E390" t="str">
        <f t="shared" si="13"/>
        <v>$C$95:$L$102</v>
      </c>
    </row>
    <row r="391" spans="1:5" x14ac:dyDescent="0.25">
      <c r="A391" s="126" t="s">
        <v>1269</v>
      </c>
      <c r="B391" s="126" t="s">
        <v>1270</v>
      </c>
      <c r="C391" t="str">
        <f t="shared" si="12"/>
        <v>Base data</v>
      </c>
      <c r="E391" t="str">
        <f t="shared" si="13"/>
        <v>$B$7</v>
      </c>
    </row>
    <row r="392" spans="1:5" x14ac:dyDescent="0.25">
      <c r="A392" s="126" t="s">
        <v>1271</v>
      </c>
      <c r="B392" s="126" t="s">
        <v>1272</v>
      </c>
      <c r="C392" t="str">
        <f t="shared" si="12"/>
        <v>Impacts A</v>
      </c>
      <c r="E392" t="str">
        <f t="shared" si="13"/>
        <v>$C$104:$L$104</v>
      </c>
    </row>
    <row r="393" spans="1:5" x14ac:dyDescent="0.25">
      <c r="A393" s="126" t="s">
        <v>1273</v>
      </c>
      <c r="B393" s="126" t="s">
        <v>1274</v>
      </c>
      <c r="C393" t="str">
        <f t="shared" si="12"/>
        <v>Impacts B</v>
      </c>
      <c r="E393" t="str">
        <f t="shared" si="13"/>
        <v>$C$104:$L$104</v>
      </c>
    </row>
    <row r="394" spans="1:5" x14ac:dyDescent="0.25">
      <c r="A394" s="126" t="s">
        <v>1275</v>
      </c>
      <c r="B394" s="126" t="s">
        <v>1276</v>
      </c>
      <c r="C394" t="str">
        <f t="shared" si="12"/>
        <v>Impacts A</v>
      </c>
      <c r="E394" t="str">
        <f t="shared" si="13"/>
        <v>$C$77:$L$84</v>
      </c>
    </row>
    <row r="395" spans="1:5" x14ac:dyDescent="0.25">
      <c r="A395" s="126" t="s">
        <v>1277</v>
      </c>
      <c r="B395" s="126" t="s">
        <v>1278</v>
      </c>
      <c r="C395" t="str">
        <f t="shared" si="12"/>
        <v>Impacts B</v>
      </c>
      <c r="E395" t="str">
        <f t="shared" si="13"/>
        <v>$C$77:$L$84</v>
      </c>
    </row>
    <row r="396" spans="1:5" x14ac:dyDescent="0.25">
      <c r="A396" s="126" t="s">
        <v>1279</v>
      </c>
      <c r="B396" s="126" t="s">
        <v>1280</v>
      </c>
      <c r="C396" t="str">
        <f t="shared" si="12"/>
        <v>Library data</v>
      </c>
      <c r="E396" t="str">
        <f t="shared" si="13"/>
        <v>$C$32</v>
      </c>
    </row>
    <row r="397" spans="1:5" x14ac:dyDescent="0.25">
      <c r="A397" s="126" t="s">
        <v>1281</v>
      </c>
      <c r="B397" s="126" t="s">
        <v>1282</v>
      </c>
      <c r="C397" t="str">
        <f t="shared" si="12"/>
        <v>Library data</v>
      </c>
      <c r="E397" t="str">
        <f t="shared" si="13"/>
        <v>$C$36</v>
      </c>
    </row>
    <row r="398" spans="1:5" x14ac:dyDescent="0.25">
      <c r="A398" s="126" t="s">
        <v>1283</v>
      </c>
      <c r="B398" s="126" t="s">
        <v>1284</v>
      </c>
      <c r="C398" t="str">
        <f t="shared" si="12"/>
        <v>Library data</v>
      </c>
      <c r="E398" t="str">
        <f t="shared" si="13"/>
        <v>$C$28</v>
      </c>
    </row>
    <row r="399" spans="1:5" x14ac:dyDescent="0.25">
      <c r="A399" s="126" t="s">
        <v>1285</v>
      </c>
      <c r="B399" s="126" t="s">
        <v>1286</v>
      </c>
      <c r="C399" t="str">
        <f t="shared" si="12"/>
        <v>Library data</v>
      </c>
      <c r="E399" t="str">
        <f t="shared" si="13"/>
        <v>$C$82</v>
      </c>
    </row>
    <row r="400" spans="1:5" x14ac:dyDescent="0.25">
      <c r="A400" s="126" t="s">
        <v>1287</v>
      </c>
      <c r="B400" s="126" t="s">
        <v>1288</v>
      </c>
      <c r="C400" t="str">
        <f t="shared" si="12"/>
        <v>Library data</v>
      </c>
      <c r="E400" t="str">
        <f t="shared" si="13"/>
        <v>$C$75</v>
      </c>
    </row>
    <row r="401" spans="1:5" x14ac:dyDescent="0.25">
      <c r="A401" s="126" t="s">
        <v>1289</v>
      </c>
      <c r="B401" s="126" t="s">
        <v>1290</v>
      </c>
      <c r="C401" t="str">
        <f t="shared" si="12"/>
        <v>Library data</v>
      </c>
      <c r="E401" t="str">
        <f t="shared" si="13"/>
        <v>$C$96</v>
      </c>
    </row>
    <row r="402" spans="1:5" x14ac:dyDescent="0.25">
      <c r="A402" s="126" t="s">
        <v>1291</v>
      </c>
      <c r="B402" s="126" t="s">
        <v>1292</v>
      </c>
      <c r="C402" t="str">
        <f t="shared" si="12"/>
        <v>Library data</v>
      </c>
      <c r="E402" t="str">
        <f t="shared" si="13"/>
        <v>$C$89</v>
      </c>
    </row>
    <row r="403" spans="1:5" x14ac:dyDescent="0.25">
      <c r="A403" s="126" t="s">
        <v>1293</v>
      </c>
      <c r="B403" s="126" t="s">
        <v>1294</v>
      </c>
      <c r="C403" t="str">
        <f t="shared" si="12"/>
        <v>Impacts A</v>
      </c>
      <c r="E403" t="str">
        <f t="shared" si="13"/>
        <v>$C$254:$L$261</v>
      </c>
    </row>
    <row r="404" spans="1:5" x14ac:dyDescent="0.25">
      <c r="A404" s="126" t="s">
        <v>1295</v>
      </c>
      <c r="B404" s="126" t="s">
        <v>1296</v>
      </c>
      <c r="C404" t="str">
        <f t="shared" si="12"/>
        <v>Impacts B</v>
      </c>
      <c r="E404" t="str">
        <f t="shared" si="13"/>
        <v>$C$254:$L$261</v>
      </c>
    </row>
    <row r="405" spans="1:5" x14ac:dyDescent="0.25">
      <c r="A405" s="126" t="s">
        <v>1297</v>
      </c>
      <c r="B405" s="126" t="s">
        <v>1298</v>
      </c>
      <c r="C405" t="str">
        <f t="shared" si="12"/>
        <v>Impacts A</v>
      </c>
      <c r="E405" t="str">
        <f t="shared" si="13"/>
        <v>$C$308:$L$315</v>
      </c>
    </row>
    <row r="406" spans="1:5" x14ac:dyDescent="0.25">
      <c r="A406" s="126" t="s">
        <v>1299</v>
      </c>
      <c r="B406" s="126" t="s">
        <v>1300</v>
      </c>
      <c r="C406" t="str">
        <f t="shared" si="12"/>
        <v>Impacts B</v>
      </c>
      <c r="E406" t="str">
        <f t="shared" si="13"/>
        <v>$C$308:$L$315</v>
      </c>
    </row>
    <row r="407" spans="1:5" x14ac:dyDescent="0.25">
      <c r="A407" s="126" t="s">
        <v>1301</v>
      </c>
      <c r="B407" s="126" t="s">
        <v>1302</v>
      </c>
      <c r="C407" t="str">
        <f t="shared" si="12"/>
        <v>Impacts A</v>
      </c>
      <c r="E407" t="str">
        <f t="shared" si="13"/>
        <v>$C$200:$L$207</v>
      </c>
    </row>
    <row r="408" spans="1:5" x14ac:dyDescent="0.25">
      <c r="A408" s="126" t="s">
        <v>1303</v>
      </c>
      <c r="B408" s="126" t="s">
        <v>1304</v>
      </c>
      <c r="C408" t="str">
        <f t="shared" si="12"/>
        <v>Impacts B</v>
      </c>
      <c r="E408" t="str">
        <f t="shared" si="13"/>
        <v>$C$200:$L$207</v>
      </c>
    </row>
    <row r="409" spans="1:5" x14ac:dyDescent="0.25">
      <c r="A409" s="126" t="s">
        <v>1305</v>
      </c>
      <c r="B409" s="126" t="s">
        <v>1306</v>
      </c>
      <c r="C409" t="str">
        <f t="shared" si="12"/>
        <v>Impacts A</v>
      </c>
      <c r="E409" t="str">
        <f t="shared" si="13"/>
        <v>$C$371:$L$378</v>
      </c>
    </row>
    <row r="410" spans="1:5" x14ac:dyDescent="0.25">
      <c r="A410" s="126" t="s">
        <v>1307</v>
      </c>
      <c r="B410" s="126" t="s">
        <v>1308</v>
      </c>
      <c r="C410" t="str">
        <f t="shared" si="12"/>
        <v>Impacts A</v>
      </c>
      <c r="E410" t="str">
        <f t="shared" si="13"/>
        <v>$C$371:$C$378</v>
      </c>
    </row>
    <row r="411" spans="1:5" x14ac:dyDescent="0.25">
      <c r="A411" s="126" t="s">
        <v>1309</v>
      </c>
      <c r="B411" s="126" t="s">
        <v>1310</v>
      </c>
      <c r="C411" t="str">
        <f t="shared" si="12"/>
        <v>Impacts B</v>
      </c>
      <c r="E411" t="str">
        <f t="shared" si="13"/>
        <v>$C$371:$C$378</v>
      </c>
    </row>
    <row r="412" spans="1:5" x14ac:dyDescent="0.25">
      <c r="A412" s="126" t="s">
        <v>1311</v>
      </c>
      <c r="B412" s="126" t="s">
        <v>1312</v>
      </c>
      <c r="C412" t="str">
        <f t="shared" si="12"/>
        <v>Impacts B</v>
      </c>
      <c r="E412" t="str">
        <f t="shared" si="13"/>
        <v>$C$371:$L$378</v>
      </c>
    </row>
    <row r="413" spans="1:5" x14ac:dyDescent="0.25">
      <c r="A413" s="126" t="s">
        <v>1313</v>
      </c>
      <c r="B413" s="126" t="s">
        <v>1314</v>
      </c>
      <c r="C413" t="str">
        <f t="shared" si="12"/>
        <v>Impacts A</v>
      </c>
      <c r="E413" t="str">
        <f t="shared" si="13"/>
        <v>$D$371:$L$378</v>
      </c>
    </row>
    <row r="414" spans="1:5" x14ac:dyDescent="0.25">
      <c r="A414" s="126" t="s">
        <v>1315</v>
      </c>
      <c r="B414" s="126" t="s">
        <v>1316</v>
      </c>
      <c r="C414" t="str">
        <f t="shared" si="12"/>
        <v>Impacts B</v>
      </c>
      <c r="E414" t="str">
        <f t="shared" si="13"/>
        <v>$D$371:$L$378</v>
      </c>
    </row>
    <row r="415" spans="1:5" x14ac:dyDescent="0.25">
      <c r="A415" s="126" t="s">
        <v>1317</v>
      </c>
      <c r="B415" s="126" t="s">
        <v>1318</v>
      </c>
      <c r="C415" t="str">
        <f t="shared" si="12"/>
        <v>Impacts A</v>
      </c>
      <c r="E415" t="str">
        <f t="shared" si="13"/>
        <v>$C$362:$L$369</v>
      </c>
    </row>
    <row r="416" spans="1:5" x14ac:dyDescent="0.25">
      <c r="A416" s="126" t="s">
        <v>1319</v>
      </c>
      <c r="B416" s="126" t="s">
        <v>1320</v>
      </c>
      <c r="C416" t="str">
        <f t="shared" si="12"/>
        <v>Impacts A</v>
      </c>
      <c r="E416" t="str">
        <f t="shared" si="13"/>
        <v>$C$362:$C$369</v>
      </c>
    </row>
    <row r="417" spans="1:5" x14ac:dyDescent="0.25">
      <c r="A417" s="126" t="s">
        <v>1321</v>
      </c>
      <c r="B417" s="126" t="s">
        <v>1322</v>
      </c>
      <c r="C417" t="str">
        <f t="shared" si="12"/>
        <v>Impacts B</v>
      </c>
      <c r="E417" t="str">
        <f t="shared" si="13"/>
        <v>$C$362:$C$369</v>
      </c>
    </row>
    <row r="418" spans="1:5" x14ac:dyDescent="0.25">
      <c r="A418" s="126" t="s">
        <v>1323</v>
      </c>
      <c r="B418" s="126" t="s">
        <v>1324</v>
      </c>
      <c r="C418" t="str">
        <f t="shared" si="12"/>
        <v>Impacts B</v>
      </c>
      <c r="E418" t="str">
        <f t="shared" si="13"/>
        <v>$C$362:$L$369</v>
      </c>
    </row>
    <row r="419" spans="1:5" x14ac:dyDescent="0.25">
      <c r="A419" s="126" t="s">
        <v>1325</v>
      </c>
      <c r="B419" s="126" t="s">
        <v>1326</v>
      </c>
      <c r="C419" t="str">
        <f t="shared" si="12"/>
        <v>Impacts A</v>
      </c>
      <c r="E419" t="str">
        <f t="shared" si="13"/>
        <v>$D$362:$L$369</v>
      </c>
    </row>
    <row r="420" spans="1:5" x14ac:dyDescent="0.25">
      <c r="A420" s="126" t="s">
        <v>1327</v>
      </c>
      <c r="B420" s="126" t="s">
        <v>1328</v>
      </c>
      <c r="C420" t="str">
        <f t="shared" si="12"/>
        <v>Impacts B</v>
      </c>
      <c r="E420" t="str">
        <f t="shared" si="13"/>
        <v>$D$362:$L$369</v>
      </c>
    </row>
    <row r="421" spans="1:5" x14ac:dyDescent="0.25">
      <c r="A421" s="126" t="s">
        <v>1329</v>
      </c>
      <c r="B421" s="126" t="s">
        <v>1330</v>
      </c>
      <c r="C421" t="str">
        <f t="shared" si="12"/>
        <v>Impacts A</v>
      </c>
      <c r="E421" t="str">
        <f t="shared" si="13"/>
        <v>$C$59:$L$66</v>
      </c>
    </row>
    <row r="422" spans="1:5" x14ac:dyDescent="0.25">
      <c r="A422" s="126" t="s">
        <v>1331</v>
      </c>
      <c r="B422" s="126" t="s">
        <v>1332</v>
      </c>
      <c r="C422" t="str">
        <f t="shared" si="12"/>
        <v>Impacts B</v>
      </c>
      <c r="E422" t="str">
        <f t="shared" si="13"/>
        <v>$C$59:$L$66</v>
      </c>
    </row>
    <row r="423" spans="1:5" x14ac:dyDescent="0.25">
      <c r="A423" s="126" t="s">
        <v>1333</v>
      </c>
      <c r="B423" s="126" t="s">
        <v>1334</v>
      </c>
      <c r="C423" t="str">
        <f t="shared" si="12"/>
        <v>Impacts A</v>
      </c>
      <c r="E423" t="str">
        <f t="shared" si="13"/>
        <v>$C$68:$L$75</v>
      </c>
    </row>
    <row r="424" spans="1:5" x14ac:dyDescent="0.25">
      <c r="A424" s="126" t="s">
        <v>1335</v>
      </c>
      <c r="B424" s="126" t="s">
        <v>1336</v>
      </c>
      <c r="C424" t="str">
        <f t="shared" si="12"/>
        <v>Impacts B</v>
      </c>
      <c r="E424" t="str">
        <f t="shared" si="13"/>
        <v>$C$68:$L$75</v>
      </c>
    </row>
    <row r="425" spans="1:5" x14ac:dyDescent="0.25">
      <c r="A425" s="126" t="s">
        <v>1337</v>
      </c>
      <c r="B425" s="126" t="s">
        <v>1338</v>
      </c>
      <c r="C425" t="str">
        <f t="shared" si="12"/>
        <v>Impacts A</v>
      </c>
      <c r="E425" t="str">
        <f t="shared" si="13"/>
        <v>$C$50:$L$57</v>
      </c>
    </row>
    <row r="426" spans="1:5" x14ac:dyDescent="0.25">
      <c r="A426" s="126" t="s">
        <v>1339</v>
      </c>
      <c r="B426" s="126" t="s">
        <v>1340</v>
      </c>
      <c r="C426" t="str">
        <f t="shared" si="12"/>
        <v>Impacts B</v>
      </c>
      <c r="E426" t="str">
        <f t="shared" si="13"/>
        <v>$C$50:$L$57</v>
      </c>
    </row>
    <row r="427" spans="1:5" x14ac:dyDescent="0.25">
      <c r="A427" s="126" t="s">
        <v>1341</v>
      </c>
      <c r="B427" s="126" t="s">
        <v>1342</v>
      </c>
      <c r="C427" t="str">
        <f t="shared" si="12"/>
        <v>Policy A</v>
      </c>
      <c r="E427" t="str">
        <f t="shared" si="13"/>
        <v>$I$64:$I$71</v>
      </c>
    </row>
    <row r="428" spans="1:5" x14ac:dyDescent="0.25">
      <c r="A428" s="126" t="s">
        <v>1343</v>
      </c>
      <c r="B428" s="126" t="s">
        <v>1344</v>
      </c>
      <c r="C428" t="str">
        <f t="shared" si="12"/>
        <v>Policy B</v>
      </c>
      <c r="E428" t="str">
        <f t="shared" si="13"/>
        <v>$I$64:$I$71</v>
      </c>
    </row>
    <row r="429" spans="1:5" x14ac:dyDescent="0.25">
      <c r="A429" s="126" t="s">
        <v>1345</v>
      </c>
      <c r="B429" s="126" t="s">
        <v>1346</v>
      </c>
      <c r="C429" t="str">
        <f t="shared" si="12"/>
        <v>Policy A</v>
      </c>
      <c r="E429" t="str">
        <f t="shared" si="13"/>
        <v>$I$74:$I$81</v>
      </c>
    </row>
    <row r="430" spans="1:5" x14ac:dyDescent="0.25">
      <c r="A430" s="126" t="s">
        <v>1347</v>
      </c>
      <c r="B430" s="126" t="s">
        <v>1348</v>
      </c>
      <c r="C430" t="str">
        <f t="shared" si="12"/>
        <v>Policy B</v>
      </c>
      <c r="E430" t="str">
        <f t="shared" si="13"/>
        <v>$I$74:$I$81</v>
      </c>
    </row>
    <row r="431" spans="1:5" x14ac:dyDescent="0.25">
      <c r="A431" s="126" t="s">
        <v>1349</v>
      </c>
      <c r="B431" s="126" t="s">
        <v>1350</v>
      </c>
      <c r="C431" t="str">
        <f t="shared" si="12"/>
        <v>Policy A</v>
      </c>
      <c r="E431" t="str">
        <f t="shared" si="13"/>
        <v>$I$54:$I$61</v>
      </c>
    </row>
    <row r="432" spans="1:5" x14ac:dyDescent="0.25">
      <c r="A432" s="126" t="s">
        <v>1351</v>
      </c>
      <c r="B432" s="126" t="s">
        <v>1352</v>
      </c>
      <c r="C432" t="str">
        <f t="shared" si="12"/>
        <v>Policy B</v>
      </c>
      <c r="E432" t="str">
        <f t="shared" si="13"/>
        <v>$I$54:$I$61</v>
      </c>
    </row>
    <row r="433" spans="1:5" x14ac:dyDescent="0.25">
      <c r="A433" s="126" t="s">
        <v>1353</v>
      </c>
      <c r="B433" s="126" t="s">
        <v>1354</v>
      </c>
      <c r="C433" t="str">
        <f t="shared" si="12"/>
        <v>Policy A</v>
      </c>
      <c r="E433" t="str">
        <f t="shared" si="13"/>
        <v>$F$64:$F$71</v>
      </c>
    </row>
    <row r="434" spans="1:5" x14ac:dyDescent="0.25">
      <c r="A434" s="126" t="s">
        <v>1355</v>
      </c>
      <c r="B434" s="126" t="s">
        <v>1356</v>
      </c>
      <c r="C434" t="str">
        <f t="shared" si="12"/>
        <v>Policy B</v>
      </c>
      <c r="E434" t="str">
        <f t="shared" si="13"/>
        <v>$F$64:$F$71</v>
      </c>
    </row>
    <row r="435" spans="1:5" x14ac:dyDescent="0.25">
      <c r="A435" s="126" t="s">
        <v>1357</v>
      </c>
      <c r="B435" s="126" t="s">
        <v>1358</v>
      </c>
      <c r="C435" t="str">
        <f t="shared" si="12"/>
        <v>Policy A</v>
      </c>
      <c r="E435" t="str">
        <f t="shared" si="13"/>
        <v>$F$74:$F$81</v>
      </c>
    </row>
    <row r="436" spans="1:5" x14ac:dyDescent="0.25">
      <c r="A436" s="126" t="s">
        <v>1359</v>
      </c>
      <c r="B436" s="126" t="s">
        <v>1360</v>
      </c>
      <c r="C436" t="str">
        <f t="shared" si="12"/>
        <v>Policy B</v>
      </c>
      <c r="E436" t="str">
        <f t="shared" si="13"/>
        <v>$F$74:$F$81</v>
      </c>
    </row>
    <row r="437" spans="1:5" x14ac:dyDescent="0.25">
      <c r="A437" s="126" t="s">
        <v>1361</v>
      </c>
      <c r="B437" s="126" t="s">
        <v>1362</v>
      </c>
      <c r="C437" t="str">
        <f t="shared" si="12"/>
        <v>Policy A</v>
      </c>
      <c r="E437" t="str">
        <f t="shared" si="13"/>
        <v>$F$54:$F$61</v>
      </c>
    </row>
    <row r="438" spans="1:5" x14ac:dyDescent="0.25">
      <c r="A438" s="126" t="s">
        <v>1363</v>
      </c>
      <c r="B438" s="126" t="s">
        <v>1364</v>
      </c>
      <c r="C438" t="str">
        <f t="shared" si="12"/>
        <v>Policy B</v>
      </c>
      <c r="E438" t="str">
        <f t="shared" si="13"/>
        <v>$F$54:$F$61</v>
      </c>
    </row>
    <row r="439" spans="1:5" x14ac:dyDescent="0.25">
      <c r="A439" s="126" t="s">
        <v>1365</v>
      </c>
      <c r="B439" s="126" t="s">
        <v>1366</v>
      </c>
      <c r="C439" t="str">
        <f t="shared" si="12"/>
        <v>Library data</v>
      </c>
      <c r="E439" t="str">
        <f t="shared" si="13"/>
        <v>$C$12</v>
      </c>
    </row>
    <row r="440" spans="1:5" x14ac:dyDescent="0.25">
      <c r="A440" s="126" t="s">
        <v>1367</v>
      </c>
      <c r="B440" s="126" t="s">
        <v>1368</v>
      </c>
      <c r="C440" t="str">
        <f t="shared" si="12"/>
        <v>Library data</v>
      </c>
      <c r="E440" t="str">
        <f t="shared" si="13"/>
        <v>$C$35</v>
      </c>
    </row>
    <row r="441" spans="1:5" x14ac:dyDescent="0.25">
      <c r="A441" s="126" t="s">
        <v>1369</v>
      </c>
      <c r="B441" s="126" t="s">
        <v>1370</v>
      </c>
      <c r="C441" t="str">
        <f t="shared" si="12"/>
        <v>Library data</v>
      </c>
      <c r="E441" t="str">
        <f t="shared" si="13"/>
        <v>$C$39</v>
      </c>
    </row>
    <row r="442" spans="1:5" x14ac:dyDescent="0.25">
      <c r="A442" s="126" t="s">
        <v>1371</v>
      </c>
      <c r="B442" s="126" t="s">
        <v>1372</v>
      </c>
      <c r="C442" t="str">
        <f t="shared" si="12"/>
        <v>Library data</v>
      </c>
      <c r="E442" t="str">
        <f t="shared" si="13"/>
        <v>$C$31</v>
      </c>
    </row>
    <row r="443" spans="1:5" x14ac:dyDescent="0.25">
      <c r="A443" s="126" t="s">
        <v>1373</v>
      </c>
      <c r="B443" s="126" t="s">
        <v>1374</v>
      </c>
      <c r="C443" t="str">
        <f t="shared" si="12"/>
        <v>Library data</v>
      </c>
      <c r="E443" t="str">
        <f t="shared" si="13"/>
        <v>$C$41</v>
      </c>
    </row>
    <row r="444" spans="1:5" x14ac:dyDescent="0.25">
      <c r="A444" s="126" t="s">
        <v>1375</v>
      </c>
      <c r="B444" s="126" t="s">
        <v>1376</v>
      </c>
      <c r="C444" t="str">
        <f t="shared" si="12"/>
        <v>Impacts A</v>
      </c>
      <c r="E444" t="str">
        <f t="shared" si="13"/>
        <v>$C$245:$L$252</v>
      </c>
    </row>
    <row r="445" spans="1:5" x14ac:dyDescent="0.25">
      <c r="A445" s="126" t="s">
        <v>1377</v>
      </c>
      <c r="B445" s="126" t="s">
        <v>1378</v>
      </c>
      <c r="C445" t="str">
        <f t="shared" si="12"/>
        <v>Impacts B</v>
      </c>
      <c r="E445" t="str">
        <f t="shared" si="13"/>
        <v>$C$245:$L$252</v>
      </c>
    </row>
    <row r="446" spans="1:5" x14ac:dyDescent="0.25">
      <c r="A446" s="126" t="s">
        <v>1379</v>
      </c>
      <c r="B446" s="126" t="s">
        <v>1380</v>
      </c>
      <c r="C446" t="str">
        <f t="shared" si="12"/>
        <v>Impacts A</v>
      </c>
      <c r="E446" t="str">
        <f t="shared" si="13"/>
        <v>$C$299:$L$306</v>
      </c>
    </row>
    <row r="447" spans="1:5" x14ac:dyDescent="0.25">
      <c r="A447" s="126" t="s">
        <v>1381</v>
      </c>
      <c r="B447" s="126" t="s">
        <v>1382</v>
      </c>
      <c r="C447" t="str">
        <f t="shared" si="12"/>
        <v>Impacts B</v>
      </c>
      <c r="E447" t="str">
        <f t="shared" si="13"/>
        <v>$C$299:$L$306</v>
      </c>
    </row>
    <row r="448" spans="1:5" x14ac:dyDescent="0.25">
      <c r="A448" s="126" t="s">
        <v>1383</v>
      </c>
      <c r="B448" s="126" t="s">
        <v>1384</v>
      </c>
      <c r="C448" t="str">
        <f t="shared" si="12"/>
        <v>Impacts A</v>
      </c>
      <c r="E448" t="str">
        <f t="shared" si="13"/>
        <v>$C$191:$L$198</v>
      </c>
    </row>
    <row r="449" spans="1:5" x14ac:dyDescent="0.25">
      <c r="A449" s="126" t="s">
        <v>1385</v>
      </c>
      <c r="B449" s="126" t="s">
        <v>1386</v>
      </c>
      <c r="C449" t="str">
        <f t="shared" si="12"/>
        <v>Impacts B</v>
      </c>
      <c r="E449" t="str">
        <f t="shared" si="13"/>
        <v>$C$191:$L$198</v>
      </c>
    </row>
    <row r="450" spans="1:5" x14ac:dyDescent="0.25">
      <c r="A450" s="126" t="s">
        <v>1387</v>
      </c>
      <c r="B450" s="126" t="s">
        <v>1388</v>
      </c>
      <c r="C450" t="str">
        <f t="shared" ref="C450:C513" si="14">IF(ISERR(FIND("'",B450)),MID(B450,FIND("=",B450)+1,FIND("!",B450)-(FIND("=",B450)+1)-1),MID(B450,FIND("='",B450)+2,FIND("!",B450)-(FIND("='",B450)+2)-1))</f>
        <v>Impacts A</v>
      </c>
      <c r="E450" t="str">
        <f t="shared" si="13"/>
        <v>$C$353:$L$360</v>
      </c>
    </row>
    <row r="451" spans="1:5" x14ac:dyDescent="0.25">
      <c r="A451" s="126" t="s">
        <v>1389</v>
      </c>
      <c r="B451" s="126" t="s">
        <v>1390</v>
      </c>
      <c r="C451" t="str">
        <f t="shared" si="14"/>
        <v>Library data</v>
      </c>
      <c r="E451" t="str">
        <f t="shared" ref="E451:E514" si="15">RIGHT(B451,LEN(B451)-FIND("!",B451))</f>
        <v>$C$43</v>
      </c>
    </row>
    <row r="452" spans="1:5" x14ac:dyDescent="0.25">
      <c r="A452" s="126" t="s">
        <v>1391</v>
      </c>
      <c r="B452" s="126" t="s">
        <v>1392</v>
      </c>
      <c r="C452" t="str">
        <f t="shared" si="14"/>
        <v>Impacts A</v>
      </c>
      <c r="E452" t="str">
        <f t="shared" si="15"/>
        <v>$C$263:$L$270</v>
      </c>
    </row>
    <row r="453" spans="1:5" x14ac:dyDescent="0.25">
      <c r="A453" s="126" t="s">
        <v>1393</v>
      </c>
      <c r="B453" s="126" t="s">
        <v>1394</v>
      </c>
      <c r="C453" t="str">
        <f t="shared" si="14"/>
        <v>Impacts B</v>
      </c>
      <c r="E453" t="str">
        <f t="shared" si="15"/>
        <v>$C$263:$L$270</v>
      </c>
    </row>
    <row r="454" spans="1:5" x14ac:dyDescent="0.25">
      <c r="A454" s="126" t="s">
        <v>1395</v>
      </c>
      <c r="B454" s="126" t="s">
        <v>1396</v>
      </c>
      <c r="C454" t="str">
        <f t="shared" si="14"/>
        <v>Impacts A</v>
      </c>
      <c r="E454" t="str">
        <f t="shared" si="15"/>
        <v>$C$272:$L$279</v>
      </c>
    </row>
    <row r="455" spans="1:5" x14ac:dyDescent="0.25">
      <c r="A455" s="126" t="s">
        <v>1397</v>
      </c>
      <c r="B455" s="126" t="s">
        <v>1398</v>
      </c>
      <c r="C455" t="str">
        <f t="shared" si="14"/>
        <v>Impacts B</v>
      </c>
      <c r="E455" t="str">
        <f t="shared" si="15"/>
        <v>$C$272:$L$279</v>
      </c>
    </row>
    <row r="456" spans="1:5" x14ac:dyDescent="0.25">
      <c r="A456" s="126" t="s">
        <v>1399</v>
      </c>
      <c r="B456" s="126" t="s">
        <v>1400</v>
      </c>
      <c r="C456" t="str">
        <f t="shared" si="14"/>
        <v>Impacts A</v>
      </c>
      <c r="E456" t="str">
        <f t="shared" si="15"/>
        <v>$C$317:$L$324</v>
      </c>
    </row>
    <row r="457" spans="1:5" x14ac:dyDescent="0.25">
      <c r="A457" s="126" t="s">
        <v>1401</v>
      </c>
      <c r="B457" s="126" t="s">
        <v>1402</v>
      </c>
      <c r="C457" t="str">
        <f t="shared" si="14"/>
        <v>Impacts B</v>
      </c>
      <c r="E457" t="str">
        <f t="shared" si="15"/>
        <v>$C$317:$L$324</v>
      </c>
    </row>
    <row r="458" spans="1:5" x14ac:dyDescent="0.25">
      <c r="A458" s="126" t="s">
        <v>1403</v>
      </c>
      <c r="B458" s="126" t="s">
        <v>1404</v>
      </c>
      <c r="C458" t="str">
        <f t="shared" si="14"/>
        <v>Impacts A</v>
      </c>
      <c r="E458" t="str">
        <f t="shared" si="15"/>
        <v>$C$326:$L$333</v>
      </c>
    </row>
    <row r="459" spans="1:5" x14ac:dyDescent="0.25">
      <c r="A459" s="126" t="s">
        <v>1405</v>
      </c>
      <c r="B459" s="126" t="s">
        <v>1406</v>
      </c>
      <c r="C459" t="str">
        <f t="shared" si="14"/>
        <v>Impacts B</v>
      </c>
      <c r="E459" t="str">
        <f t="shared" si="15"/>
        <v>$C$326:$L$333</v>
      </c>
    </row>
    <row r="460" spans="1:5" x14ac:dyDescent="0.25">
      <c r="A460" s="126" t="s">
        <v>1407</v>
      </c>
      <c r="B460" s="126" t="s">
        <v>1408</v>
      </c>
      <c r="C460" t="str">
        <f t="shared" si="14"/>
        <v>Impacts A</v>
      </c>
      <c r="E460" t="str">
        <f t="shared" si="15"/>
        <v>$C$209:$L$216</v>
      </c>
    </row>
    <row r="461" spans="1:5" x14ac:dyDescent="0.25">
      <c r="A461" s="126" t="s">
        <v>1409</v>
      </c>
      <c r="B461" s="126" t="s">
        <v>1410</v>
      </c>
      <c r="C461" t="str">
        <f t="shared" si="14"/>
        <v>Impacts B</v>
      </c>
      <c r="E461" t="str">
        <f t="shared" si="15"/>
        <v>$C$209:$L$216</v>
      </c>
    </row>
    <row r="462" spans="1:5" x14ac:dyDescent="0.25">
      <c r="A462" s="126" t="s">
        <v>1411</v>
      </c>
      <c r="B462" s="126" t="s">
        <v>1412</v>
      </c>
      <c r="C462" t="str">
        <f t="shared" si="14"/>
        <v>Impacts A</v>
      </c>
      <c r="E462" t="str">
        <f t="shared" si="15"/>
        <v>$C$218:$L$225</v>
      </c>
    </row>
    <row r="463" spans="1:5" x14ac:dyDescent="0.25">
      <c r="A463" s="126" t="s">
        <v>1413</v>
      </c>
      <c r="B463" s="126" t="s">
        <v>1414</v>
      </c>
      <c r="C463" t="str">
        <f t="shared" si="14"/>
        <v>Impacts B</v>
      </c>
      <c r="E463" t="str">
        <f t="shared" si="15"/>
        <v>$C$218:$L$225</v>
      </c>
    </row>
    <row r="464" spans="1:5" x14ac:dyDescent="0.25">
      <c r="A464" s="126" t="s">
        <v>1415</v>
      </c>
      <c r="B464" s="126" t="s">
        <v>1416</v>
      </c>
      <c r="C464" t="str">
        <f t="shared" si="14"/>
        <v>Impacts A</v>
      </c>
      <c r="E464" t="str">
        <f t="shared" si="15"/>
        <v>$C$380:$L$387</v>
      </c>
    </row>
    <row r="465" spans="1:5" x14ac:dyDescent="0.25">
      <c r="A465" s="126" t="s">
        <v>1417</v>
      </c>
      <c r="B465" s="126" t="s">
        <v>1418</v>
      </c>
      <c r="C465" t="str">
        <f t="shared" si="14"/>
        <v>Impacts B</v>
      </c>
      <c r="E465" t="str">
        <f t="shared" si="15"/>
        <v>$C$380:$L$387</v>
      </c>
    </row>
    <row r="466" spans="1:5" x14ac:dyDescent="0.25">
      <c r="A466" s="126" t="s">
        <v>1419</v>
      </c>
      <c r="B466" s="126" t="s">
        <v>1420</v>
      </c>
      <c r="C466" t="str">
        <f t="shared" si="14"/>
        <v>Impacts A</v>
      </c>
      <c r="E466" t="str">
        <f t="shared" si="15"/>
        <v>$C$389:$L$396</v>
      </c>
    </row>
    <row r="467" spans="1:5" x14ac:dyDescent="0.25">
      <c r="A467" s="126" t="s">
        <v>1421</v>
      </c>
      <c r="B467" s="126" t="s">
        <v>1422</v>
      </c>
      <c r="C467" t="str">
        <f t="shared" si="14"/>
        <v>Impacts B</v>
      </c>
      <c r="E467" t="str">
        <f t="shared" si="15"/>
        <v>$C$389:$L$396</v>
      </c>
    </row>
    <row r="468" spans="1:5" x14ac:dyDescent="0.25">
      <c r="A468" s="126" t="s">
        <v>316</v>
      </c>
      <c r="B468" s="126" t="s">
        <v>1423</v>
      </c>
      <c r="C468" t="str">
        <f t="shared" si="14"/>
        <v>Impacts A</v>
      </c>
      <c r="E468" t="str">
        <f t="shared" si="15"/>
        <v>$C$13</v>
      </c>
    </row>
    <row r="469" spans="1:5" x14ac:dyDescent="0.25">
      <c r="A469" s="126" t="s">
        <v>1424</v>
      </c>
      <c r="B469" s="126" t="s">
        <v>1425</v>
      </c>
      <c r="C469" t="str">
        <f t="shared" si="14"/>
        <v>Policy A</v>
      </c>
      <c r="E469" t="str">
        <f t="shared" si="15"/>
        <v>$G$64:$G$71</v>
      </c>
    </row>
    <row r="470" spans="1:5" x14ac:dyDescent="0.25">
      <c r="A470" s="126" t="s">
        <v>1426</v>
      </c>
      <c r="B470" s="126" t="s">
        <v>1427</v>
      </c>
      <c r="C470" t="str">
        <f t="shared" si="14"/>
        <v>Policy B</v>
      </c>
      <c r="E470" t="str">
        <f t="shared" si="15"/>
        <v>$G$64:$G$71</v>
      </c>
    </row>
    <row r="471" spans="1:5" x14ac:dyDescent="0.25">
      <c r="A471" s="126" t="s">
        <v>1428</v>
      </c>
      <c r="B471" s="126" t="s">
        <v>1429</v>
      </c>
      <c r="C471" t="str">
        <f t="shared" si="14"/>
        <v>Policy A</v>
      </c>
      <c r="E471" t="str">
        <f t="shared" si="15"/>
        <v>$G$74:$G$81</v>
      </c>
    </row>
    <row r="472" spans="1:5" x14ac:dyDescent="0.25">
      <c r="A472" s="126" t="s">
        <v>1430</v>
      </c>
      <c r="B472" s="126" t="s">
        <v>1431</v>
      </c>
      <c r="C472" t="str">
        <f t="shared" si="14"/>
        <v>Policy B</v>
      </c>
      <c r="E472" t="str">
        <f t="shared" si="15"/>
        <v>$G$74:$G$81</v>
      </c>
    </row>
    <row r="473" spans="1:5" x14ac:dyDescent="0.25">
      <c r="A473" s="126" t="s">
        <v>1432</v>
      </c>
      <c r="B473" s="126" t="s">
        <v>1433</v>
      </c>
      <c r="C473" t="str">
        <f t="shared" si="14"/>
        <v>Policy A</v>
      </c>
      <c r="E473" t="str">
        <f t="shared" si="15"/>
        <v>$G$54:$G$61</v>
      </c>
    </row>
    <row r="474" spans="1:5" x14ac:dyDescent="0.25">
      <c r="A474" s="126" t="s">
        <v>1434</v>
      </c>
      <c r="B474" s="126" t="s">
        <v>1435</v>
      </c>
      <c r="C474" t="str">
        <f t="shared" si="14"/>
        <v>Policy B</v>
      </c>
      <c r="E474" t="str">
        <f t="shared" si="15"/>
        <v>$G$54:$G$61</v>
      </c>
    </row>
    <row r="475" spans="1:5" x14ac:dyDescent="0.25">
      <c r="A475" s="126" t="s">
        <v>1436</v>
      </c>
      <c r="B475" s="126" t="s">
        <v>1437</v>
      </c>
      <c r="C475" t="str">
        <f t="shared" si="14"/>
        <v>Policy A</v>
      </c>
      <c r="E475" t="str">
        <f t="shared" si="15"/>
        <v>$H$64:$H$71</v>
      </c>
    </row>
    <row r="476" spans="1:5" x14ac:dyDescent="0.25">
      <c r="A476" s="126" t="s">
        <v>1438</v>
      </c>
      <c r="B476" s="126" t="s">
        <v>1439</v>
      </c>
      <c r="C476" t="str">
        <f t="shared" si="14"/>
        <v>Policy B</v>
      </c>
      <c r="E476" t="str">
        <f t="shared" si="15"/>
        <v>$H$64:$H$71</v>
      </c>
    </row>
    <row r="477" spans="1:5" x14ac:dyDescent="0.25">
      <c r="A477" s="126" t="s">
        <v>1440</v>
      </c>
      <c r="B477" s="126" t="s">
        <v>1441</v>
      </c>
      <c r="C477" t="str">
        <f t="shared" si="14"/>
        <v>Policy A</v>
      </c>
      <c r="E477" t="str">
        <f t="shared" si="15"/>
        <v>$H$74:$H$81</v>
      </c>
    </row>
    <row r="478" spans="1:5" x14ac:dyDescent="0.25">
      <c r="A478" s="126" t="s">
        <v>1442</v>
      </c>
      <c r="B478" s="126" t="s">
        <v>1443</v>
      </c>
      <c r="C478" t="str">
        <f t="shared" si="14"/>
        <v>Policy B</v>
      </c>
      <c r="E478" t="str">
        <f t="shared" si="15"/>
        <v>$H$74:$H$81</v>
      </c>
    </row>
    <row r="479" spans="1:5" x14ac:dyDescent="0.25">
      <c r="A479" s="126" t="s">
        <v>1444</v>
      </c>
      <c r="B479" s="126" t="s">
        <v>1445</v>
      </c>
      <c r="C479" t="str">
        <f t="shared" si="14"/>
        <v>Policy A</v>
      </c>
      <c r="E479" t="str">
        <f t="shared" si="15"/>
        <v>$H$54:$H$61</v>
      </c>
    </row>
    <row r="480" spans="1:5" x14ac:dyDescent="0.25">
      <c r="A480" s="126" t="s">
        <v>1446</v>
      </c>
      <c r="B480" s="126" t="s">
        <v>1447</v>
      </c>
      <c r="C480" t="str">
        <f t="shared" si="14"/>
        <v>Policy B</v>
      </c>
      <c r="E480" t="str">
        <f t="shared" si="15"/>
        <v>$H$54:$H$61</v>
      </c>
    </row>
    <row r="481" spans="1:5" x14ac:dyDescent="0.25">
      <c r="A481" s="126" t="s">
        <v>1448</v>
      </c>
      <c r="B481" s="126" t="s">
        <v>1449</v>
      </c>
      <c r="C481" t="str">
        <f t="shared" si="14"/>
        <v>Base data</v>
      </c>
      <c r="E481" t="str">
        <f t="shared" si="15"/>
        <v>$M$24:$M$31</v>
      </c>
    </row>
    <row r="482" spans="1:5" x14ac:dyDescent="0.25">
      <c r="A482" s="126" t="s">
        <v>1450</v>
      </c>
      <c r="B482" s="126" t="s">
        <v>1451</v>
      </c>
      <c r="C482" t="str">
        <f t="shared" si="14"/>
        <v>Climate A</v>
      </c>
      <c r="E482" t="str">
        <f t="shared" si="15"/>
        <v>$D$5</v>
      </c>
    </row>
    <row r="483" spans="1:5" x14ac:dyDescent="0.25">
      <c r="A483" s="126" t="s">
        <v>1452</v>
      </c>
      <c r="B483" s="126" t="s">
        <v>1453</v>
      </c>
      <c r="C483" t="str">
        <f t="shared" si="14"/>
        <v>Library data</v>
      </c>
      <c r="E483" t="str">
        <f t="shared" si="15"/>
        <v>$C$131</v>
      </c>
    </row>
    <row r="484" spans="1:5" x14ac:dyDescent="0.25">
      <c r="A484" s="126" t="s">
        <v>1454</v>
      </c>
      <c r="B484" s="126" t="s">
        <v>1455</v>
      </c>
      <c r="C484" t="str">
        <f t="shared" si="14"/>
        <v>Preventative costs A</v>
      </c>
      <c r="E484" t="str">
        <f t="shared" si="15"/>
        <v>$B$206:$K$213</v>
      </c>
    </row>
    <row r="485" spans="1:5" x14ac:dyDescent="0.25">
      <c r="A485" s="126" t="s">
        <v>1456</v>
      </c>
      <c r="B485" s="126" t="s">
        <v>1457</v>
      </c>
      <c r="C485" t="str">
        <f t="shared" si="14"/>
        <v>Preventative costs B</v>
      </c>
      <c r="E485" t="str">
        <f t="shared" si="15"/>
        <v>$B$206:$K$213</v>
      </c>
    </row>
    <row r="486" spans="1:5" x14ac:dyDescent="0.25">
      <c r="A486" s="126" t="s">
        <v>1458</v>
      </c>
      <c r="B486" s="126" t="s">
        <v>1459</v>
      </c>
      <c r="C486" t="str">
        <f t="shared" si="14"/>
        <v>Preventative costs A</v>
      </c>
      <c r="E486" t="str">
        <f t="shared" si="15"/>
        <v>$B$197:$K$204</v>
      </c>
    </row>
    <row r="487" spans="1:5" x14ac:dyDescent="0.25">
      <c r="A487" s="126" t="s">
        <v>1460</v>
      </c>
      <c r="B487" s="126" t="s">
        <v>1461</v>
      </c>
      <c r="C487" t="str">
        <f t="shared" si="14"/>
        <v>Preventative costs B</v>
      </c>
      <c r="E487" t="str">
        <f t="shared" si="15"/>
        <v>$B$197:$K$204</v>
      </c>
    </row>
    <row r="488" spans="1:5" x14ac:dyDescent="0.25">
      <c r="A488" s="126" t="s">
        <v>1462</v>
      </c>
      <c r="B488" s="126" t="s">
        <v>1463</v>
      </c>
      <c r="C488" t="str">
        <f t="shared" si="14"/>
        <v>Preventative costs A</v>
      </c>
      <c r="E488" t="str">
        <f t="shared" si="15"/>
        <v>$B$224:$K$231</v>
      </c>
    </row>
    <row r="489" spans="1:5" x14ac:dyDescent="0.25">
      <c r="A489" s="126" t="s">
        <v>1464</v>
      </c>
      <c r="B489" s="126" t="s">
        <v>1465</v>
      </c>
      <c r="C489" t="str">
        <f t="shared" si="14"/>
        <v>Preventative costs B</v>
      </c>
      <c r="E489" t="str">
        <f t="shared" si="15"/>
        <v>$B$224:$K$231</v>
      </c>
    </row>
    <row r="490" spans="1:5" x14ac:dyDescent="0.25">
      <c r="A490" s="126" t="s">
        <v>1466</v>
      </c>
      <c r="B490" s="126" t="s">
        <v>1467</v>
      </c>
      <c r="C490" t="str">
        <f t="shared" si="14"/>
        <v>Preventative costs A</v>
      </c>
      <c r="E490" t="str">
        <f t="shared" si="15"/>
        <v>$B$215:$K$222</v>
      </c>
    </row>
    <row r="491" spans="1:5" x14ac:dyDescent="0.25">
      <c r="A491" s="126" t="s">
        <v>1468</v>
      </c>
      <c r="B491" s="126" t="s">
        <v>1469</v>
      </c>
      <c r="C491" t="str">
        <f t="shared" si="14"/>
        <v>Preventative costs B</v>
      </c>
      <c r="E491" t="str">
        <f t="shared" si="15"/>
        <v>$B$215:$K$222</v>
      </c>
    </row>
    <row r="492" spans="1:5" x14ac:dyDescent="0.25">
      <c r="A492" s="126" t="s">
        <v>1470</v>
      </c>
      <c r="B492" s="126" t="s">
        <v>1471</v>
      </c>
      <c r="C492" t="str">
        <f t="shared" si="14"/>
        <v>Preventative costs A</v>
      </c>
      <c r="E492" t="str">
        <f t="shared" si="15"/>
        <v>$B$578:$K$585</v>
      </c>
    </row>
    <row r="493" spans="1:5" x14ac:dyDescent="0.25">
      <c r="A493" s="126" t="s">
        <v>1472</v>
      </c>
      <c r="B493" s="126" t="s">
        <v>1473</v>
      </c>
      <c r="C493" t="str">
        <f t="shared" si="14"/>
        <v>Preventative costs B</v>
      </c>
      <c r="E493" t="str">
        <f t="shared" si="15"/>
        <v>$B$578:$K$585</v>
      </c>
    </row>
    <row r="494" spans="1:5" x14ac:dyDescent="0.25">
      <c r="A494" s="126" t="s">
        <v>1474</v>
      </c>
      <c r="B494" s="126" t="s">
        <v>1475</v>
      </c>
      <c r="C494" t="str">
        <f t="shared" si="14"/>
        <v>Preventative costs A</v>
      </c>
      <c r="E494" t="str">
        <f t="shared" si="15"/>
        <v>$B$569:$K$576</v>
      </c>
    </row>
    <row r="495" spans="1:5" x14ac:dyDescent="0.25">
      <c r="A495" s="126" t="s">
        <v>1476</v>
      </c>
      <c r="B495" s="126" t="s">
        <v>1477</v>
      </c>
      <c r="C495" t="str">
        <f t="shared" si="14"/>
        <v>Preventative costs B</v>
      </c>
      <c r="E495" t="str">
        <f t="shared" si="15"/>
        <v>$B$569:$K$576</v>
      </c>
    </row>
    <row r="496" spans="1:5" x14ac:dyDescent="0.25">
      <c r="A496" s="126" t="s">
        <v>1478</v>
      </c>
      <c r="B496" s="126" t="s">
        <v>1479</v>
      </c>
      <c r="C496" t="str">
        <f t="shared" si="14"/>
        <v>Preventative costs A</v>
      </c>
      <c r="E496" t="str">
        <f t="shared" si="15"/>
        <v>$B$596:$K$603</v>
      </c>
    </row>
    <row r="497" spans="1:5" x14ac:dyDescent="0.25">
      <c r="A497" s="126" t="s">
        <v>1480</v>
      </c>
      <c r="B497" s="126" t="s">
        <v>1481</v>
      </c>
      <c r="C497" t="str">
        <f t="shared" si="14"/>
        <v>Preventative costs B</v>
      </c>
      <c r="E497" t="str">
        <f t="shared" si="15"/>
        <v>$B$596:$K$603</v>
      </c>
    </row>
    <row r="498" spans="1:5" x14ac:dyDescent="0.25">
      <c r="A498" s="126" t="s">
        <v>1482</v>
      </c>
      <c r="B498" s="126" t="s">
        <v>1483</v>
      </c>
      <c r="C498" t="str">
        <f t="shared" si="14"/>
        <v>Preventative costs A</v>
      </c>
      <c r="E498" t="str">
        <f t="shared" si="15"/>
        <v>$B$587:$K$594</v>
      </c>
    </row>
    <row r="499" spans="1:5" x14ac:dyDescent="0.25">
      <c r="A499" s="126" t="s">
        <v>1484</v>
      </c>
      <c r="B499" s="126" t="s">
        <v>1485</v>
      </c>
      <c r="C499" t="str">
        <f t="shared" si="14"/>
        <v>Preventative costs B</v>
      </c>
      <c r="E499" t="str">
        <f t="shared" si="15"/>
        <v>$B$587:$K$594</v>
      </c>
    </row>
    <row r="500" spans="1:5" x14ac:dyDescent="0.25">
      <c r="A500" s="126" t="s">
        <v>1486</v>
      </c>
      <c r="B500" s="126" t="s">
        <v>1487</v>
      </c>
      <c r="C500" t="str">
        <f t="shared" si="14"/>
        <v>Base data</v>
      </c>
      <c r="E500" t="str">
        <f t="shared" si="15"/>
        <v>$A$1</v>
      </c>
    </row>
    <row r="501" spans="1:5" x14ac:dyDescent="0.25">
      <c r="A501" s="126" t="s">
        <v>1488</v>
      </c>
      <c r="B501" s="126" t="s">
        <v>1489</v>
      </c>
      <c r="C501" t="str">
        <f t="shared" si="14"/>
        <v>Base data</v>
      </c>
      <c r="E501" t="str">
        <f t="shared" si="15"/>
        <v>$K$24:$K$31</v>
      </c>
    </row>
    <row r="502" spans="1:5" x14ac:dyDescent="0.25">
      <c r="A502" s="126" t="s">
        <v>1490</v>
      </c>
      <c r="B502" s="126" t="s">
        <v>1491</v>
      </c>
      <c r="C502" t="str">
        <f t="shared" si="14"/>
        <v>Climate A</v>
      </c>
      <c r="E502" t="str">
        <f t="shared" si="15"/>
        <v>$D$29:$M$29</v>
      </c>
    </row>
    <row r="503" spans="1:5" x14ac:dyDescent="0.25">
      <c r="A503" s="126" t="s">
        <v>1492</v>
      </c>
      <c r="B503" s="126" t="s">
        <v>1493</v>
      </c>
      <c r="C503" t="str">
        <f t="shared" si="14"/>
        <v>Climate A</v>
      </c>
      <c r="E503" t="str">
        <f t="shared" si="15"/>
        <v>$C$29</v>
      </c>
    </row>
    <row r="504" spans="1:5" x14ac:dyDescent="0.25">
      <c r="A504" s="126" t="s">
        <v>1494</v>
      </c>
      <c r="B504" s="126" t="s">
        <v>1495</v>
      </c>
      <c r="C504" t="str">
        <f t="shared" si="14"/>
        <v>Climate B</v>
      </c>
      <c r="E504" t="str">
        <f t="shared" si="15"/>
        <v>$D$29:$M$29</v>
      </c>
    </row>
    <row r="505" spans="1:5" x14ac:dyDescent="0.25">
      <c r="A505" s="126" t="s">
        <v>1496</v>
      </c>
      <c r="B505" s="126" t="s">
        <v>1497</v>
      </c>
      <c r="C505" t="str">
        <f t="shared" si="14"/>
        <v>Climate A</v>
      </c>
      <c r="E505" t="str">
        <f t="shared" si="15"/>
        <v>$D$53:$M$53</v>
      </c>
    </row>
    <row r="506" spans="1:5" x14ac:dyDescent="0.25">
      <c r="A506" s="126" t="s">
        <v>1498</v>
      </c>
      <c r="B506" s="126" t="s">
        <v>1499</v>
      </c>
      <c r="C506" t="str">
        <f t="shared" si="14"/>
        <v>Climate A</v>
      </c>
      <c r="E506" t="str">
        <f t="shared" si="15"/>
        <v>$C$53</v>
      </c>
    </row>
    <row r="507" spans="1:5" x14ac:dyDescent="0.25">
      <c r="A507" s="126" t="s">
        <v>1500</v>
      </c>
      <c r="B507" s="126" t="s">
        <v>1501</v>
      </c>
      <c r="C507" t="str">
        <f t="shared" si="14"/>
        <v>Climate B</v>
      </c>
      <c r="E507" t="str">
        <f t="shared" si="15"/>
        <v>$D$53:$M$53</v>
      </c>
    </row>
    <row r="508" spans="1:5" x14ac:dyDescent="0.25">
      <c r="A508" s="126" t="s">
        <v>1502</v>
      </c>
      <c r="B508" s="126" t="s">
        <v>1503</v>
      </c>
      <c r="C508" t="str">
        <f t="shared" si="14"/>
        <v>Climate A</v>
      </c>
      <c r="E508" t="str">
        <f t="shared" si="15"/>
        <v>$D$39:$M$39</v>
      </c>
    </row>
    <row r="509" spans="1:5" x14ac:dyDescent="0.25">
      <c r="A509" s="126" t="s">
        <v>1504</v>
      </c>
      <c r="B509" s="126" t="s">
        <v>1505</v>
      </c>
      <c r="C509" t="str">
        <f t="shared" si="14"/>
        <v>Climate A</v>
      </c>
      <c r="E509" t="str">
        <f t="shared" si="15"/>
        <v>$C$39</v>
      </c>
    </row>
    <row r="510" spans="1:5" x14ac:dyDescent="0.25">
      <c r="A510" s="126" t="s">
        <v>1506</v>
      </c>
      <c r="B510" s="126" t="s">
        <v>1507</v>
      </c>
      <c r="C510" t="str">
        <f t="shared" si="14"/>
        <v>Climate B</v>
      </c>
      <c r="E510" t="str">
        <f t="shared" si="15"/>
        <v>$D$39:$M$39</v>
      </c>
    </row>
    <row r="511" spans="1:5" x14ac:dyDescent="0.25">
      <c r="A511" s="126" t="s">
        <v>1508</v>
      </c>
      <c r="B511" s="126" t="s">
        <v>1509</v>
      </c>
      <c r="C511" t="str">
        <f t="shared" si="14"/>
        <v>Impacts A</v>
      </c>
      <c r="E511" t="str">
        <f t="shared" si="15"/>
        <v>$C$108:$L$108</v>
      </c>
    </row>
    <row r="512" spans="1:5" x14ac:dyDescent="0.25">
      <c r="A512" s="126" t="s">
        <v>1510</v>
      </c>
      <c r="B512" s="126" t="s">
        <v>1511</v>
      </c>
      <c r="C512" t="str">
        <f t="shared" si="14"/>
        <v>Impacts A</v>
      </c>
      <c r="E512" t="str">
        <f t="shared" si="15"/>
        <v>$C$108</v>
      </c>
    </row>
    <row r="513" spans="1:5" x14ac:dyDescent="0.25">
      <c r="A513" s="126" t="s">
        <v>1512</v>
      </c>
      <c r="B513" s="126" t="s">
        <v>1513</v>
      </c>
      <c r="C513" t="str">
        <f t="shared" si="14"/>
        <v>Impacts B</v>
      </c>
      <c r="E513" t="str">
        <f t="shared" si="15"/>
        <v>$C$108</v>
      </c>
    </row>
    <row r="514" spans="1:5" x14ac:dyDescent="0.25">
      <c r="A514" s="126" t="s">
        <v>1514</v>
      </c>
      <c r="B514" s="126" t="s">
        <v>1515</v>
      </c>
      <c r="C514" t="str">
        <f t="shared" ref="C514:C577" si="16">IF(ISERR(FIND("'",B514)),MID(B514,FIND("=",B514)+1,FIND("!",B514)-(FIND("=",B514)+1)-1),MID(B514,FIND("='",B514)+2,FIND("!",B514)-(FIND("='",B514)+2)-1))</f>
        <v>Impacts B</v>
      </c>
      <c r="E514" t="str">
        <f t="shared" si="15"/>
        <v>$C$108:$L$108</v>
      </c>
    </row>
    <row r="515" spans="1:5" x14ac:dyDescent="0.25">
      <c r="A515" s="126" t="s">
        <v>1516</v>
      </c>
      <c r="B515" s="126" t="s">
        <v>1517</v>
      </c>
      <c r="C515" t="str">
        <f t="shared" si="16"/>
        <v>Impacts A</v>
      </c>
      <c r="E515" t="str">
        <f t="shared" ref="E515:E578" si="17">RIGHT(B515,LEN(B515)-FIND("!",B515))</f>
        <v>$D$108:$L$108</v>
      </c>
    </row>
    <row r="516" spans="1:5" x14ac:dyDescent="0.25">
      <c r="A516" s="126" t="s">
        <v>1518</v>
      </c>
      <c r="B516" s="126" t="s">
        <v>1519</v>
      </c>
      <c r="C516" t="str">
        <f t="shared" si="16"/>
        <v>Impacts B</v>
      </c>
      <c r="E516" t="str">
        <f t="shared" si="17"/>
        <v>$D$108:$L$108</v>
      </c>
    </row>
    <row r="517" spans="1:5" x14ac:dyDescent="0.25">
      <c r="A517" s="126" t="s">
        <v>1520</v>
      </c>
      <c r="B517" s="126" t="s">
        <v>1521</v>
      </c>
      <c r="C517" t="str">
        <f t="shared" si="16"/>
        <v>Base data</v>
      </c>
      <c r="E517" t="str">
        <f t="shared" si="17"/>
        <v>$C$4:$L$4</v>
      </c>
    </row>
    <row r="518" spans="1:5" x14ac:dyDescent="0.25">
      <c r="A518" s="126" t="s">
        <v>1522</v>
      </c>
      <c r="B518" s="126" t="s">
        <v>1523</v>
      </c>
      <c r="C518" t="str">
        <f t="shared" si="16"/>
        <v>Climate A</v>
      </c>
      <c r="E518" t="str">
        <f t="shared" si="17"/>
        <v>$D$4</v>
      </c>
    </row>
    <row r="519" spans="1:5" x14ac:dyDescent="0.25">
      <c r="A519" s="126" t="s">
        <v>1524</v>
      </c>
      <c r="B519" s="126" t="s">
        <v>1525</v>
      </c>
      <c r="C519" t="str">
        <f t="shared" si="16"/>
        <v>Climate A</v>
      </c>
      <c r="E519" t="str">
        <f t="shared" si="17"/>
        <v>$D$48:$M$48</v>
      </c>
    </row>
    <row r="520" spans="1:5" x14ac:dyDescent="0.25">
      <c r="A520" s="126" t="s">
        <v>1526</v>
      </c>
      <c r="B520" s="126" t="s">
        <v>1527</v>
      </c>
      <c r="C520" t="str">
        <f t="shared" si="16"/>
        <v>Climate B</v>
      </c>
      <c r="E520" t="str">
        <f t="shared" si="17"/>
        <v>$D$48:$M$48</v>
      </c>
    </row>
    <row r="521" spans="1:5" x14ac:dyDescent="0.25">
      <c r="A521" s="126" t="s">
        <v>1528</v>
      </c>
      <c r="B521" s="126" t="s">
        <v>1529</v>
      </c>
      <c r="C521" t="str">
        <f t="shared" si="16"/>
        <v>Climate A</v>
      </c>
      <c r="E521" t="str">
        <f t="shared" si="17"/>
        <v>$D$49:$M$49</v>
      </c>
    </row>
    <row r="522" spans="1:5" x14ac:dyDescent="0.25">
      <c r="A522" s="126" t="s">
        <v>1530</v>
      </c>
      <c r="B522" s="126" t="s">
        <v>1531</v>
      </c>
      <c r="C522" t="str">
        <f t="shared" si="16"/>
        <v>Climate B</v>
      </c>
      <c r="E522" t="str">
        <f t="shared" si="17"/>
        <v>$D$49:$M$49</v>
      </c>
    </row>
    <row r="523" spans="1:5" x14ac:dyDescent="0.25">
      <c r="A523" s="126" t="s">
        <v>1532</v>
      </c>
      <c r="B523" s="126" t="s">
        <v>1533</v>
      </c>
      <c r="C523" t="str">
        <f t="shared" si="16"/>
        <v>Preventative costs A</v>
      </c>
      <c r="E523" t="str">
        <f t="shared" si="17"/>
        <v>$B$706:$K$713</v>
      </c>
    </row>
    <row r="524" spans="1:5" x14ac:dyDescent="0.25">
      <c r="A524" s="126" t="s">
        <v>1534</v>
      </c>
      <c r="B524" s="126" t="s">
        <v>1535</v>
      </c>
      <c r="C524" t="str">
        <f t="shared" si="16"/>
        <v>Preventative costs B</v>
      </c>
      <c r="E524" t="str">
        <f t="shared" si="17"/>
        <v>$B$706:$K$713</v>
      </c>
    </row>
    <row r="525" spans="1:5" x14ac:dyDescent="0.25">
      <c r="A525" s="126" t="s">
        <v>1536</v>
      </c>
      <c r="B525" s="126" t="s">
        <v>1537</v>
      </c>
      <c r="C525" t="str">
        <f t="shared" si="16"/>
        <v>Preventative costs A</v>
      </c>
      <c r="E525" t="str">
        <f t="shared" si="17"/>
        <v>$B$714:$K$714</v>
      </c>
    </row>
    <row r="526" spans="1:5" x14ac:dyDescent="0.25">
      <c r="A526" s="126" t="s">
        <v>1538</v>
      </c>
      <c r="B526" s="126" t="s">
        <v>1539</v>
      </c>
      <c r="C526" t="str">
        <f t="shared" si="16"/>
        <v>Preventative costs A-B</v>
      </c>
      <c r="E526" t="str">
        <f t="shared" si="17"/>
        <v>$B$714:$K$714</v>
      </c>
    </row>
    <row r="527" spans="1:5" x14ac:dyDescent="0.25">
      <c r="A527" s="126" t="s">
        <v>1540</v>
      </c>
      <c r="B527" s="126" t="s">
        <v>1541</v>
      </c>
      <c r="C527" t="str">
        <f t="shared" si="16"/>
        <v>Preventative costs B</v>
      </c>
      <c r="E527" t="str">
        <f t="shared" si="17"/>
        <v>$B$714:$K$714</v>
      </c>
    </row>
    <row r="528" spans="1:5" x14ac:dyDescent="0.25">
      <c r="A528" s="126" t="s">
        <v>1542</v>
      </c>
      <c r="B528" s="126" t="s">
        <v>1543</v>
      </c>
      <c r="C528" t="str">
        <f t="shared" si="16"/>
        <v>Preventative costs A</v>
      </c>
      <c r="E528" t="str">
        <f t="shared" si="17"/>
        <v>$L$714</v>
      </c>
    </row>
    <row r="529" spans="1:5" x14ac:dyDescent="0.25">
      <c r="A529" s="126" t="s">
        <v>1544</v>
      </c>
      <c r="B529" s="126" t="s">
        <v>1545</v>
      </c>
      <c r="C529" t="str">
        <f t="shared" si="16"/>
        <v>Preventative costs B</v>
      </c>
      <c r="E529" t="str">
        <f t="shared" si="17"/>
        <v>$L$714</v>
      </c>
    </row>
    <row r="530" spans="1:5" x14ac:dyDescent="0.25">
      <c r="A530" s="126" t="s">
        <v>1546</v>
      </c>
      <c r="B530" s="126" t="s">
        <v>1547</v>
      </c>
      <c r="C530" t="str">
        <f t="shared" si="16"/>
        <v>Preventative costs A</v>
      </c>
      <c r="E530" t="str">
        <f t="shared" si="17"/>
        <v>$B$696:$K$703</v>
      </c>
    </row>
    <row r="531" spans="1:5" x14ac:dyDescent="0.25">
      <c r="A531" s="126" t="s">
        <v>1548</v>
      </c>
      <c r="B531" s="126" t="s">
        <v>1549</v>
      </c>
      <c r="C531" t="str">
        <f t="shared" si="16"/>
        <v>Preventative costs B</v>
      </c>
      <c r="E531" t="str">
        <f t="shared" si="17"/>
        <v>$B$696:$K$703</v>
      </c>
    </row>
    <row r="532" spans="1:5" x14ac:dyDescent="0.25">
      <c r="A532" s="126" t="s">
        <v>1550</v>
      </c>
      <c r="B532" s="126" t="s">
        <v>1551</v>
      </c>
      <c r="C532" t="str">
        <f t="shared" si="16"/>
        <v>Preventative costs A</v>
      </c>
      <c r="E532" t="str">
        <f t="shared" si="17"/>
        <v>$B$704:$K$704</v>
      </c>
    </row>
    <row r="533" spans="1:5" x14ac:dyDescent="0.25">
      <c r="A533" s="126" t="s">
        <v>1552</v>
      </c>
      <c r="B533" s="126" t="s">
        <v>1553</v>
      </c>
      <c r="C533" t="str">
        <f t="shared" si="16"/>
        <v>Preventative costs A-B</v>
      </c>
      <c r="E533" t="str">
        <f t="shared" si="17"/>
        <v>$B$704:$K$704</v>
      </c>
    </row>
    <row r="534" spans="1:5" x14ac:dyDescent="0.25">
      <c r="A534" s="126" t="s">
        <v>1554</v>
      </c>
      <c r="B534" s="126" t="s">
        <v>1555</v>
      </c>
      <c r="C534" t="str">
        <f t="shared" si="16"/>
        <v>Preventative costs B</v>
      </c>
      <c r="E534" t="str">
        <f t="shared" si="17"/>
        <v>$B$704:$K$704</v>
      </c>
    </row>
    <row r="535" spans="1:5" x14ac:dyDescent="0.25">
      <c r="A535" s="126" t="s">
        <v>1556</v>
      </c>
      <c r="B535" s="126" t="s">
        <v>1557</v>
      </c>
      <c r="C535" t="str">
        <f t="shared" si="16"/>
        <v>Preventative costs A</v>
      </c>
      <c r="E535" t="str">
        <f t="shared" si="17"/>
        <v>$B$677:$K$684</v>
      </c>
    </row>
    <row r="536" spans="1:5" x14ac:dyDescent="0.25">
      <c r="A536" s="126" t="s">
        <v>1558</v>
      </c>
      <c r="B536" s="126" t="s">
        <v>1559</v>
      </c>
      <c r="C536" t="str">
        <f t="shared" si="16"/>
        <v>Preventative costs B</v>
      </c>
      <c r="E536" t="str">
        <f t="shared" si="17"/>
        <v>$B$677:$K$684</v>
      </c>
    </row>
    <row r="537" spans="1:5" x14ac:dyDescent="0.25">
      <c r="A537" s="126" t="s">
        <v>1560</v>
      </c>
      <c r="B537" s="126" t="s">
        <v>1561</v>
      </c>
      <c r="C537" t="str">
        <f t="shared" si="16"/>
        <v>Preventative costs A</v>
      </c>
      <c r="E537" t="str">
        <f t="shared" si="17"/>
        <v>$B$685:$K$685</v>
      </c>
    </row>
    <row r="538" spans="1:5" x14ac:dyDescent="0.25">
      <c r="A538" s="126" t="s">
        <v>1562</v>
      </c>
      <c r="B538" s="126" t="s">
        <v>1563</v>
      </c>
      <c r="C538" t="str">
        <f t="shared" si="16"/>
        <v>Preventative costs A-B</v>
      </c>
      <c r="E538" t="str">
        <f t="shared" si="17"/>
        <v>$B$685:$K$685</v>
      </c>
    </row>
    <row r="539" spans="1:5" x14ac:dyDescent="0.25">
      <c r="A539" s="126" t="s">
        <v>1564</v>
      </c>
      <c r="B539" s="126" t="s">
        <v>1565</v>
      </c>
      <c r="C539" t="str">
        <f t="shared" si="16"/>
        <v>Preventative costs B</v>
      </c>
      <c r="E539" t="str">
        <f t="shared" si="17"/>
        <v>$B$685:$K$685</v>
      </c>
    </row>
    <row r="540" spans="1:5" x14ac:dyDescent="0.25">
      <c r="A540" s="126" t="s">
        <v>1566</v>
      </c>
      <c r="B540" s="126" t="s">
        <v>1567</v>
      </c>
      <c r="C540" t="str">
        <f t="shared" si="16"/>
        <v>Preventative costs A</v>
      </c>
      <c r="E540" t="str">
        <f t="shared" si="17"/>
        <v>$B$668:$K$675</v>
      </c>
    </row>
    <row r="541" spans="1:5" x14ac:dyDescent="0.25">
      <c r="A541" s="126" t="s">
        <v>1568</v>
      </c>
      <c r="B541" s="126" t="s">
        <v>1569</v>
      </c>
      <c r="C541" t="str">
        <f t="shared" si="16"/>
        <v>Preventative costs B</v>
      </c>
      <c r="E541" t="str">
        <f t="shared" si="17"/>
        <v>$B$668:$K$675</v>
      </c>
    </row>
    <row r="542" spans="1:5" x14ac:dyDescent="0.25">
      <c r="A542" s="126" t="s">
        <v>1570</v>
      </c>
      <c r="B542" s="126" t="s">
        <v>1571</v>
      </c>
      <c r="C542" t="str">
        <f t="shared" si="16"/>
        <v>Library data</v>
      </c>
      <c r="E542" t="str">
        <f t="shared" si="17"/>
        <v>$C$22</v>
      </c>
    </row>
    <row r="543" spans="1:5" x14ac:dyDescent="0.25">
      <c r="A543" s="126" t="s">
        <v>1572</v>
      </c>
      <c r="B543" s="126" t="s">
        <v>1573</v>
      </c>
      <c r="C543" t="str">
        <f t="shared" si="16"/>
        <v>Base data</v>
      </c>
      <c r="E543" t="str">
        <f t="shared" si="17"/>
        <v>$B$12:$E$12</v>
      </c>
    </row>
    <row r="544" spans="1:5" x14ac:dyDescent="0.25">
      <c r="A544" s="126" t="s">
        <v>1574</v>
      </c>
      <c r="B544" s="126" t="s">
        <v>1575</v>
      </c>
      <c r="C544" t="str">
        <f t="shared" si="16"/>
        <v>Base data</v>
      </c>
      <c r="E544" t="str">
        <f t="shared" si="17"/>
        <v>$C$12</v>
      </c>
    </row>
    <row r="545" spans="1:5" x14ac:dyDescent="0.25">
      <c r="A545" s="126" t="s">
        <v>1576</v>
      </c>
      <c r="B545" s="126" t="s">
        <v>1577</v>
      </c>
      <c r="C545" t="str">
        <f t="shared" si="16"/>
        <v>Base data</v>
      </c>
      <c r="E545" t="str">
        <f t="shared" si="17"/>
        <v>$B$12</v>
      </c>
    </row>
    <row r="546" spans="1:5" x14ac:dyDescent="0.25">
      <c r="A546" s="126" t="s">
        <v>1578</v>
      </c>
      <c r="B546" s="126" t="s">
        <v>1579</v>
      </c>
      <c r="C546" t="str">
        <f t="shared" si="16"/>
        <v>Base data</v>
      </c>
      <c r="E546" t="str">
        <f t="shared" si="17"/>
        <v>$E$12</v>
      </c>
    </row>
    <row r="547" spans="1:5" x14ac:dyDescent="0.25">
      <c r="A547" s="126" t="s">
        <v>1580</v>
      </c>
      <c r="B547" s="126" t="s">
        <v>1581</v>
      </c>
      <c r="C547" t="str">
        <f t="shared" si="16"/>
        <v>Base data</v>
      </c>
      <c r="E547" t="str">
        <f t="shared" si="17"/>
        <v>$D$12</v>
      </c>
    </row>
    <row r="548" spans="1:5" x14ac:dyDescent="0.25">
      <c r="A548" s="126" t="s">
        <v>1582</v>
      </c>
      <c r="B548" s="126" t="s">
        <v>1583</v>
      </c>
      <c r="C548" t="str">
        <f t="shared" si="16"/>
        <v>Policy A</v>
      </c>
      <c r="E548" t="str">
        <f t="shared" si="17"/>
        <v>$B$64:$B$71</v>
      </c>
    </row>
    <row r="549" spans="1:5" x14ac:dyDescent="0.25">
      <c r="A549" s="126" t="s">
        <v>1584</v>
      </c>
      <c r="B549" s="126" t="s">
        <v>1585</v>
      </c>
      <c r="C549" t="str">
        <f t="shared" si="16"/>
        <v>Policy B</v>
      </c>
      <c r="E549" t="str">
        <f t="shared" si="17"/>
        <v>$B$64:$B$71</v>
      </c>
    </row>
    <row r="550" spans="1:5" x14ac:dyDescent="0.25">
      <c r="A550" s="126" t="s">
        <v>1586</v>
      </c>
      <c r="B550" s="126" t="s">
        <v>1587</v>
      </c>
      <c r="C550" t="str">
        <f t="shared" si="16"/>
        <v>Policy A</v>
      </c>
      <c r="E550" t="str">
        <f t="shared" si="17"/>
        <v>$B$74:$B$81</v>
      </c>
    </row>
    <row r="551" spans="1:5" x14ac:dyDescent="0.25">
      <c r="A551" s="126" t="s">
        <v>1588</v>
      </c>
      <c r="B551" s="126" t="s">
        <v>1589</v>
      </c>
      <c r="C551" t="str">
        <f t="shared" si="16"/>
        <v>Policy B</v>
      </c>
      <c r="E551" t="str">
        <f t="shared" si="17"/>
        <v>$B$74:$B$81</v>
      </c>
    </row>
    <row r="552" spans="1:5" x14ac:dyDescent="0.25">
      <c r="A552" s="126" t="s">
        <v>1590</v>
      </c>
      <c r="B552" s="126" t="s">
        <v>1591</v>
      </c>
      <c r="C552" t="str">
        <f t="shared" si="16"/>
        <v>Policy A</v>
      </c>
      <c r="E552" t="str">
        <f t="shared" si="17"/>
        <v>$B$54:$B$61</v>
      </c>
    </row>
    <row r="553" spans="1:5" x14ac:dyDescent="0.25">
      <c r="A553" s="126" t="s">
        <v>1592</v>
      </c>
      <c r="B553" s="126" t="s">
        <v>1593</v>
      </c>
      <c r="C553" t="str">
        <f t="shared" si="16"/>
        <v>Policy B</v>
      </c>
      <c r="E553" t="str">
        <f t="shared" si="17"/>
        <v>$B$54:$B$61</v>
      </c>
    </row>
    <row r="554" spans="1:5" x14ac:dyDescent="0.25">
      <c r="A554" s="126" t="s">
        <v>1594</v>
      </c>
      <c r="B554" s="126" t="s">
        <v>1595</v>
      </c>
      <c r="C554" t="str">
        <f t="shared" si="16"/>
        <v>Library data</v>
      </c>
      <c r="E554" t="str">
        <f t="shared" si="17"/>
        <v>$C$10</v>
      </c>
    </row>
    <row r="555" spans="1:5" x14ac:dyDescent="0.25">
      <c r="A555" s="126" t="s">
        <v>1596</v>
      </c>
      <c r="B555" s="126" t="s">
        <v>1597</v>
      </c>
      <c r="C555" t="str">
        <f t="shared" si="16"/>
        <v>Impacts A</v>
      </c>
      <c r="E555" t="str">
        <f t="shared" si="17"/>
        <v>$C$121:$L$128</v>
      </c>
    </row>
    <row r="556" spans="1:5" x14ac:dyDescent="0.25">
      <c r="A556" s="126" t="s">
        <v>1598</v>
      </c>
      <c r="B556" s="126" t="s">
        <v>1599</v>
      </c>
      <c r="C556" t="str">
        <f t="shared" si="16"/>
        <v>Base data</v>
      </c>
      <c r="E556" t="str">
        <f t="shared" si="17"/>
        <v>$E$24:$E$31</v>
      </c>
    </row>
    <row r="557" spans="1:5" x14ac:dyDescent="0.25">
      <c r="A557" s="126" t="s">
        <v>1600</v>
      </c>
      <c r="B557" s="126" t="s">
        <v>1601</v>
      </c>
      <c r="C557" t="str">
        <f t="shared" si="16"/>
        <v>Impacts A</v>
      </c>
      <c r="E557" t="str">
        <f t="shared" si="17"/>
        <v>$C$129:$L$129</v>
      </c>
    </row>
    <row r="558" spans="1:5" x14ac:dyDescent="0.25">
      <c r="A558" s="126" t="s">
        <v>1602</v>
      </c>
      <c r="B558" s="126" t="s">
        <v>1603</v>
      </c>
      <c r="C558" t="str">
        <f t="shared" si="16"/>
        <v>Impacts A</v>
      </c>
      <c r="E558" t="str">
        <f t="shared" si="17"/>
        <v>$B$129</v>
      </c>
    </row>
    <row r="559" spans="1:5" x14ac:dyDescent="0.25">
      <c r="A559" s="126" t="s">
        <v>1604</v>
      </c>
      <c r="B559" s="126" t="s">
        <v>1605</v>
      </c>
      <c r="C559" t="str">
        <f t="shared" si="16"/>
        <v>Impacts A</v>
      </c>
      <c r="E559" t="str">
        <f t="shared" si="17"/>
        <v>$C$129</v>
      </c>
    </row>
    <row r="560" spans="1:5" x14ac:dyDescent="0.25">
      <c r="A560" s="126" t="s">
        <v>1606</v>
      </c>
      <c r="B560" s="126" t="s">
        <v>1607</v>
      </c>
      <c r="C560" t="str">
        <f t="shared" si="16"/>
        <v>Impacts A</v>
      </c>
      <c r="E560" t="str">
        <f t="shared" si="17"/>
        <v>$D$129:$L$129</v>
      </c>
    </row>
    <row r="561" spans="1:5" x14ac:dyDescent="0.25">
      <c r="A561" s="126" t="s">
        <v>1608</v>
      </c>
      <c r="B561" s="126" t="s">
        <v>1609</v>
      </c>
      <c r="C561" t="str">
        <f t="shared" si="16"/>
        <v>Base data</v>
      </c>
      <c r="E561" t="str">
        <f t="shared" si="17"/>
        <v>$C$47:$L$54</v>
      </c>
    </row>
    <row r="562" spans="1:5" x14ac:dyDescent="0.25">
      <c r="A562" s="126" t="s">
        <v>1610</v>
      </c>
      <c r="B562" s="126" t="s">
        <v>1611</v>
      </c>
      <c r="C562" t="str">
        <f t="shared" si="16"/>
        <v>Base data</v>
      </c>
      <c r="E562" t="str">
        <f t="shared" si="17"/>
        <v>$C$47:$C$54</v>
      </c>
    </row>
    <row r="563" spans="1:5" x14ac:dyDescent="0.25">
      <c r="A563" s="126" t="s">
        <v>1612</v>
      </c>
      <c r="B563" s="126" t="s">
        <v>1613</v>
      </c>
      <c r="C563" t="str">
        <f t="shared" si="16"/>
        <v>Impacts A</v>
      </c>
      <c r="E563" t="str">
        <f t="shared" si="17"/>
        <v>$C$130:$L$130</v>
      </c>
    </row>
    <row r="564" spans="1:5" x14ac:dyDescent="0.25">
      <c r="A564" s="126" t="s">
        <v>1614</v>
      </c>
      <c r="B564" s="126" t="s">
        <v>1615</v>
      </c>
      <c r="C564" t="str">
        <f t="shared" si="16"/>
        <v>Base data</v>
      </c>
      <c r="E564" t="str">
        <f t="shared" si="17"/>
        <v>$D$47:$L$54</v>
      </c>
    </row>
    <row r="565" spans="1:5" x14ac:dyDescent="0.25">
      <c r="A565" s="126" t="s">
        <v>1616</v>
      </c>
      <c r="B565" s="126" t="s">
        <v>1617</v>
      </c>
      <c r="C565" t="str">
        <f t="shared" si="16"/>
        <v>Impacts A</v>
      </c>
      <c r="E565" t="str">
        <f t="shared" si="17"/>
        <v>$D$121:$L$128</v>
      </c>
    </row>
    <row r="566" spans="1:5" x14ac:dyDescent="0.25">
      <c r="A566" s="126" t="s">
        <v>1618</v>
      </c>
      <c r="B566" s="126" t="s">
        <v>1619</v>
      </c>
      <c r="C566" t="str">
        <f t="shared" si="16"/>
        <v>Base data</v>
      </c>
      <c r="E566" t="str">
        <f t="shared" si="17"/>
        <v>$E$32</v>
      </c>
    </row>
    <row r="567" spans="1:5" x14ac:dyDescent="0.25">
      <c r="A567" s="126" t="s">
        <v>1620</v>
      </c>
      <c r="B567" s="126" t="s">
        <v>1621</v>
      </c>
      <c r="C567" t="str">
        <f t="shared" si="16"/>
        <v>Library data</v>
      </c>
      <c r="E567" t="str">
        <f t="shared" si="17"/>
        <v>$C$34</v>
      </c>
    </row>
    <row r="568" spans="1:5" x14ac:dyDescent="0.25">
      <c r="A568" s="126" t="s">
        <v>1622</v>
      </c>
      <c r="B568" s="126" t="s">
        <v>1623</v>
      </c>
      <c r="C568" t="str">
        <f t="shared" si="16"/>
        <v>Library data</v>
      </c>
      <c r="E568" t="str">
        <f t="shared" si="17"/>
        <v>$C$38</v>
      </c>
    </row>
    <row r="569" spans="1:5" x14ac:dyDescent="0.25">
      <c r="A569" s="126" t="s">
        <v>1624</v>
      </c>
      <c r="B569" s="126" t="s">
        <v>1625</v>
      </c>
      <c r="C569" t="str">
        <f t="shared" si="16"/>
        <v>Library data</v>
      </c>
      <c r="E569" t="str">
        <f t="shared" si="17"/>
        <v>$C$30</v>
      </c>
    </row>
    <row r="570" spans="1:5" x14ac:dyDescent="0.25">
      <c r="A570" s="126" t="s">
        <v>1626</v>
      </c>
      <c r="B570" s="126" t="s">
        <v>1627</v>
      </c>
      <c r="C570" t="str">
        <f t="shared" si="16"/>
        <v>Impacts A</v>
      </c>
      <c r="E570" t="str">
        <f t="shared" si="17"/>
        <v>$C$105:$L$105</v>
      </c>
    </row>
    <row r="571" spans="1:5" x14ac:dyDescent="0.25">
      <c r="A571" s="126" t="s">
        <v>1628</v>
      </c>
      <c r="B571" s="126" t="s">
        <v>1629</v>
      </c>
      <c r="C571" t="str">
        <f t="shared" si="16"/>
        <v>Impacts B</v>
      </c>
      <c r="E571" t="str">
        <f t="shared" si="17"/>
        <v>$C$105:$L$105</v>
      </c>
    </row>
    <row r="572" spans="1:5" x14ac:dyDescent="0.25">
      <c r="A572" s="126" t="s">
        <v>1630</v>
      </c>
      <c r="B572" s="126" t="s">
        <v>1631</v>
      </c>
      <c r="C572" t="str">
        <f t="shared" si="16"/>
        <v>Policy A</v>
      </c>
      <c r="E572" t="str">
        <f t="shared" si="17"/>
        <v>$B$41:$K$48</v>
      </c>
    </row>
    <row r="573" spans="1:5" x14ac:dyDescent="0.25">
      <c r="A573" s="126" t="s">
        <v>1632</v>
      </c>
      <c r="B573" s="126" t="s">
        <v>1633</v>
      </c>
      <c r="C573" t="str">
        <f t="shared" si="16"/>
        <v>Policy B</v>
      </c>
      <c r="E573" t="str">
        <f t="shared" si="17"/>
        <v>$B$41:$K$48</v>
      </c>
    </row>
    <row r="574" spans="1:5" x14ac:dyDescent="0.25">
      <c r="A574" s="126" t="s">
        <v>1634</v>
      </c>
      <c r="B574" s="126" t="s">
        <v>1635</v>
      </c>
      <c r="C574" t="str">
        <f t="shared" si="16"/>
        <v>Policy A</v>
      </c>
      <c r="E574" t="str">
        <f t="shared" si="17"/>
        <v>$C$64:$C$71</v>
      </c>
    </row>
    <row r="575" spans="1:5" x14ac:dyDescent="0.25">
      <c r="A575" s="126" t="s">
        <v>1636</v>
      </c>
      <c r="B575" s="126" t="s">
        <v>1637</v>
      </c>
      <c r="C575" t="str">
        <f t="shared" si="16"/>
        <v>Policy B</v>
      </c>
      <c r="E575" t="str">
        <f t="shared" si="17"/>
        <v>$C$64:$C$71</v>
      </c>
    </row>
    <row r="576" spans="1:5" x14ac:dyDescent="0.25">
      <c r="A576" s="126" t="s">
        <v>1638</v>
      </c>
      <c r="B576" s="126" t="s">
        <v>1639</v>
      </c>
      <c r="C576" t="str">
        <f t="shared" si="16"/>
        <v>Policy A</v>
      </c>
      <c r="E576" t="str">
        <f t="shared" si="17"/>
        <v>$C$74:$C$81</v>
      </c>
    </row>
    <row r="577" spans="1:5" x14ac:dyDescent="0.25">
      <c r="A577" s="126" t="s">
        <v>1640</v>
      </c>
      <c r="B577" s="126" t="s">
        <v>1641</v>
      </c>
      <c r="C577" t="str">
        <f t="shared" si="16"/>
        <v>Policy B</v>
      </c>
      <c r="E577" t="str">
        <f t="shared" si="17"/>
        <v>$C$74:$C$81</v>
      </c>
    </row>
    <row r="578" spans="1:5" x14ac:dyDescent="0.25">
      <c r="A578" s="126" t="s">
        <v>1642</v>
      </c>
      <c r="B578" s="126" t="s">
        <v>1643</v>
      </c>
      <c r="C578" t="str">
        <f t="shared" ref="C578:C641" si="18">IF(ISERR(FIND("'",B578)),MID(B578,FIND("=",B578)+1,FIND("!",B578)-(FIND("=",B578)+1)-1),MID(B578,FIND("='",B578)+2,FIND("!",B578)-(FIND("='",B578)+2)-1))</f>
        <v>Policy A</v>
      </c>
      <c r="E578" t="str">
        <f t="shared" si="17"/>
        <v>$C$54:$C$61</v>
      </c>
    </row>
    <row r="579" spans="1:5" x14ac:dyDescent="0.25">
      <c r="A579" s="126" t="s">
        <v>1644</v>
      </c>
      <c r="B579" s="126" t="s">
        <v>1645</v>
      </c>
      <c r="C579" t="str">
        <f t="shared" si="18"/>
        <v>Policy B</v>
      </c>
      <c r="E579" t="str">
        <f t="shared" ref="E579:E642" si="19">RIGHT(B579,LEN(B579)-FIND("!",B579))</f>
        <v>$C$54:$C$61</v>
      </c>
    </row>
    <row r="580" spans="1:5" x14ac:dyDescent="0.25">
      <c r="A580" s="126" t="s">
        <v>1646</v>
      </c>
      <c r="B580" s="126" t="s">
        <v>1647</v>
      </c>
      <c r="C580" t="str">
        <f t="shared" si="18"/>
        <v>Base data</v>
      </c>
      <c r="E580" t="str">
        <f t="shared" si="19"/>
        <v>$B$8</v>
      </c>
    </row>
    <row r="581" spans="1:5" x14ac:dyDescent="0.25">
      <c r="A581" s="126" t="s">
        <v>1648</v>
      </c>
      <c r="B581" s="126" t="s">
        <v>1649</v>
      </c>
      <c r="C581" t="str">
        <f t="shared" si="18"/>
        <v>Policy A</v>
      </c>
      <c r="E581" t="str">
        <f t="shared" si="19"/>
        <v>$D$64:$D$71</v>
      </c>
    </row>
    <row r="582" spans="1:5" x14ac:dyDescent="0.25">
      <c r="A582" s="126" t="s">
        <v>1650</v>
      </c>
      <c r="B582" s="126" t="s">
        <v>1651</v>
      </c>
      <c r="C582" t="str">
        <f t="shared" si="18"/>
        <v>Policy B</v>
      </c>
      <c r="E582" t="str">
        <f t="shared" si="19"/>
        <v>$D$64:$D$71</v>
      </c>
    </row>
    <row r="583" spans="1:5" x14ac:dyDescent="0.25">
      <c r="A583" s="126" t="s">
        <v>1652</v>
      </c>
      <c r="B583" s="126" t="s">
        <v>1653</v>
      </c>
      <c r="C583" t="str">
        <f t="shared" si="18"/>
        <v>Policy A</v>
      </c>
      <c r="E583" t="str">
        <f t="shared" si="19"/>
        <v>$D$74:$D$81</v>
      </c>
    </row>
    <row r="584" spans="1:5" x14ac:dyDescent="0.25">
      <c r="A584" s="126" t="s">
        <v>1654</v>
      </c>
      <c r="B584" s="126" t="s">
        <v>1655</v>
      </c>
      <c r="C584" t="str">
        <f t="shared" si="18"/>
        <v>Policy B</v>
      </c>
      <c r="E584" t="str">
        <f t="shared" si="19"/>
        <v>$D$74:$D$81</v>
      </c>
    </row>
    <row r="585" spans="1:5" x14ac:dyDescent="0.25">
      <c r="A585" s="126" t="s">
        <v>1656</v>
      </c>
      <c r="B585" s="126" t="s">
        <v>1657</v>
      </c>
      <c r="C585" t="str">
        <f t="shared" si="18"/>
        <v>Policy A</v>
      </c>
      <c r="E585" t="str">
        <f t="shared" si="19"/>
        <v>$D$54:$D$61</v>
      </c>
    </row>
    <row r="586" spans="1:5" x14ac:dyDescent="0.25">
      <c r="A586" s="126" t="s">
        <v>1658</v>
      </c>
      <c r="B586" s="126" t="s">
        <v>1659</v>
      </c>
      <c r="C586" t="str">
        <f t="shared" si="18"/>
        <v>Policy B</v>
      </c>
      <c r="E586" t="str">
        <f t="shared" si="19"/>
        <v>$D$54:$D$61</v>
      </c>
    </row>
    <row r="587" spans="1:5" x14ac:dyDescent="0.25">
      <c r="A587" s="126" t="s">
        <v>1660</v>
      </c>
      <c r="B587" s="126" t="s">
        <v>1661</v>
      </c>
      <c r="C587" t="str">
        <f t="shared" si="18"/>
        <v>Preventative costs A</v>
      </c>
      <c r="E587" t="str">
        <f t="shared" si="19"/>
        <v>$B$290:$K$297</v>
      </c>
    </row>
    <row r="588" spans="1:5" x14ac:dyDescent="0.25">
      <c r="A588" s="126" t="s">
        <v>1662</v>
      </c>
      <c r="B588" s="126" t="s">
        <v>1663</v>
      </c>
      <c r="C588" t="str">
        <f t="shared" si="18"/>
        <v>Preventative costs A</v>
      </c>
      <c r="E588" t="str">
        <f t="shared" si="19"/>
        <v>$B$281:$K$288</v>
      </c>
    </row>
    <row r="589" spans="1:5" x14ac:dyDescent="0.25">
      <c r="A589" s="126" t="s">
        <v>1664</v>
      </c>
      <c r="B589" s="126" t="s">
        <v>1665</v>
      </c>
      <c r="C589" t="str">
        <f t="shared" si="18"/>
        <v>Preventative costs A</v>
      </c>
      <c r="E589" t="str">
        <f t="shared" si="19"/>
        <v>$B$308:$K$315</v>
      </c>
    </row>
    <row r="590" spans="1:5" x14ac:dyDescent="0.25">
      <c r="A590" s="126" t="s">
        <v>1666</v>
      </c>
      <c r="B590" s="126" t="s">
        <v>1667</v>
      </c>
      <c r="C590" t="str">
        <f t="shared" si="18"/>
        <v>Preventative costs A</v>
      </c>
      <c r="E590" t="str">
        <f t="shared" si="19"/>
        <v>$B$299:$K$306</v>
      </c>
    </row>
    <row r="591" spans="1:5" x14ac:dyDescent="0.25">
      <c r="A591" s="126" t="s">
        <v>1668</v>
      </c>
      <c r="B591" s="126" t="s">
        <v>1669</v>
      </c>
      <c r="C591" t="str">
        <f t="shared" si="18"/>
        <v>Preventative costs A</v>
      </c>
      <c r="E591" t="str">
        <f t="shared" si="19"/>
        <v>$B$254:$K$261</v>
      </c>
    </row>
    <row r="592" spans="1:5" x14ac:dyDescent="0.25">
      <c r="A592" s="126" t="s">
        <v>1670</v>
      </c>
      <c r="B592" s="126" t="s">
        <v>1671</v>
      </c>
      <c r="C592" t="str">
        <f t="shared" si="18"/>
        <v>Preventative costs A</v>
      </c>
      <c r="E592" t="str">
        <f t="shared" si="19"/>
        <v>$B$245:$K$252</v>
      </c>
    </row>
    <row r="593" spans="1:5" x14ac:dyDescent="0.25">
      <c r="A593" s="126" t="s">
        <v>1672</v>
      </c>
      <c r="B593" s="126" t="s">
        <v>1673</v>
      </c>
      <c r="C593" t="str">
        <f t="shared" si="18"/>
        <v>Preventative costs A</v>
      </c>
      <c r="E593" t="str">
        <f t="shared" si="19"/>
        <v>$B$272:$K$279</v>
      </c>
    </row>
    <row r="594" spans="1:5" x14ac:dyDescent="0.25">
      <c r="A594" s="126" t="s">
        <v>1674</v>
      </c>
      <c r="B594" s="126" t="s">
        <v>1675</v>
      </c>
      <c r="C594" t="str">
        <f t="shared" si="18"/>
        <v>Preventative costs A</v>
      </c>
      <c r="E594" t="str">
        <f t="shared" si="19"/>
        <v>$C$18:$C$25</v>
      </c>
    </row>
    <row r="595" spans="1:5" x14ac:dyDescent="0.25">
      <c r="A595" s="126" t="s">
        <v>1676</v>
      </c>
      <c r="B595" s="126" t="s">
        <v>1677</v>
      </c>
      <c r="C595" t="str">
        <f t="shared" si="18"/>
        <v>Library data</v>
      </c>
      <c r="E595" t="str">
        <f t="shared" si="19"/>
        <v>$C$78</v>
      </c>
    </row>
    <row r="596" spans="1:5" x14ac:dyDescent="0.25">
      <c r="A596" s="126" t="s">
        <v>1678</v>
      </c>
      <c r="B596" s="126" t="s">
        <v>1679</v>
      </c>
      <c r="C596" t="str">
        <f t="shared" si="18"/>
        <v>Preventative costs A</v>
      </c>
      <c r="E596" t="str">
        <f t="shared" si="19"/>
        <v>$B$18:$B$25</v>
      </c>
    </row>
    <row r="597" spans="1:5" x14ac:dyDescent="0.25">
      <c r="A597" s="126" t="s">
        <v>1680</v>
      </c>
      <c r="B597" s="126" t="s">
        <v>1681</v>
      </c>
      <c r="C597" t="str">
        <f t="shared" si="18"/>
        <v>Library data</v>
      </c>
      <c r="E597" t="str">
        <f t="shared" si="19"/>
        <v>$C$71</v>
      </c>
    </row>
    <row r="598" spans="1:5" x14ac:dyDescent="0.25">
      <c r="A598" s="126" t="s">
        <v>1682</v>
      </c>
      <c r="B598" s="126" t="s">
        <v>1683</v>
      </c>
      <c r="C598" t="str">
        <f t="shared" si="18"/>
        <v>Preventative costs A</v>
      </c>
      <c r="E598" t="str">
        <f t="shared" si="19"/>
        <v>$E$18:$E$25</v>
      </c>
    </row>
    <row r="599" spans="1:5" x14ac:dyDescent="0.25">
      <c r="A599" s="126" t="s">
        <v>1684</v>
      </c>
      <c r="B599" s="126" t="s">
        <v>1685</v>
      </c>
      <c r="C599" t="str">
        <f t="shared" si="18"/>
        <v>Library data</v>
      </c>
      <c r="E599" t="str">
        <f t="shared" si="19"/>
        <v>$C$92</v>
      </c>
    </row>
    <row r="600" spans="1:5" x14ac:dyDescent="0.25">
      <c r="A600" s="126" t="s">
        <v>1686</v>
      </c>
      <c r="B600" s="126" t="s">
        <v>1687</v>
      </c>
      <c r="C600" t="str">
        <f t="shared" si="18"/>
        <v>Preventative costs A</v>
      </c>
      <c r="E600" t="str">
        <f t="shared" si="19"/>
        <v>$D$18:$D$25</v>
      </c>
    </row>
    <row r="601" spans="1:5" x14ac:dyDescent="0.25">
      <c r="A601" s="126" t="s">
        <v>1688</v>
      </c>
      <c r="B601" s="126" t="s">
        <v>1689</v>
      </c>
      <c r="C601" t="str">
        <f t="shared" si="18"/>
        <v>Library data</v>
      </c>
      <c r="E601" t="str">
        <f t="shared" si="19"/>
        <v>$C$85</v>
      </c>
    </row>
    <row r="602" spans="1:5" x14ac:dyDescent="0.25">
      <c r="A602" s="126" t="s">
        <v>1690</v>
      </c>
      <c r="B602" s="126" t="s">
        <v>1691</v>
      </c>
      <c r="C602" t="str">
        <f t="shared" si="18"/>
        <v>Preventative costs A</v>
      </c>
      <c r="E602" t="str">
        <f t="shared" si="19"/>
        <v>$B$263:$K$270</v>
      </c>
    </row>
    <row r="603" spans="1:5" x14ac:dyDescent="0.25">
      <c r="A603" s="126" t="s">
        <v>1692</v>
      </c>
      <c r="B603" s="126" t="s">
        <v>1693</v>
      </c>
      <c r="C603" t="str">
        <f t="shared" si="18"/>
        <v>Library data</v>
      </c>
      <c r="E603" t="str">
        <f t="shared" si="19"/>
        <v>$C$106:$C$112</v>
      </c>
    </row>
    <row r="604" spans="1:5" x14ac:dyDescent="0.25">
      <c r="A604" s="126" t="s">
        <v>1694</v>
      </c>
      <c r="B604" s="126" t="s">
        <v>1695</v>
      </c>
      <c r="C604" t="str">
        <f t="shared" si="18"/>
        <v>Library data</v>
      </c>
      <c r="E604" t="str">
        <f t="shared" si="19"/>
        <v>$C$123</v>
      </c>
    </row>
    <row r="605" spans="1:5" x14ac:dyDescent="0.25">
      <c r="A605" s="126" t="s">
        <v>1696</v>
      </c>
      <c r="B605" s="126" t="s">
        <v>1697</v>
      </c>
      <c r="C605" t="str">
        <f t="shared" si="18"/>
        <v>Library data</v>
      </c>
      <c r="E605" t="str">
        <f t="shared" si="19"/>
        <v>$C$122</v>
      </c>
    </row>
    <row r="606" spans="1:5" x14ac:dyDescent="0.25">
      <c r="A606" s="126" t="s">
        <v>1698</v>
      </c>
      <c r="B606" s="126" t="s">
        <v>1699</v>
      </c>
      <c r="C606" t="str">
        <f t="shared" si="18"/>
        <v>Preventative costs A</v>
      </c>
      <c r="E606" t="str">
        <f t="shared" si="19"/>
        <v>$B$326:$K$333</v>
      </c>
    </row>
    <row r="607" spans="1:5" x14ac:dyDescent="0.25">
      <c r="A607" s="126" t="s">
        <v>1700</v>
      </c>
      <c r="B607" s="126" t="s">
        <v>1701</v>
      </c>
      <c r="C607" t="str">
        <f t="shared" si="18"/>
        <v>Preventative costs A</v>
      </c>
      <c r="E607" t="str">
        <f t="shared" si="19"/>
        <v>$B$317:$K$324</v>
      </c>
    </row>
    <row r="608" spans="1:5" x14ac:dyDescent="0.25">
      <c r="A608" s="126" t="s">
        <v>1702</v>
      </c>
      <c r="B608" s="126" t="s">
        <v>1703</v>
      </c>
      <c r="C608" t="str">
        <f t="shared" si="18"/>
        <v>Preventative costs A</v>
      </c>
      <c r="E608" t="str">
        <f t="shared" si="19"/>
        <v>$B$344:$K$351</v>
      </c>
    </row>
    <row r="609" spans="1:5" x14ac:dyDescent="0.25">
      <c r="A609" s="126" t="s">
        <v>1704</v>
      </c>
      <c r="B609" s="126" t="s">
        <v>1705</v>
      </c>
      <c r="C609" t="str">
        <f t="shared" si="18"/>
        <v>Preventative costs A</v>
      </c>
      <c r="E609" t="str">
        <f t="shared" si="19"/>
        <v>$B$241:$K$241</v>
      </c>
    </row>
    <row r="610" spans="1:5" x14ac:dyDescent="0.25">
      <c r="A610" s="126" t="s">
        <v>1706</v>
      </c>
      <c r="B610" s="126" t="s">
        <v>1707</v>
      </c>
      <c r="C610" t="str">
        <f t="shared" si="18"/>
        <v>Preventative costs A</v>
      </c>
      <c r="E610" t="str">
        <f t="shared" si="19"/>
        <v>$B$240:$K$240</v>
      </c>
    </row>
    <row r="611" spans="1:5" x14ac:dyDescent="0.25">
      <c r="A611" s="126" t="s">
        <v>1708</v>
      </c>
      <c r="B611" s="126" t="s">
        <v>1709</v>
      </c>
      <c r="C611" t="str">
        <f t="shared" si="18"/>
        <v>Preventative costs A</v>
      </c>
      <c r="E611" t="str">
        <f t="shared" si="19"/>
        <v>$B$243:$K$243</v>
      </c>
    </row>
    <row r="612" spans="1:5" x14ac:dyDescent="0.25">
      <c r="A612" s="126" t="s">
        <v>1710</v>
      </c>
      <c r="B612" s="126" t="s">
        <v>1711</v>
      </c>
      <c r="C612" t="str">
        <f t="shared" si="18"/>
        <v>Library data</v>
      </c>
      <c r="E612" t="str">
        <f t="shared" si="19"/>
        <v>$C$80</v>
      </c>
    </row>
    <row r="613" spans="1:5" x14ac:dyDescent="0.25">
      <c r="A613" s="126" t="s">
        <v>1712</v>
      </c>
      <c r="B613" s="126" t="s">
        <v>1713</v>
      </c>
      <c r="C613" t="str">
        <f t="shared" si="18"/>
        <v>Library data</v>
      </c>
      <c r="E613" t="str">
        <f t="shared" si="19"/>
        <v>$C$73</v>
      </c>
    </row>
    <row r="614" spans="1:5" x14ac:dyDescent="0.25">
      <c r="A614" s="126" t="s">
        <v>1714</v>
      </c>
      <c r="B614" s="126" t="s">
        <v>1715</v>
      </c>
      <c r="C614" t="str">
        <f t="shared" si="18"/>
        <v>Library data</v>
      </c>
      <c r="E614" t="str">
        <f t="shared" si="19"/>
        <v>$C$94</v>
      </c>
    </row>
    <row r="615" spans="1:5" x14ac:dyDescent="0.25">
      <c r="A615" s="126" t="s">
        <v>1716</v>
      </c>
      <c r="B615" s="126" t="s">
        <v>1717</v>
      </c>
      <c r="C615" t="str">
        <f t="shared" si="18"/>
        <v>Library data</v>
      </c>
      <c r="E615" t="str">
        <f t="shared" si="19"/>
        <v>$C$87</v>
      </c>
    </row>
    <row r="616" spans="1:5" x14ac:dyDescent="0.25">
      <c r="A616" s="126" t="s">
        <v>1718</v>
      </c>
      <c r="B616" s="126" t="s">
        <v>1719</v>
      </c>
      <c r="C616" t="str">
        <f t="shared" si="18"/>
        <v>Preventative costs A</v>
      </c>
      <c r="E616" t="str">
        <f t="shared" si="19"/>
        <v>$B$242:$K$242</v>
      </c>
    </row>
    <row r="617" spans="1:5" x14ac:dyDescent="0.25">
      <c r="A617" s="126" t="s">
        <v>1720</v>
      </c>
      <c r="B617" s="126" t="s">
        <v>1721</v>
      </c>
      <c r="C617" t="str">
        <f t="shared" si="18"/>
        <v>Library data</v>
      </c>
      <c r="E617" t="str">
        <f t="shared" si="19"/>
        <v>$C$125</v>
      </c>
    </row>
    <row r="618" spans="1:5" x14ac:dyDescent="0.25">
      <c r="A618" s="126" t="s">
        <v>1722</v>
      </c>
      <c r="B618" s="126" t="s">
        <v>1723</v>
      </c>
      <c r="C618" t="str">
        <f t="shared" si="18"/>
        <v>Library data</v>
      </c>
      <c r="E618" t="str">
        <f t="shared" si="19"/>
        <v>$C$124</v>
      </c>
    </row>
    <row r="619" spans="1:5" x14ac:dyDescent="0.25">
      <c r="A619" s="126" t="s">
        <v>1724</v>
      </c>
      <c r="B619" s="126" t="s">
        <v>1725</v>
      </c>
      <c r="C619" t="str">
        <f t="shared" si="18"/>
        <v>Preventative costs A</v>
      </c>
      <c r="E619" t="str">
        <f t="shared" si="19"/>
        <v>$B$335:$K$342</v>
      </c>
    </row>
    <row r="620" spans="1:5" x14ac:dyDescent="0.25">
      <c r="A620" s="126" t="s">
        <v>1726</v>
      </c>
      <c r="B620" s="126" t="s">
        <v>1727</v>
      </c>
      <c r="C620" t="str">
        <f t="shared" si="18"/>
        <v>Base data</v>
      </c>
      <c r="E620" t="str">
        <f t="shared" si="19"/>
        <v>$B$24:$B$31</v>
      </c>
    </row>
    <row r="621" spans="1:5" x14ac:dyDescent="0.25">
      <c r="A621" s="126" t="s">
        <v>1728</v>
      </c>
      <c r="B621" s="126" t="s">
        <v>1729</v>
      </c>
      <c r="C621" t="str">
        <f t="shared" si="18"/>
        <v>Base data</v>
      </c>
      <c r="E621" t="str">
        <f t="shared" si="19"/>
        <v>$B$24</v>
      </c>
    </row>
    <row r="622" spans="1:5" x14ac:dyDescent="0.25">
      <c r="A622" s="126" t="s">
        <v>1730</v>
      </c>
      <c r="B622" s="126" t="s">
        <v>1731</v>
      </c>
      <c r="C622" t="str">
        <f t="shared" si="18"/>
        <v>Base data</v>
      </c>
      <c r="E622" t="str">
        <f t="shared" si="19"/>
        <v>$B$25:$B$31</v>
      </c>
    </row>
    <row r="623" spans="1:5" x14ac:dyDescent="0.25">
      <c r="A623" s="126" t="s">
        <v>1732</v>
      </c>
      <c r="B623" s="126" t="s">
        <v>1733</v>
      </c>
      <c r="C623" t="str">
        <f t="shared" si="18"/>
        <v>Base data</v>
      </c>
      <c r="E623" t="str">
        <f t="shared" si="19"/>
        <v>$A$24:$A$31</v>
      </c>
    </row>
    <row r="624" spans="1:5" x14ac:dyDescent="0.25">
      <c r="A624" s="126" t="s">
        <v>1734</v>
      </c>
      <c r="B624" s="126" t="s">
        <v>1735</v>
      </c>
      <c r="C624" t="str">
        <f t="shared" si="18"/>
        <v>Base data</v>
      </c>
      <c r="E624" t="str">
        <f t="shared" si="19"/>
        <v>$A$24</v>
      </c>
    </row>
    <row r="625" spans="1:5" x14ac:dyDescent="0.25">
      <c r="A625" s="126" t="s">
        <v>1736</v>
      </c>
      <c r="B625" s="126" t="s">
        <v>1737</v>
      </c>
      <c r="C625" t="str">
        <f t="shared" si="18"/>
        <v>Impacts A</v>
      </c>
      <c r="E625" t="str">
        <f t="shared" si="19"/>
        <v>$B$107</v>
      </c>
    </row>
    <row r="626" spans="1:5" x14ac:dyDescent="0.25">
      <c r="A626" s="126" t="s">
        <v>1738</v>
      </c>
      <c r="B626" s="126" t="s">
        <v>1739</v>
      </c>
      <c r="C626" t="str">
        <f t="shared" si="18"/>
        <v>Impacts A</v>
      </c>
      <c r="E626" t="str">
        <f t="shared" si="19"/>
        <v>$C$281:$L$288</v>
      </c>
    </row>
    <row r="627" spans="1:5" x14ac:dyDescent="0.25">
      <c r="A627" s="126" t="s">
        <v>1740</v>
      </c>
      <c r="B627" s="126" t="s">
        <v>1741</v>
      </c>
      <c r="C627" t="str">
        <f t="shared" si="18"/>
        <v>Impacts B</v>
      </c>
      <c r="E627" t="str">
        <f t="shared" si="19"/>
        <v>$C$281:$L$288</v>
      </c>
    </row>
    <row r="628" spans="1:5" x14ac:dyDescent="0.25">
      <c r="A628" s="126" t="s">
        <v>1742</v>
      </c>
      <c r="B628" s="126" t="s">
        <v>1743</v>
      </c>
      <c r="C628" t="str">
        <f t="shared" si="18"/>
        <v>Impacts A</v>
      </c>
      <c r="E628" t="str">
        <f t="shared" si="19"/>
        <v>$C$335:$L$342</v>
      </c>
    </row>
    <row r="629" spans="1:5" x14ac:dyDescent="0.25">
      <c r="A629" s="126" t="s">
        <v>1744</v>
      </c>
      <c r="B629" s="126" t="s">
        <v>1745</v>
      </c>
      <c r="C629" t="str">
        <f t="shared" si="18"/>
        <v>Impacts B</v>
      </c>
      <c r="E629" t="str">
        <f t="shared" si="19"/>
        <v>$C$335:$L$342</v>
      </c>
    </row>
    <row r="630" spans="1:5" x14ac:dyDescent="0.25">
      <c r="A630" s="126" t="s">
        <v>1746</v>
      </c>
      <c r="B630" s="126" t="s">
        <v>1747</v>
      </c>
      <c r="C630" t="str">
        <f t="shared" si="18"/>
        <v>Impacts A</v>
      </c>
      <c r="E630" t="str">
        <f t="shared" si="19"/>
        <v>$C$227:$L$234</v>
      </c>
    </row>
    <row r="631" spans="1:5" x14ac:dyDescent="0.25">
      <c r="A631" s="126" t="s">
        <v>1748</v>
      </c>
      <c r="B631" s="126" t="s">
        <v>1749</v>
      </c>
      <c r="C631" t="str">
        <f t="shared" si="18"/>
        <v>Impacts B</v>
      </c>
      <c r="E631" t="str">
        <f t="shared" si="19"/>
        <v>$C$227:$L$234</v>
      </c>
    </row>
    <row r="632" spans="1:5" x14ac:dyDescent="0.25">
      <c r="A632" s="126" t="s">
        <v>1750</v>
      </c>
      <c r="B632" s="126" t="s">
        <v>1751</v>
      </c>
      <c r="C632" t="str">
        <f t="shared" si="18"/>
        <v>Impacts A</v>
      </c>
      <c r="E632" t="str">
        <f t="shared" si="19"/>
        <v>$C$398:$L$405</v>
      </c>
    </row>
    <row r="633" spans="1:5" x14ac:dyDescent="0.25">
      <c r="A633" s="126" t="s">
        <v>1752</v>
      </c>
      <c r="B633" s="126" t="s">
        <v>1753</v>
      </c>
      <c r="C633" t="str">
        <f t="shared" si="18"/>
        <v>Impacts B</v>
      </c>
      <c r="E633" t="str">
        <f t="shared" si="19"/>
        <v>$C$398:$L$405</v>
      </c>
    </row>
    <row r="634" spans="1:5" x14ac:dyDescent="0.25">
      <c r="A634" s="126" t="s">
        <v>1754</v>
      </c>
      <c r="B634" s="126" t="s">
        <v>1755</v>
      </c>
      <c r="C634" t="str">
        <f t="shared" si="18"/>
        <v>Climate A</v>
      </c>
      <c r="E634" t="str">
        <f t="shared" si="19"/>
        <v>$D$35:$M$35</v>
      </c>
    </row>
    <row r="635" spans="1:5" x14ac:dyDescent="0.25">
      <c r="A635" s="126" t="s">
        <v>1756</v>
      </c>
      <c r="B635" s="126" t="s">
        <v>1757</v>
      </c>
      <c r="C635" t="str">
        <f t="shared" si="18"/>
        <v>Climate A</v>
      </c>
      <c r="E635" t="str">
        <f t="shared" si="19"/>
        <v>$E$10</v>
      </c>
    </row>
    <row r="636" spans="1:5" x14ac:dyDescent="0.25">
      <c r="A636" s="126" t="s">
        <v>1758</v>
      </c>
      <c r="B636" s="126" t="s">
        <v>1759</v>
      </c>
      <c r="C636" t="str">
        <f t="shared" si="18"/>
        <v>Climate B</v>
      </c>
      <c r="E636" t="str">
        <f t="shared" si="19"/>
        <v>$D$35:$M$35</v>
      </c>
    </row>
    <row r="637" spans="1:5" x14ac:dyDescent="0.25">
      <c r="A637" s="126" t="s">
        <v>1760</v>
      </c>
      <c r="B637" s="126" t="s">
        <v>782</v>
      </c>
      <c r="C637" t="str">
        <f t="shared" si="18"/>
        <v>Climate A</v>
      </c>
      <c r="E637" t="str">
        <f t="shared" si="19"/>
        <v>$D$25:$M$25</v>
      </c>
    </row>
    <row r="638" spans="1:5" x14ac:dyDescent="0.25">
      <c r="A638" s="126" t="s">
        <v>1761</v>
      </c>
      <c r="B638" s="126" t="s">
        <v>1762</v>
      </c>
      <c r="C638" t="str">
        <f t="shared" si="18"/>
        <v>Climate A</v>
      </c>
      <c r="E638" t="str">
        <f t="shared" si="19"/>
        <v>$D$10</v>
      </c>
    </row>
    <row r="639" spans="1:5" x14ac:dyDescent="0.25">
      <c r="A639" s="126" t="s">
        <v>1763</v>
      </c>
      <c r="B639" s="126" t="s">
        <v>784</v>
      </c>
      <c r="C639" t="str">
        <f t="shared" si="18"/>
        <v>Climate B</v>
      </c>
      <c r="E639" t="str">
        <f t="shared" si="19"/>
        <v>$D$25:$M$25</v>
      </c>
    </row>
    <row r="640" spans="1:5" x14ac:dyDescent="0.25">
      <c r="A640" s="126" t="s">
        <v>1764</v>
      </c>
      <c r="B640" s="126" t="s">
        <v>1765</v>
      </c>
      <c r="C640" t="str">
        <f t="shared" si="18"/>
        <v>Climate A</v>
      </c>
      <c r="E640" t="str">
        <f t="shared" si="19"/>
        <v>$C$22</v>
      </c>
    </row>
    <row r="641" spans="1:5" x14ac:dyDescent="0.25">
      <c r="A641" s="126" t="s">
        <v>1766</v>
      </c>
      <c r="B641" s="126" t="s">
        <v>1767</v>
      </c>
      <c r="C641" t="str">
        <f t="shared" si="18"/>
        <v>Climate A</v>
      </c>
      <c r="E641" t="str">
        <f t="shared" si="19"/>
        <v>$D$22:$M$22</v>
      </c>
    </row>
    <row r="642" spans="1:5" x14ac:dyDescent="0.25">
      <c r="A642" s="126" t="s">
        <v>1768</v>
      </c>
      <c r="B642" s="126" t="s">
        <v>1769</v>
      </c>
      <c r="C642" t="str">
        <f t="shared" ref="C642:C705" si="20">IF(ISERR(FIND("'",B642)),MID(B642,FIND("=",B642)+1,FIND("!",B642)-(FIND("=",B642)+1)-1),MID(B642,FIND("='",B642)+2,FIND("!",B642)-(FIND("='",B642)+2)-1))</f>
        <v>Climate B</v>
      </c>
      <c r="E642" t="str">
        <f t="shared" si="19"/>
        <v>$D$22:$M$22</v>
      </c>
    </row>
    <row r="643" spans="1:5" x14ac:dyDescent="0.25">
      <c r="A643" s="126" t="s">
        <v>1770</v>
      </c>
      <c r="B643" s="126" t="s">
        <v>1771</v>
      </c>
      <c r="C643" t="str">
        <f t="shared" si="20"/>
        <v>Climate A</v>
      </c>
      <c r="E643" t="str">
        <f t="shared" ref="E643:E706" si="21">RIGHT(B643,LEN(B643)-FIND("!",B643))</f>
        <v>$D$59:$M$59</v>
      </c>
    </row>
    <row r="644" spans="1:5" x14ac:dyDescent="0.25">
      <c r="A644" s="126" t="s">
        <v>1772</v>
      </c>
      <c r="B644" s="126" t="s">
        <v>1773</v>
      </c>
      <c r="C644" t="str">
        <f t="shared" si="20"/>
        <v>Climate A</v>
      </c>
      <c r="E644" t="str">
        <f t="shared" si="21"/>
        <v>$G$10</v>
      </c>
    </row>
    <row r="645" spans="1:5" x14ac:dyDescent="0.25">
      <c r="A645" s="126" t="s">
        <v>1774</v>
      </c>
      <c r="B645" s="126" t="s">
        <v>1775</v>
      </c>
      <c r="C645" t="str">
        <f t="shared" si="20"/>
        <v>Climate B</v>
      </c>
      <c r="E645" t="str">
        <f t="shared" si="21"/>
        <v>$D$59:$M$59</v>
      </c>
    </row>
    <row r="646" spans="1:5" x14ac:dyDescent="0.25">
      <c r="A646" s="126" t="s">
        <v>1776</v>
      </c>
      <c r="B646" s="126" t="s">
        <v>1777</v>
      </c>
      <c r="C646" t="str">
        <f t="shared" si="20"/>
        <v>Climate A</v>
      </c>
      <c r="E646" t="str">
        <f t="shared" si="21"/>
        <v>$D$45:$M$45</v>
      </c>
    </row>
    <row r="647" spans="1:5" x14ac:dyDescent="0.25">
      <c r="A647" s="126" t="s">
        <v>1778</v>
      </c>
      <c r="B647" s="126" t="s">
        <v>1779</v>
      </c>
      <c r="C647" t="str">
        <f t="shared" si="20"/>
        <v>Climate A</v>
      </c>
      <c r="E647" t="str">
        <f t="shared" si="21"/>
        <v>$F$10</v>
      </c>
    </row>
    <row r="648" spans="1:5" x14ac:dyDescent="0.25">
      <c r="A648" s="126" t="s">
        <v>1780</v>
      </c>
      <c r="B648" s="126" t="s">
        <v>1781</v>
      </c>
      <c r="C648" t="str">
        <f t="shared" si="20"/>
        <v>Climate B</v>
      </c>
      <c r="E648" t="str">
        <f t="shared" si="21"/>
        <v>$D$45:$M$45</v>
      </c>
    </row>
    <row r="649" spans="1:5" x14ac:dyDescent="0.25">
      <c r="A649" s="126" t="s">
        <v>1782</v>
      </c>
      <c r="B649" s="126" t="s">
        <v>1783</v>
      </c>
      <c r="C649" t="str">
        <f t="shared" si="20"/>
        <v>Climate A</v>
      </c>
      <c r="E649" t="str">
        <f t="shared" si="21"/>
        <v>$D$33:$M$33</v>
      </c>
    </row>
    <row r="650" spans="1:5" x14ac:dyDescent="0.25">
      <c r="A650" s="126" t="s">
        <v>1784</v>
      </c>
      <c r="B650" s="126" t="s">
        <v>1785</v>
      </c>
      <c r="C650" t="str">
        <f t="shared" si="20"/>
        <v>Climate B</v>
      </c>
      <c r="E650" t="str">
        <f t="shared" si="21"/>
        <v>$D$33:$M$33</v>
      </c>
    </row>
    <row r="651" spans="1:5" x14ac:dyDescent="0.25">
      <c r="A651" s="126" t="s">
        <v>1786</v>
      </c>
      <c r="B651" s="126" t="s">
        <v>1787</v>
      </c>
      <c r="C651" t="str">
        <f t="shared" si="20"/>
        <v>Climate A</v>
      </c>
      <c r="E651" t="str">
        <f t="shared" si="21"/>
        <v>$D$20:$M$20</v>
      </c>
    </row>
    <row r="652" spans="1:5" x14ac:dyDescent="0.25">
      <c r="A652" s="126" t="s">
        <v>1788</v>
      </c>
      <c r="B652" s="126" t="s">
        <v>1789</v>
      </c>
      <c r="C652" t="str">
        <f t="shared" si="20"/>
        <v>Climate B</v>
      </c>
      <c r="E652" t="str">
        <f t="shared" si="21"/>
        <v>$D$20:$M$20</v>
      </c>
    </row>
    <row r="653" spans="1:5" x14ac:dyDescent="0.25">
      <c r="A653" s="126" t="s">
        <v>1790</v>
      </c>
      <c r="B653" s="126" t="s">
        <v>1791</v>
      </c>
      <c r="C653" t="str">
        <f t="shared" si="20"/>
        <v>Climate A</v>
      </c>
      <c r="E653" t="str">
        <f t="shared" si="21"/>
        <v>$D$57:$M$57</v>
      </c>
    </row>
    <row r="654" spans="1:5" x14ac:dyDescent="0.25">
      <c r="A654" s="126" t="s">
        <v>1792</v>
      </c>
      <c r="B654" s="126" t="s">
        <v>1793</v>
      </c>
      <c r="C654" t="str">
        <f t="shared" si="20"/>
        <v>Climate B</v>
      </c>
      <c r="E654" t="str">
        <f t="shared" si="21"/>
        <v>$D$57:$M$57</v>
      </c>
    </row>
    <row r="655" spans="1:5" x14ac:dyDescent="0.25">
      <c r="A655" s="126" t="s">
        <v>1794</v>
      </c>
      <c r="B655" s="126" t="s">
        <v>1795</v>
      </c>
      <c r="C655" t="str">
        <f t="shared" si="20"/>
        <v>Climate A</v>
      </c>
      <c r="E655" t="str">
        <f t="shared" si="21"/>
        <v>$D$43:$M$43</v>
      </c>
    </row>
    <row r="656" spans="1:5" x14ac:dyDescent="0.25">
      <c r="A656" s="126" t="s">
        <v>1796</v>
      </c>
      <c r="B656" s="126" t="s">
        <v>1797</v>
      </c>
      <c r="C656" t="str">
        <f t="shared" si="20"/>
        <v>Climate B</v>
      </c>
      <c r="E656" t="str">
        <f t="shared" si="21"/>
        <v>$D$43:$M$43</v>
      </c>
    </row>
    <row r="657" spans="1:5" x14ac:dyDescent="0.25">
      <c r="A657" s="126" t="s">
        <v>1798</v>
      </c>
      <c r="B657" s="126" t="s">
        <v>1799</v>
      </c>
      <c r="C657" t="str">
        <f t="shared" si="20"/>
        <v>Base data</v>
      </c>
      <c r="E657" t="str">
        <f t="shared" si="21"/>
        <v>$C$18</v>
      </c>
    </row>
    <row r="658" spans="1:5" x14ac:dyDescent="0.25">
      <c r="A658" s="126" t="s">
        <v>1800</v>
      </c>
      <c r="B658" s="126" t="s">
        <v>1801</v>
      </c>
      <c r="C658" t="str">
        <f t="shared" si="20"/>
        <v>Library data</v>
      </c>
      <c r="E658" t="str">
        <f t="shared" si="21"/>
        <v>$C$5</v>
      </c>
    </row>
    <row r="659" spans="1:5" x14ac:dyDescent="0.25">
      <c r="A659" s="126" t="s">
        <v>1802</v>
      </c>
      <c r="B659" s="126" t="s">
        <v>1803</v>
      </c>
      <c r="C659" t="str">
        <f t="shared" si="20"/>
        <v>Base data</v>
      </c>
      <c r="E659" t="str">
        <f t="shared" si="21"/>
        <v>$E$18</v>
      </c>
    </row>
    <row r="660" spans="1:5" x14ac:dyDescent="0.25">
      <c r="A660" s="126" t="s">
        <v>1804</v>
      </c>
      <c r="B660" s="126" t="s">
        <v>1805</v>
      </c>
      <c r="C660" t="str">
        <f t="shared" si="20"/>
        <v>Base data</v>
      </c>
      <c r="E660" t="str">
        <f t="shared" si="21"/>
        <v>$D$18</v>
      </c>
    </row>
    <row r="661" spans="1:5" x14ac:dyDescent="0.25">
      <c r="A661" s="126" t="s">
        <v>1806</v>
      </c>
      <c r="B661" s="126" t="s">
        <v>1807</v>
      </c>
      <c r="C661" t="str">
        <f t="shared" si="20"/>
        <v>Impacts A</v>
      </c>
      <c r="E661" t="str">
        <f t="shared" si="21"/>
        <v>$C$290:$L$297</v>
      </c>
    </row>
    <row r="662" spans="1:5" x14ac:dyDescent="0.25">
      <c r="A662" s="126" t="s">
        <v>1808</v>
      </c>
      <c r="B662" s="126" t="s">
        <v>1809</v>
      </c>
      <c r="C662" t="str">
        <f t="shared" si="20"/>
        <v>Impacts B</v>
      </c>
      <c r="E662" t="str">
        <f t="shared" si="21"/>
        <v>$C$290:$L$297</v>
      </c>
    </row>
    <row r="663" spans="1:5" x14ac:dyDescent="0.25">
      <c r="A663" s="126" t="s">
        <v>1810</v>
      </c>
      <c r="B663" s="126" t="s">
        <v>1811</v>
      </c>
      <c r="C663" t="str">
        <f t="shared" si="20"/>
        <v>Impacts A</v>
      </c>
      <c r="E663" t="str">
        <f t="shared" si="21"/>
        <v>$C$344:$L$351</v>
      </c>
    </row>
    <row r="664" spans="1:5" x14ac:dyDescent="0.25">
      <c r="A664" s="126" t="s">
        <v>1812</v>
      </c>
      <c r="B664" s="126" t="s">
        <v>1813</v>
      </c>
      <c r="C664" t="str">
        <f t="shared" si="20"/>
        <v>Impacts B</v>
      </c>
      <c r="E664" t="str">
        <f t="shared" si="21"/>
        <v>$C$344:$L$351</v>
      </c>
    </row>
    <row r="665" spans="1:5" x14ac:dyDescent="0.25">
      <c r="A665" s="126" t="s">
        <v>1814</v>
      </c>
      <c r="B665" s="126" t="s">
        <v>1815</v>
      </c>
      <c r="C665" t="str">
        <f t="shared" si="20"/>
        <v>Impacts A</v>
      </c>
      <c r="E665" t="str">
        <f t="shared" si="21"/>
        <v>$C$236:$L$243</v>
      </c>
    </row>
    <row r="666" spans="1:5" x14ac:dyDescent="0.25">
      <c r="A666" s="126" t="s">
        <v>1816</v>
      </c>
      <c r="B666" s="126" t="s">
        <v>1817</v>
      </c>
      <c r="C666" t="str">
        <f t="shared" si="20"/>
        <v>Impacts B</v>
      </c>
      <c r="E666" t="str">
        <f t="shared" si="21"/>
        <v>$C$236:$L$243</v>
      </c>
    </row>
    <row r="667" spans="1:5" x14ac:dyDescent="0.25">
      <c r="A667" s="126" t="s">
        <v>1818</v>
      </c>
      <c r="B667" s="126" t="s">
        <v>1819</v>
      </c>
      <c r="C667" t="str">
        <f t="shared" si="20"/>
        <v>Impacts A</v>
      </c>
      <c r="E667" t="str">
        <f t="shared" si="21"/>
        <v>$C$407:$L$414</v>
      </c>
    </row>
    <row r="668" spans="1:5" x14ac:dyDescent="0.25">
      <c r="A668" s="126" t="s">
        <v>1820</v>
      </c>
      <c r="B668" s="126" t="s">
        <v>1821</v>
      </c>
      <c r="C668" t="str">
        <f t="shared" si="20"/>
        <v>Impacts B</v>
      </c>
      <c r="E668" t="str">
        <f t="shared" si="21"/>
        <v>$C$407:$L$414</v>
      </c>
    </row>
    <row r="669" spans="1:5" x14ac:dyDescent="0.25">
      <c r="A669" s="126" t="s">
        <v>1822</v>
      </c>
      <c r="B669" s="126" t="s">
        <v>1823</v>
      </c>
      <c r="C669" t="str">
        <f t="shared" si="20"/>
        <v>Library data</v>
      </c>
      <c r="E669" t="str">
        <f t="shared" si="21"/>
        <v>$C$9</v>
      </c>
    </row>
    <row r="670" spans="1:5" x14ac:dyDescent="0.25">
      <c r="A670" s="126" t="s">
        <v>1824</v>
      </c>
      <c r="B670" s="126" t="s">
        <v>1825</v>
      </c>
      <c r="C670" t="str">
        <f t="shared" si="20"/>
        <v>Climate A</v>
      </c>
      <c r="E670" t="str">
        <f t="shared" si="21"/>
        <v>$D$118:$M$125</v>
      </c>
    </row>
    <row r="671" spans="1:5" x14ac:dyDescent="0.25">
      <c r="A671" s="126" t="s">
        <v>215</v>
      </c>
      <c r="B671" s="126" t="s">
        <v>1826</v>
      </c>
      <c r="C671" t="str">
        <f t="shared" si="20"/>
        <v>Climate A</v>
      </c>
      <c r="E671" t="str">
        <f t="shared" si="21"/>
        <v>$D$110:$M$117</v>
      </c>
    </row>
    <row r="672" spans="1:5" x14ac:dyDescent="0.25">
      <c r="A672" s="126" t="s">
        <v>1827</v>
      </c>
      <c r="B672" s="126" t="s">
        <v>1828</v>
      </c>
      <c r="C672" t="str">
        <f t="shared" si="20"/>
        <v>Climate A</v>
      </c>
      <c r="E672" t="str">
        <f t="shared" si="21"/>
        <v>$D$110:$D$117</v>
      </c>
    </row>
    <row r="673" spans="1:5" x14ac:dyDescent="0.25">
      <c r="A673" s="126" t="s">
        <v>1829</v>
      </c>
      <c r="B673" s="126" t="s">
        <v>1830</v>
      </c>
      <c r="C673" t="str">
        <f t="shared" si="20"/>
        <v>Climate B</v>
      </c>
      <c r="E673" t="str">
        <f t="shared" si="21"/>
        <v>$D$118:$M$125</v>
      </c>
    </row>
    <row r="674" spans="1:5" x14ac:dyDescent="0.25">
      <c r="A674" s="126" t="s">
        <v>1831</v>
      </c>
      <c r="B674" s="126" t="s">
        <v>1832</v>
      </c>
      <c r="C674" t="str">
        <f t="shared" si="20"/>
        <v>Climate A</v>
      </c>
      <c r="E674" t="str">
        <f t="shared" si="21"/>
        <v>$D$136:$M$136</v>
      </c>
    </row>
    <row r="675" spans="1:5" x14ac:dyDescent="0.25">
      <c r="A675" s="126" t="s">
        <v>1833</v>
      </c>
      <c r="B675" s="126" t="s">
        <v>1834</v>
      </c>
      <c r="C675" t="str">
        <f t="shared" si="20"/>
        <v>Climate A</v>
      </c>
      <c r="E675" t="str">
        <f t="shared" si="21"/>
        <v>$C$136</v>
      </c>
    </row>
    <row r="676" spans="1:5" x14ac:dyDescent="0.25">
      <c r="A676" s="126" t="s">
        <v>1835</v>
      </c>
      <c r="B676" s="126" t="s">
        <v>1836</v>
      </c>
      <c r="C676" t="str">
        <f t="shared" si="20"/>
        <v>Climate B</v>
      </c>
      <c r="E676" t="str">
        <f t="shared" si="21"/>
        <v>$D$136:$M$136</v>
      </c>
    </row>
    <row r="677" spans="1:5" x14ac:dyDescent="0.25">
      <c r="A677" s="126" t="s">
        <v>1837</v>
      </c>
      <c r="B677" s="126" t="s">
        <v>1838</v>
      </c>
      <c r="C677" t="str">
        <f t="shared" si="20"/>
        <v>Climate A</v>
      </c>
      <c r="E677" t="str">
        <f t="shared" si="21"/>
        <v>$D$126:$M$133</v>
      </c>
    </row>
    <row r="678" spans="1:5" x14ac:dyDescent="0.25">
      <c r="A678" s="126" t="s">
        <v>1839</v>
      </c>
      <c r="B678" s="126" t="s">
        <v>1840</v>
      </c>
      <c r="C678" t="str">
        <f t="shared" si="20"/>
        <v>Base data</v>
      </c>
      <c r="E678" t="str">
        <f t="shared" si="21"/>
        <v>$L$24:$L$31</v>
      </c>
    </row>
    <row r="679" spans="1:5" x14ac:dyDescent="0.25">
      <c r="A679" s="126" t="s">
        <v>1841</v>
      </c>
      <c r="B679" s="126" t="s">
        <v>1842</v>
      </c>
      <c r="C679" t="str">
        <f t="shared" si="20"/>
        <v>Climate B</v>
      </c>
      <c r="E679" t="str">
        <f t="shared" si="21"/>
        <v>$D$126:$M$133</v>
      </c>
    </row>
    <row r="680" spans="1:5" x14ac:dyDescent="0.25">
      <c r="A680" s="126" t="s">
        <v>1843</v>
      </c>
      <c r="B680" s="126" t="s">
        <v>1844</v>
      </c>
      <c r="C680" t="str">
        <f t="shared" si="20"/>
        <v>Climate A</v>
      </c>
      <c r="E680" t="str">
        <f t="shared" si="21"/>
        <v>$D$134:$M$134</v>
      </c>
    </row>
    <row r="681" spans="1:5" x14ac:dyDescent="0.25">
      <c r="A681" s="126" t="s">
        <v>1845</v>
      </c>
      <c r="B681" s="126" t="s">
        <v>1846</v>
      </c>
      <c r="C681" t="str">
        <f t="shared" si="20"/>
        <v>Climate A</v>
      </c>
      <c r="E681" t="str">
        <f t="shared" si="21"/>
        <v>$D$6</v>
      </c>
    </row>
    <row r="682" spans="1:5" x14ac:dyDescent="0.25">
      <c r="A682" s="126" t="s">
        <v>1847</v>
      </c>
      <c r="B682" s="126" t="s">
        <v>1848</v>
      </c>
      <c r="C682" t="str">
        <f t="shared" si="20"/>
        <v>Climate B</v>
      </c>
      <c r="E682" t="str">
        <f t="shared" si="21"/>
        <v>$D$134:$M$134</v>
      </c>
    </row>
    <row r="683" spans="1:5" x14ac:dyDescent="0.25">
      <c r="A683" s="126" t="s">
        <v>1849</v>
      </c>
      <c r="B683" s="126" t="s">
        <v>1850</v>
      </c>
      <c r="C683" t="str">
        <f t="shared" si="20"/>
        <v>Climate A</v>
      </c>
      <c r="E683" t="str">
        <f t="shared" si="21"/>
        <v>$D$135:$M$135</v>
      </c>
    </row>
    <row r="684" spans="1:5" x14ac:dyDescent="0.25">
      <c r="A684" s="126" t="s">
        <v>1851</v>
      </c>
      <c r="B684" s="126" t="s">
        <v>1852</v>
      </c>
      <c r="C684" t="str">
        <f t="shared" si="20"/>
        <v>Climate A</v>
      </c>
      <c r="E684" t="str">
        <f t="shared" si="21"/>
        <v>$C$135</v>
      </c>
    </row>
    <row r="685" spans="1:5" x14ac:dyDescent="0.25">
      <c r="A685" s="126" t="s">
        <v>1853</v>
      </c>
      <c r="B685" s="126" t="s">
        <v>1854</v>
      </c>
      <c r="C685" t="str">
        <f t="shared" si="20"/>
        <v>Climate B</v>
      </c>
      <c r="E685" t="str">
        <f t="shared" si="21"/>
        <v>$D$135:$M$135</v>
      </c>
    </row>
    <row r="686" spans="1:5" x14ac:dyDescent="0.25">
      <c r="A686" s="126" t="s">
        <v>1855</v>
      </c>
      <c r="B686" s="126" t="s">
        <v>1856</v>
      </c>
      <c r="C686" t="str">
        <f t="shared" si="20"/>
        <v>Climate A</v>
      </c>
      <c r="E686" t="str">
        <f t="shared" si="21"/>
        <v>$D$139:$M$139</v>
      </c>
    </row>
    <row r="687" spans="1:5" x14ac:dyDescent="0.25">
      <c r="A687" s="126" t="s">
        <v>1857</v>
      </c>
      <c r="B687" s="126" t="s">
        <v>1858</v>
      </c>
      <c r="C687" t="str">
        <f t="shared" si="20"/>
        <v>Library data</v>
      </c>
      <c r="E687" t="str">
        <f t="shared" si="21"/>
        <v>$C$13</v>
      </c>
    </row>
    <row r="688" spans="1:5" x14ac:dyDescent="0.25">
      <c r="A688" s="126" t="s">
        <v>1859</v>
      </c>
      <c r="B688" s="126" t="s">
        <v>1860</v>
      </c>
      <c r="C688" t="str">
        <f t="shared" si="20"/>
        <v>Climate B</v>
      </c>
      <c r="E688" t="str">
        <f t="shared" si="21"/>
        <v>$D$139:$M$139</v>
      </c>
    </row>
    <row r="689" spans="1:5" x14ac:dyDescent="0.25">
      <c r="A689" s="126" t="s">
        <v>1861</v>
      </c>
      <c r="B689" s="126" t="s">
        <v>1862</v>
      </c>
      <c r="C689" t="str">
        <f t="shared" si="20"/>
        <v>Library data</v>
      </c>
      <c r="E689" t="str">
        <f t="shared" si="21"/>
        <v>$C$25</v>
      </c>
    </row>
    <row r="690" spans="1:5" x14ac:dyDescent="0.25">
      <c r="A690" s="126" t="s">
        <v>1863</v>
      </c>
      <c r="B690" s="126" t="s">
        <v>1864</v>
      </c>
      <c r="C690" t="str">
        <f t="shared" si="20"/>
        <v>Library data</v>
      </c>
      <c r="E690" t="str">
        <f t="shared" si="21"/>
        <v>$C$26</v>
      </c>
    </row>
    <row r="691" spans="1:5" x14ac:dyDescent="0.25">
      <c r="A691" s="126" t="s">
        <v>1865</v>
      </c>
      <c r="B691" s="126" t="s">
        <v>1866</v>
      </c>
      <c r="C691" t="str">
        <f t="shared" si="20"/>
        <v>Impacts A-B</v>
      </c>
      <c r="E691" t="str">
        <f t="shared" si="21"/>
        <v>#REF!</v>
      </c>
    </row>
    <row r="692" spans="1:5" x14ac:dyDescent="0.25">
      <c r="A692" s="126" t="s">
        <v>1867</v>
      </c>
      <c r="B692" s="126" t="s">
        <v>1868</v>
      </c>
      <c r="C692" t="str">
        <f t="shared" si="20"/>
        <v>Base data</v>
      </c>
      <c r="E692" t="str">
        <f t="shared" si="21"/>
        <v>$J$24:$J$31</v>
      </c>
    </row>
    <row r="693" spans="1:5" x14ac:dyDescent="0.25">
      <c r="A693" s="126" t="s">
        <v>1869</v>
      </c>
      <c r="B693" s="126" t="s">
        <v>1870</v>
      </c>
      <c r="C693" t="str">
        <f t="shared" si="20"/>
        <v>Library data</v>
      </c>
      <c r="E693" t="str">
        <f t="shared" si="21"/>
        <v>$C$18</v>
      </c>
    </row>
    <row r="694" spans="1:5" x14ac:dyDescent="0.25">
      <c r="A694" s="126" t="s">
        <v>1871</v>
      </c>
      <c r="B694" s="126" t="s">
        <v>1872</v>
      </c>
      <c r="C694" t="str">
        <f t="shared" si="20"/>
        <v>Climate A</v>
      </c>
      <c r="E694" t="str">
        <f t="shared" si="21"/>
        <v>$D$64:$M$71</v>
      </c>
    </row>
    <row r="695" spans="1:5" x14ac:dyDescent="0.25">
      <c r="A695" s="126" t="s">
        <v>1873</v>
      </c>
      <c r="B695" s="126" t="s">
        <v>1874</v>
      </c>
      <c r="C695" t="str">
        <f t="shared" si="20"/>
        <v>Climate A</v>
      </c>
      <c r="E695" t="str">
        <f t="shared" si="21"/>
        <v>$C$64:$C$71</v>
      </c>
    </row>
    <row r="696" spans="1:5" x14ac:dyDescent="0.25">
      <c r="A696" s="126" t="s">
        <v>1875</v>
      </c>
      <c r="B696" s="126" t="s">
        <v>1876</v>
      </c>
      <c r="C696" t="str">
        <f t="shared" si="20"/>
        <v>Climate B</v>
      </c>
      <c r="E696" t="str">
        <f t="shared" si="21"/>
        <v>$D$64:$M$71</v>
      </c>
    </row>
    <row r="697" spans="1:5" x14ac:dyDescent="0.25">
      <c r="A697" s="126" t="s">
        <v>1877</v>
      </c>
      <c r="B697" s="126" t="s">
        <v>1878</v>
      </c>
      <c r="C697" t="str">
        <f t="shared" si="20"/>
        <v>Climate A</v>
      </c>
      <c r="E697" t="str">
        <f t="shared" si="21"/>
        <v>$D$72:$M$72</v>
      </c>
    </row>
    <row r="698" spans="1:5" x14ac:dyDescent="0.25">
      <c r="A698" s="126" t="s">
        <v>1879</v>
      </c>
      <c r="B698" s="126" t="s">
        <v>1880</v>
      </c>
      <c r="C698" t="str">
        <f t="shared" si="20"/>
        <v>Climate A</v>
      </c>
      <c r="E698" t="str">
        <f t="shared" si="21"/>
        <v>$C$72</v>
      </c>
    </row>
    <row r="699" spans="1:5" x14ac:dyDescent="0.25">
      <c r="A699" s="126" t="s">
        <v>1881</v>
      </c>
      <c r="B699" s="126" t="s">
        <v>1882</v>
      </c>
      <c r="C699" t="str">
        <f t="shared" si="20"/>
        <v>Climate B</v>
      </c>
      <c r="E699" t="str">
        <f t="shared" si="21"/>
        <v>$D$72:$M$72</v>
      </c>
    </row>
    <row r="700" spans="1:5" x14ac:dyDescent="0.25">
      <c r="A700" s="126" t="s">
        <v>1883</v>
      </c>
      <c r="B700" s="126" t="s">
        <v>1884</v>
      </c>
      <c r="C700" t="str">
        <f t="shared" si="20"/>
        <v>Library data</v>
      </c>
      <c r="E700" t="str">
        <f t="shared" si="21"/>
        <v>$C$15</v>
      </c>
    </row>
    <row r="701" spans="1:5" x14ac:dyDescent="0.25">
      <c r="A701" s="126" t="s">
        <v>1885</v>
      </c>
      <c r="B701" s="126" t="s">
        <v>1886</v>
      </c>
      <c r="C701" t="str">
        <f t="shared" si="20"/>
        <v>Library data</v>
      </c>
      <c r="E701" t="str">
        <f t="shared" si="21"/>
        <v>$C$16</v>
      </c>
    </row>
    <row r="702" spans="1:5" x14ac:dyDescent="0.25">
      <c r="A702" s="126" t="s">
        <v>1887</v>
      </c>
      <c r="B702" s="126" t="s">
        <v>1888</v>
      </c>
      <c r="C702" t="str">
        <f t="shared" si="20"/>
        <v>Library data</v>
      </c>
      <c r="E702" t="str">
        <f t="shared" si="21"/>
        <v>$C$14</v>
      </c>
    </row>
    <row r="703" spans="1:5" x14ac:dyDescent="0.25">
      <c r="A703" s="126" t="s">
        <v>1889</v>
      </c>
      <c r="B703" s="126" t="s">
        <v>1890</v>
      </c>
      <c r="C703" t="str">
        <f t="shared" si="20"/>
        <v>Base data</v>
      </c>
      <c r="E703" t="str">
        <f t="shared" si="21"/>
        <v>$B$16</v>
      </c>
    </row>
    <row r="704" spans="1:5" x14ac:dyDescent="0.25">
      <c r="A704" s="126" t="s">
        <v>1891</v>
      </c>
      <c r="B704" s="126" t="s">
        <v>1892</v>
      </c>
      <c r="C704" t="str">
        <f t="shared" si="20"/>
        <v>Base data</v>
      </c>
      <c r="E704" t="str">
        <f t="shared" si="21"/>
        <v>$C$15</v>
      </c>
    </row>
    <row r="705" spans="1:5" x14ac:dyDescent="0.25">
      <c r="A705" s="126" t="s">
        <v>1893</v>
      </c>
      <c r="B705" s="126" t="s">
        <v>1894</v>
      </c>
      <c r="C705" t="str">
        <f t="shared" si="20"/>
        <v>Base data</v>
      </c>
      <c r="E705" t="str">
        <f t="shared" si="21"/>
        <v>$E$15</v>
      </c>
    </row>
    <row r="706" spans="1:5" x14ac:dyDescent="0.25">
      <c r="A706" s="126" t="s">
        <v>1895</v>
      </c>
      <c r="B706" s="126" t="s">
        <v>1896</v>
      </c>
      <c r="C706" t="str">
        <f t="shared" ref="C706:C733" si="22">IF(ISERR(FIND("'",B706)),MID(B706,FIND("=",B706)+1,FIND("!",B706)-(FIND("=",B706)+1)-1),MID(B706,FIND("='",B706)+2,FIND("!",B706)-(FIND("='",B706)+2)-1))</f>
        <v>Base data</v>
      </c>
      <c r="E706" t="str">
        <f t="shared" si="21"/>
        <v>$D$15</v>
      </c>
    </row>
    <row r="707" spans="1:5" x14ac:dyDescent="0.25">
      <c r="A707" s="126" t="s">
        <v>1897</v>
      </c>
      <c r="B707" s="126" t="s">
        <v>1898</v>
      </c>
      <c r="C707" t="str">
        <f t="shared" si="22"/>
        <v>Adaptive costs A</v>
      </c>
      <c r="E707" t="str">
        <f t="shared" ref="E707:E770" si="23">RIGHT(B707,LEN(B707)-FIND("!",B707))</f>
        <v>$L$179</v>
      </c>
    </row>
    <row r="708" spans="1:5" x14ac:dyDescent="0.25">
      <c r="A708" s="126" t="s">
        <v>1899</v>
      </c>
      <c r="B708" s="126" t="s">
        <v>1900</v>
      </c>
      <c r="C708" t="str">
        <f t="shared" si="22"/>
        <v>Adaptive costs A-B</v>
      </c>
      <c r="E708" t="str">
        <f t="shared" si="23"/>
        <v>$L$179</v>
      </c>
    </row>
    <row r="709" spans="1:5" x14ac:dyDescent="0.25">
      <c r="A709" s="126" t="s">
        <v>1901</v>
      </c>
      <c r="B709" s="126" t="s">
        <v>1902</v>
      </c>
      <c r="C709" t="str">
        <f t="shared" si="22"/>
        <v>Adaptive costs B</v>
      </c>
      <c r="E709" t="str">
        <f t="shared" si="23"/>
        <v>$L$179</v>
      </c>
    </row>
    <row r="710" spans="1:5" x14ac:dyDescent="0.25">
      <c r="A710" s="126" t="s">
        <v>1903</v>
      </c>
      <c r="B710" s="126" t="s">
        <v>1904</v>
      </c>
      <c r="C710" t="str">
        <f t="shared" si="22"/>
        <v>Preventative costs A</v>
      </c>
      <c r="E710" t="str">
        <f t="shared" si="23"/>
        <v>$B$614:$K$621</v>
      </c>
    </row>
    <row r="711" spans="1:5" x14ac:dyDescent="0.25">
      <c r="A711" s="126" t="s">
        <v>1905</v>
      </c>
      <c r="B711" s="126" t="s">
        <v>1906</v>
      </c>
      <c r="C711" t="str">
        <f t="shared" si="22"/>
        <v>Preventative costs B</v>
      </c>
      <c r="E711" t="str">
        <f t="shared" si="23"/>
        <v>$B$614:$K$621</v>
      </c>
    </row>
    <row r="712" spans="1:5" x14ac:dyDescent="0.25">
      <c r="A712" s="126" t="s">
        <v>1907</v>
      </c>
      <c r="B712" s="126" t="s">
        <v>1908</v>
      </c>
      <c r="C712" t="str">
        <f t="shared" si="22"/>
        <v>Preventative costs A</v>
      </c>
      <c r="E712" t="str">
        <f t="shared" si="23"/>
        <v>$B$605:$K$612</v>
      </c>
    </row>
    <row r="713" spans="1:5" x14ac:dyDescent="0.25">
      <c r="A713" s="126" t="s">
        <v>1909</v>
      </c>
      <c r="B713" s="126" t="s">
        <v>1910</v>
      </c>
      <c r="C713" t="str">
        <f t="shared" si="22"/>
        <v>Preventative costs B</v>
      </c>
      <c r="E713" t="str">
        <f t="shared" si="23"/>
        <v>$B$605:$K$612</v>
      </c>
    </row>
    <row r="714" spans="1:5" x14ac:dyDescent="0.25">
      <c r="A714" s="126" t="s">
        <v>1911</v>
      </c>
      <c r="B714" s="126" t="s">
        <v>1912</v>
      </c>
      <c r="C714" t="str">
        <f t="shared" si="22"/>
        <v>Preventative costs A</v>
      </c>
      <c r="E714" t="str">
        <f t="shared" si="23"/>
        <v>$B$632:$K$639</v>
      </c>
    </row>
    <row r="715" spans="1:5" x14ac:dyDescent="0.25">
      <c r="A715" s="126" t="s">
        <v>1913</v>
      </c>
      <c r="B715" s="126" t="s">
        <v>1914</v>
      </c>
      <c r="C715" t="str">
        <f t="shared" si="22"/>
        <v>Preventative costs B</v>
      </c>
      <c r="E715" t="str">
        <f t="shared" si="23"/>
        <v>$B$632:$K$639</v>
      </c>
    </row>
    <row r="716" spans="1:5" x14ac:dyDescent="0.25">
      <c r="A716" s="126" t="s">
        <v>1915</v>
      </c>
      <c r="B716" s="126" t="s">
        <v>1916</v>
      </c>
      <c r="C716" t="str">
        <f t="shared" si="22"/>
        <v>Preventative costs A</v>
      </c>
      <c r="E716" t="str">
        <f t="shared" si="23"/>
        <v>$B$623:$K$630</v>
      </c>
    </row>
    <row r="717" spans="1:5" x14ac:dyDescent="0.25">
      <c r="A717" s="126" t="s">
        <v>1917</v>
      </c>
      <c r="B717" s="126" t="s">
        <v>1918</v>
      </c>
      <c r="C717" t="str">
        <f t="shared" si="22"/>
        <v>Preventative costs B</v>
      </c>
      <c r="E717" t="str">
        <f t="shared" si="23"/>
        <v>$B$623:$K$630</v>
      </c>
    </row>
    <row r="718" spans="1:5" x14ac:dyDescent="0.25">
      <c r="A718" s="126" t="s">
        <v>1919</v>
      </c>
      <c r="B718" s="126" t="s">
        <v>1920</v>
      </c>
      <c r="C718" t="str">
        <f t="shared" si="22"/>
        <v>Library data</v>
      </c>
      <c r="E718" t="str">
        <f t="shared" si="23"/>
        <v>$C$27</v>
      </c>
    </row>
    <row r="719" spans="1:5" x14ac:dyDescent="0.25">
      <c r="A719" s="126" t="s">
        <v>1921</v>
      </c>
      <c r="B719" s="126" t="s">
        <v>1922</v>
      </c>
      <c r="C719" t="str">
        <f t="shared" si="22"/>
        <v>Preventative costs A</v>
      </c>
      <c r="E719" t="str">
        <f t="shared" si="23"/>
        <v>$B$542:$K$549</v>
      </c>
    </row>
    <row r="720" spans="1:5" x14ac:dyDescent="0.25">
      <c r="A720" s="126" t="s">
        <v>1923</v>
      </c>
      <c r="B720" s="126" t="s">
        <v>1924</v>
      </c>
      <c r="C720" t="str">
        <f t="shared" si="22"/>
        <v>Preventative costs A</v>
      </c>
      <c r="E720" t="str">
        <f t="shared" si="23"/>
        <v>$B$533:$K$540</v>
      </c>
    </row>
    <row r="721" spans="1:5" x14ac:dyDescent="0.25">
      <c r="A721" s="126" t="s">
        <v>1925</v>
      </c>
      <c r="B721" s="126" t="s">
        <v>1926</v>
      </c>
      <c r="C721" t="str">
        <f t="shared" si="22"/>
        <v>Preventative costs A</v>
      </c>
      <c r="E721" t="str">
        <f t="shared" si="23"/>
        <v>$B$560:$K$567</v>
      </c>
    </row>
    <row r="722" spans="1:5" x14ac:dyDescent="0.25">
      <c r="A722" s="126" t="s">
        <v>1927</v>
      </c>
      <c r="B722" s="126" t="s">
        <v>1928</v>
      </c>
      <c r="C722" t="str">
        <f t="shared" si="22"/>
        <v>Preventative costs A</v>
      </c>
      <c r="E722" t="str">
        <f t="shared" si="23"/>
        <v>$B$551:$K$558</v>
      </c>
    </row>
    <row r="723" spans="1:5" x14ac:dyDescent="0.25">
      <c r="A723" s="126" t="s">
        <v>1929</v>
      </c>
      <c r="B723" s="126" t="s">
        <v>1930</v>
      </c>
      <c r="C723" t="str">
        <f t="shared" si="22"/>
        <v>Library data</v>
      </c>
      <c r="E723" t="str">
        <f t="shared" si="23"/>
        <v>$C$6</v>
      </c>
    </row>
    <row r="724" spans="1:5" x14ac:dyDescent="0.25">
      <c r="A724" s="126" t="s">
        <v>1931</v>
      </c>
      <c r="B724" s="126" t="s">
        <v>1932</v>
      </c>
      <c r="C724" t="str">
        <f t="shared" si="22"/>
        <v>Preventative costs A</v>
      </c>
      <c r="E724" t="str">
        <f t="shared" si="23"/>
        <v>$B$641:$K$648</v>
      </c>
    </row>
    <row r="725" spans="1:5" x14ac:dyDescent="0.25">
      <c r="A725" s="126" t="s">
        <v>1933</v>
      </c>
      <c r="B725" s="126" t="s">
        <v>1934</v>
      </c>
      <c r="C725" t="str">
        <f t="shared" si="22"/>
        <v>Preventative costs B</v>
      </c>
      <c r="E725" t="str">
        <f t="shared" si="23"/>
        <v>$B$641:$K$648</v>
      </c>
    </row>
    <row r="726" spans="1:5" x14ac:dyDescent="0.25">
      <c r="A726" s="126" t="s">
        <v>1935</v>
      </c>
      <c r="B726" s="126" t="s">
        <v>1936</v>
      </c>
      <c r="C726" t="str">
        <f t="shared" si="22"/>
        <v>Preventative costs A</v>
      </c>
      <c r="E726" t="str">
        <f t="shared" si="23"/>
        <v>$B$650:$K$657</v>
      </c>
    </row>
    <row r="727" spans="1:5" x14ac:dyDescent="0.25">
      <c r="A727" s="126" t="s">
        <v>1937</v>
      </c>
      <c r="B727" s="126" t="s">
        <v>1938</v>
      </c>
      <c r="C727" t="str">
        <f t="shared" si="22"/>
        <v>Preventative costs B</v>
      </c>
      <c r="E727" t="str">
        <f t="shared" si="23"/>
        <v>$B$650:$K$657</v>
      </c>
    </row>
    <row r="728" spans="1:5" x14ac:dyDescent="0.25">
      <c r="A728" s="126" t="s">
        <v>1939</v>
      </c>
      <c r="B728" s="126" t="s">
        <v>1940</v>
      </c>
      <c r="C728" t="str">
        <f t="shared" si="22"/>
        <v>Impacts A</v>
      </c>
      <c r="E728" t="str">
        <f t="shared" si="23"/>
        <v>$M$445</v>
      </c>
    </row>
    <row r="729" spans="1:5" x14ac:dyDescent="0.25">
      <c r="A729" s="126" t="s">
        <v>1941</v>
      </c>
      <c r="B729" s="126" t="s">
        <v>1942</v>
      </c>
      <c r="C729" t="str">
        <f t="shared" si="22"/>
        <v>Impacts A-B</v>
      </c>
      <c r="E729" t="str">
        <f t="shared" si="23"/>
        <v>$M$445</v>
      </c>
    </row>
    <row r="730" spans="1:5" x14ac:dyDescent="0.25">
      <c r="A730" s="126" t="s">
        <v>1943</v>
      </c>
      <c r="B730" s="126" t="s">
        <v>1944</v>
      </c>
      <c r="C730" t="str">
        <f t="shared" si="22"/>
        <v>Impacts B</v>
      </c>
      <c r="E730" t="str">
        <f t="shared" si="23"/>
        <v>$M$445</v>
      </c>
    </row>
    <row r="731" spans="1:5" x14ac:dyDescent="0.25">
      <c r="A731" s="126" t="s">
        <v>1945</v>
      </c>
      <c r="B731" s="126" t="s">
        <v>1946</v>
      </c>
      <c r="C731" t="str">
        <f t="shared" si="22"/>
        <v>Library data</v>
      </c>
      <c r="E731" t="str">
        <f t="shared" si="23"/>
        <v>$C$21</v>
      </c>
    </row>
    <row r="732" spans="1:5" x14ac:dyDescent="0.25">
      <c r="A732" s="126" t="s">
        <v>1947</v>
      </c>
      <c r="B732" s="126" t="s">
        <v>1948</v>
      </c>
      <c r="C732" t="str">
        <f t="shared" si="22"/>
        <v>Impacts A</v>
      </c>
      <c r="E732" t="str">
        <f t="shared" si="23"/>
        <v>$M$449</v>
      </c>
    </row>
    <row r="733" spans="1:5" x14ac:dyDescent="0.25">
      <c r="A733" s="126" t="s">
        <v>1949</v>
      </c>
      <c r="B733" s="126" t="s">
        <v>1950</v>
      </c>
      <c r="C733" t="str">
        <f t="shared" si="22"/>
        <v>Impacts B</v>
      </c>
      <c r="E733" t="str">
        <f t="shared" si="23"/>
        <v>$M$449</v>
      </c>
    </row>
    <row r="734" spans="1:5" x14ac:dyDescent="0.25">
      <c r="A734" s="126" t="s">
        <v>1951</v>
      </c>
      <c r="B734" s="126" t="s">
        <v>1952</v>
      </c>
      <c r="C734" t="str">
        <f>IF(ISERR(FIND("'",B734)),MID(B734,FIND("=",B734)+1,FIND("!",B734)-(FIND("=",B734)+1)-1),MID(B734,FIND("='",B734)+2,FIND("!",B734)-(FIND("='",B734)+2)-1))</f>
        <v>Total</v>
      </c>
      <c r="E734" t="str">
        <f t="shared" si="23"/>
        <v>$L$12</v>
      </c>
    </row>
    <row r="735" spans="1:5" x14ac:dyDescent="0.25">
      <c r="A735" s="126" t="s">
        <v>1953</v>
      </c>
      <c r="B735" s="126" t="s">
        <v>1954</v>
      </c>
      <c r="C735" t="str">
        <f>IF(ISERR(FIND("'",B735)),MID(B735,FIND("=",B735)+1,FIND("!",B735)-(FIND("=",B735)+1)-1),MID(B735,FIND("='",B735)+2,FIND("!",B735)-(FIND("='",B735)+2)-1))</f>
        <v>Total</v>
      </c>
      <c r="E735" t="str">
        <f t="shared" si="23"/>
        <v>$L$34</v>
      </c>
    </row>
    <row r="736" spans="1:5" x14ac:dyDescent="0.25">
      <c r="A736" s="126" t="s">
        <v>1955</v>
      </c>
      <c r="B736" s="126" t="s">
        <v>1956</v>
      </c>
      <c r="C736" t="str">
        <f>IF(ISERR(FIND("'",B736)),MID(B736,FIND("=",B736)+1,FIND("!",B736)-(FIND("=",B736)+1)-1),MID(B736,FIND("='",B736)+2,FIND("!",B736)-(FIND("='",B736)+2)-1))</f>
        <v>Total</v>
      </c>
      <c r="E736" t="str">
        <f t="shared" si="23"/>
        <v>$L$23</v>
      </c>
    </row>
    <row r="737" spans="1:5" x14ac:dyDescent="0.25">
      <c r="A737" s="126" t="s">
        <v>1957</v>
      </c>
      <c r="B737" s="126" t="s">
        <v>1958</v>
      </c>
      <c r="C737" t="str">
        <f t="shared" ref="C737:C800" si="24">IF(ISERR(FIND("'",B737)),MID(B737,FIND("=",B737)+1,FIND("!",B737)-(FIND("=",B737)+1)-1),MID(B737,FIND("='",B737)+2,FIND("!",B737)-(FIND("='",B737)+2)-1))</f>
        <v>Climate A</v>
      </c>
      <c r="E737" t="str">
        <f t="shared" si="23"/>
        <v>$D$30:$M$30</v>
      </c>
    </row>
    <row r="738" spans="1:5" x14ac:dyDescent="0.25">
      <c r="A738" s="126" t="s">
        <v>1959</v>
      </c>
      <c r="B738" s="126" t="s">
        <v>1960</v>
      </c>
      <c r="C738" t="str">
        <f t="shared" si="24"/>
        <v>Climate A</v>
      </c>
      <c r="E738" t="str">
        <f t="shared" si="23"/>
        <v>$C$30</v>
      </c>
    </row>
    <row r="739" spans="1:5" x14ac:dyDescent="0.25">
      <c r="A739" s="126" t="s">
        <v>1961</v>
      </c>
      <c r="B739" s="126" t="s">
        <v>1962</v>
      </c>
      <c r="C739" t="str">
        <f t="shared" si="24"/>
        <v>Climate B</v>
      </c>
      <c r="E739" t="str">
        <f t="shared" si="23"/>
        <v>$D$30:$M$30</v>
      </c>
    </row>
    <row r="740" spans="1:5" x14ac:dyDescent="0.25">
      <c r="A740" s="126" t="s">
        <v>1963</v>
      </c>
      <c r="B740" s="126" t="s">
        <v>1964</v>
      </c>
      <c r="C740" t="str">
        <f t="shared" si="24"/>
        <v>Climate A</v>
      </c>
      <c r="E740" t="str">
        <f t="shared" si="23"/>
        <v>$E$30:$M$30</v>
      </c>
    </row>
    <row r="741" spans="1:5" x14ac:dyDescent="0.25">
      <c r="A741" s="126" t="s">
        <v>1965</v>
      </c>
      <c r="B741" s="126" t="s">
        <v>1966</v>
      </c>
      <c r="C741" t="str">
        <f t="shared" si="24"/>
        <v>Climate B</v>
      </c>
      <c r="E741" t="str">
        <f t="shared" si="23"/>
        <v>$E$30:$M$30</v>
      </c>
    </row>
    <row r="742" spans="1:5" x14ac:dyDescent="0.25">
      <c r="A742" s="126" t="s">
        <v>1967</v>
      </c>
      <c r="B742" s="126" t="s">
        <v>1968</v>
      </c>
      <c r="C742" t="str">
        <f t="shared" si="24"/>
        <v>Climate A</v>
      </c>
      <c r="E742" t="str">
        <f t="shared" si="23"/>
        <v>$D$14:$M$14</v>
      </c>
    </row>
    <row r="743" spans="1:5" x14ac:dyDescent="0.25">
      <c r="A743" s="126" t="s">
        <v>1969</v>
      </c>
      <c r="B743" s="126" t="s">
        <v>1970</v>
      </c>
      <c r="C743" t="str">
        <f t="shared" si="24"/>
        <v>Climate A</v>
      </c>
      <c r="E743" t="str">
        <f t="shared" si="23"/>
        <v>$C$14</v>
      </c>
    </row>
    <row r="744" spans="1:5" x14ac:dyDescent="0.25">
      <c r="A744" s="126" t="s">
        <v>1971</v>
      </c>
      <c r="B744" s="126" t="s">
        <v>1972</v>
      </c>
      <c r="C744" t="str">
        <f t="shared" si="24"/>
        <v>Climate B</v>
      </c>
      <c r="E744" t="str">
        <f t="shared" si="23"/>
        <v>$D$14:$M$14</v>
      </c>
    </row>
    <row r="745" spans="1:5" x14ac:dyDescent="0.25">
      <c r="A745" s="126" t="s">
        <v>1973</v>
      </c>
      <c r="B745" s="126" t="s">
        <v>1974</v>
      </c>
      <c r="C745" t="str">
        <f t="shared" si="24"/>
        <v>Climate A</v>
      </c>
      <c r="E745" t="str">
        <f t="shared" si="23"/>
        <v>$E$14:$M$14</v>
      </c>
    </row>
    <row r="746" spans="1:5" x14ac:dyDescent="0.25">
      <c r="A746" s="126" t="s">
        <v>1975</v>
      </c>
      <c r="B746" s="126" t="s">
        <v>1976</v>
      </c>
      <c r="C746" t="str">
        <f t="shared" si="24"/>
        <v>Climate B</v>
      </c>
      <c r="E746" t="str">
        <f t="shared" si="23"/>
        <v>$E$14:$M$14</v>
      </c>
    </row>
    <row r="747" spans="1:5" x14ac:dyDescent="0.25">
      <c r="A747" s="126" t="s">
        <v>1977</v>
      </c>
      <c r="B747" s="126" t="s">
        <v>1978</v>
      </c>
      <c r="C747" t="str">
        <f t="shared" si="24"/>
        <v>Climate A</v>
      </c>
      <c r="E747" t="str">
        <f t="shared" si="23"/>
        <v>$D$54:$M$54</v>
      </c>
    </row>
    <row r="748" spans="1:5" x14ac:dyDescent="0.25">
      <c r="A748" s="126" t="s">
        <v>1979</v>
      </c>
      <c r="B748" s="126" t="s">
        <v>1980</v>
      </c>
      <c r="C748" t="str">
        <f t="shared" si="24"/>
        <v>Climate A</v>
      </c>
      <c r="E748" t="str">
        <f t="shared" si="23"/>
        <v>$C$54</v>
      </c>
    </row>
    <row r="749" spans="1:5" x14ac:dyDescent="0.25">
      <c r="A749" s="126" t="s">
        <v>1981</v>
      </c>
      <c r="B749" s="126" t="s">
        <v>1982</v>
      </c>
      <c r="C749" t="str">
        <f t="shared" si="24"/>
        <v>Climate B</v>
      </c>
      <c r="E749" t="str">
        <f t="shared" si="23"/>
        <v>$D$54:$M$54</v>
      </c>
    </row>
    <row r="750" spans="1:5" x14ac:dyDescent="0.25">
      <c r="A750" s="126" t="s">
        <v>1983</v>
      </c>
      <c r="B750" s="126" t="s">
        <v>1984</v>
      </c>
      <c r="C750" t="str">
        <f t="shared" si="24"/>
        <v>Climate A</v>
      </c>
      <c r="E750" t="str">
        <f t="shared" si="23"/>
        <v>$E$54:$M$54</v>
      </c>
    </row>
    <row r="751" spans="1:5" x14ac:dyDescent="0.25">
      <c r="A751" s="126" t="s">
        <v>1985</v>
      </c>
      <c r="B751" s="126" t="s">
        <v>1986</v>
      </c>
      <c r="C751" t="str">
        <f t="shared" si="24"/>
        <v>Climate B</v>
      </c>
      <c r="E751" t="str">
        <f t="shared" si="23"/>
        <v>$E$54:$M$54</v>
      </c>
    </row>
    <row r="752" spans="1:5" x14ac:dyDescent="0.25">
      <c r="A752" s="126" t="s">
        <v>1987</v>
      </c>
      <c r="B752" s="126" t="s">
        <v>1988</v>
      </c>
      <c r="C752" t="str">
        <f t="shared" si="24"/>
        <v>Climate A</v>
      </c>
      <c r="E752" t="str">
        <f t="shared" si="23"/>
        <v>$D$40:$M$40</v>
      </c>
    </row>
    <row r="753" spans="1:5" x14ac:dyDescent="0.25">
      <c r="A753" s="126" t="s">
        <v>1989</v>
      </c>
      <c r="B753" s="126" t="s">
        <v>1990</v>
      </c>
      <c r="C753" t="str">
        <f t="shared" si="24"/>
        <v>Climate A</v>
      </c>
      <c r="E753" t="str">
        <f t="shared" si="23"/>
        <v>$C$40</v>
      </c>
    </row>
    <row r="754" spans="1:5" x14ac:dyDescent="0.25">
      <c r="A754" s="126" t="s">
        <v>1991</v>
      </c>
      <c r="B754" s="126" t="s">
        <v>1992</v>
      </c>
      <c r="C754" t="str">
        <f t="shared" si="24"/>
        <v>Climate B</v>
      </c>
      <c r="E754" t="str">
        <f t="shared" si="23"/>
        <v>$D$40:$M$40</v>
      </c>
    </row>
    <row r="755" spans="1:5" x14ac:dyDescent="0.25">
      <c r="A755" s="126" t="s">
        <v>1993</v>
      </c>
      <c r="B755" s="126" t="s">
        <v>1994</v>
      </c>
      <c r="C755" t="str">
        <f t="shared" si="24"/>
        <v>Climate A</v>
      </c>
      <c r="E755" t="str">
        <f t="shared" si="23"/>
        <v>$E$40:$M$40</v>
      </c>
    </row>
    <row r="756" spans="1:5" x14ac:dyDescent="0.25">
      <c r="A756" s="126" t="s">
        <v>1995</v>
      </c>
      <c r="B756" s="126" t="s">
        <v>1996</v>
      </c>
      <c r="C756" t="str">
        <f t="shared" si="24"/>
        <v>Climate B</v>
      </c>
      <c r="E756" t="str">
        <f t="shared" si="23"/>
        <v>$E$40:$M$40</v>
      </c>
    </row>
    <row r="757" spans="1:5" x14ac:dyDescent="0.25">
      <c r="A757" s="126" t="s">
        <v>1997</v>
      </c>
      <c r="B757" s="126" t="s">
        <v>1998</v>
      </c>
      <c r="C757" t="str">
        <f t="shared" si="24"/>
        <v>Climate A</v>
      </c>
      <c r="E757" t="str">
        <f t="shared" si="23"/>
        <v>$D$31:$M$31</v>
      </c>
    </row>
    <row r="758" spans="1:5" x14ac:dyDescent="0.25">
      <c r="A758" s="126" t="s">
        <v>1999</v>
      </c>
      <c r="B758" s="126" t="s">
        <v>2000</v>
      </c>
      <c r="C758" t="str">
        <f t="shared" si="24"/>
        <v>Climate B</v>
      </c>
      <c r="E758" t="str">
        <f t="shared" si="23"/>
        <v>$D$31:$M$31</v>
      </c>
    </row>
    <row r="759" spans="1:5" x14ac:dyDescent="0.25">
      <c r="A759" s="126" t="s">
        <v>2001</v>
      </c>
      <c r="B759" s="126" t="s">
        <v>2002</v>
      </c>
      <c r="C759" t="str">
        <f t="shared" si="24"/>
        <v>Climate A</v>
      </c>
      <c r="E759" t="str">
        <f t="shared" si="23"/>
        <v>$D$15:$M$15</v>
      </c>
    </row>
    <row r="760" spans="1:5" x14ac:dyDescent="0.25">
      <c r="A760" s="126" t="s">
        <v>2003</v>
      </c>
      <c r="B760" s="126" t="s">
        <v>2004</v>
      </c>
      <c r="C760" t="str">
        <f t="shared" si="24"/>
        <v>Climate B</v>
      </c>
      <c r="E760" t="str">
        <f t="shared" si="23"/>
        <v>$D$15:$M$15</v>
      </c>
    </row>
    <row r="761" spans="1:5" x14ac:dyDescent="0.25">
      <c r="A761" s="126" t="s">
        <v>2005</v>
      </c>
      <c r="B761" s="126" t="s">
        <v>2006</v>
      </c>
      <c r="C761" t="str">
        <f t="shared" si="24"/>
        <v>Climate A</v>
      </c>
      <c r="E761" t="str">
        <f t="shared" si="23"/>
        <v>$E$15:$M$15</v>
      </c>
    </row>
    <row r="762" spans="1:5" x14ac:dyDescent="0.25">
      <c r="A762" s="126" t="s">
        <v>2007</v>
      </c>
      <c r="B762" s="126" t="s">
        <v>2008</v>
      </c>
      <c r="C762" t="str">
        <f t="shared" si="24"/>
        <v>Climate B</v>
      </c>
      <c r="E762" t="str">
        <f t="shared" si="23"/>
        <v>$E$15:$M$15</v>
      </c>
    </row>
    <row r="763" spans="1:5" x14ac:dyDescent="0.25">
      <c r="A763" s="126" t="s">
        <v>2009</v>
      </c>
      <c r="B763" s="126" t="s">
        <v>2010</v>
      </c>
      <c r="C763" t="str">
        <f t="shared" si="24"/>
        <v>Climate A</v>
      </c>
      <c r="E763" t="str">
        <f t="shared" si="23"/>
        <v>$D$55:$M$55</v>
      </c>
    </row>
    <row r="764" spans="1:5" x14ac:dyDescent="0.25">
      <c r="A764" s="126" t="s">
        <v>2011</v>
      </c>
      <c r="B764" s="126" t="s">
        <v>2012</v>
      </c>
      <c r="C764" t="str">
        <f t="shared" si="24"/>
        <v>Climate B</v>
      </c>
      <c r="E764" t="str">
        <f t="shared" si="23"/>
        <v>$D$55:$M$55</v>
      </c>
    </row>
    <row r="765" spans="1:5" x14ac:dyDescent="0.25">
      <c r="A765" s="126" t="s">
        <v>2013</v>
      </c>
      <c r="B765" s="126" t="s">
        <v>2014</v>
      </c>
      <c r="C765" t="str">
        <f t="shared" si="24"/>
        <v>Climate A</v>
      </c>
      <c r="E765" t="str">
        <f t="shared" si="23"/>
        <v>$D$41:$M$41</v>
      </c>
    </row>
    <row r="766" spans="1:5" x14ac:dyDescent="0.25">
      <c r="A766" s="126" t="s">
        <v>2015</v>
      </c>
      <c r="B766" s="126" t="s">
        <v>2016</v>
      </c>
      <c r="C766" t="str">
        <f t="shared" si="24"/>
        <v>Climate B</v>
      </c>
      <c r="E766" t="str">
        <f t="shared" si="23"/>
        <v>$D$41:$M$41</v>
      </c>
    </row>
    <row r="767" spans="1:5" x14ac:dyDescent="0.25">
      <c r="A767" s="126" t="s">
        <v>2017</v>
      </c>
      <c r="B767" s="126" t="s">
        <v>2018</v>
      </c>
      <c r="C767" t="str">
        <f t="shared" si="24"/>
        <v>Climate B</v>
      </c>
      <c r="E767" t="str">
        <f t="shared" si="23"/>
        <v>$D$34:$M$34</v>
      </c>
    </row>
    <row r="768" spans="1:5" x14ac:dyDescent="0.25">
      <c r="A768" s="126" t="s">
        <v>2019</v>
      </c>
      <c r="B768" s="126" t="s">
        <v>2020</v>
      </c>
      <c r="C768" t="str">
        <f t="shared" si="24"/>
        <v>Climate A</v>
      </c>
      <c r="E768" t="str">
        <f t="shared" si="23"/>
        <v>$D$34:$M$34</v>
      </c>
    </row>
    <row r="769" spans="1:5" x14ac:dyDescent="0.25">
      <c r="A769" s="126" t="s">
        <v>2021</v>
      </c>
      <c r="B769" s="126" t="s">
        <v>2022</v>
      </c>
      <c r="C769" t="str">
        <f t="shared" si="24"/>
        <v>Climate A</v>
      </c>
      <c r="E769" t="str">
        <f t="shared" si="23"/>
        <v>$D$21:$M$21</v>
      </c>
    </row>
    <row r="770" spans="1:5" x14ac:dyDescent="0.25">
      <c r="A770" s="126" t="s">
        <v>2023</v>
      </c>
      <c r="B770" s="126" t="s">
        <v>2024</v>
      </c>
      <c r="C770" t="str">
        <f t="shared" si="24"/>
        <v>Climate B</v>
      </c>
      <c r="E770" t="str">
        <f t="shared" si="23"/>
        <v>$D$21:$M$21</v>
      </c>
    </row>
    <row r="771" spans="1:5" x14ac:dyDescent="0.25">
      <c r="A771" s="126" t="s">
        <v>2025</v>
      </c>
      <c r="B771" s="126" t="s">
        <v>2026</v>
      </c>
      <c r="C771" t="str">
        <f t="shared" si="24"/>
        <v>Climate A</v>
      </c>
      <c r="E771" t="str">
        <f t="shared" ref="E771:E834" si="25">RIGHT(B771,LEN(B771)-FIND("!",B771))</f>
        <v>$D$58:$M$58</v>
      </c>
    </row>
    <row r="772" spans="1:5" x14ac:dyDescent="0.25">
      <c r="A772" s="126" t="s">
        <v>2027</v>
      </c>
      <c r="B772" s="126" t="s">
        <v>2028</v>
      </c>
      <c r="C772" t="str">
        <f t="shared" si="24"/>
        <v>Climate B</v>
      </c>
      <c r="E772" t="str">
        <f t="shared" si="25"/>
        <v>$D$58:$M$58</v>
      </c>
    </row>
    <row r="773" spans="1:5" x14ac:dyDescent="0.25">
      <c r="A773" s="126" t="s">
        <v>2029</v>
      </c>
      <c r="B773" s="126" t="s">
        <v>2030</v>
      </c>
      <c r="C773" t="str">
        <f t="shared" si="24"/>
        <v>Climate A</v>
      </c>
      <c r="E773" t="str">
        <f t="shared" si="25"/>
        <v>$D$44:$M$44</v>
      </c>
    </row>
    <row r="774" spans="1:5" x14ac:dyDescent="0.25">
      <c r="A774" s="126" t="s">
        <v>2031</v>
      </c>
      <c r="B774" s="126" t="s">
        <v>2032</v>
      </c>
      <c r="C774" t="str">
        <f t="shared" si="24"/>
        <v>Climate B</v>
      </c>
      <c r="E774" t="str">
        <f t="shared" si="25"/>
        <v>$D$44:$M$44</v>
      </c>
    </row>
    <row r="775" spans="1:5" x14ac:dyDescent="0.25">
      <c r="A775" s="126" t="s">
        <v>2033</v>
      </c>
      <c r="B775" s="126" t="s">
        <v>2034</v>
      </c>
      <c r="C775" t="str">
        <f t="shared" si="24"/>
        <v>Preventative costs A</v>
      </c>
      <c r="E775" t="str">
        <f t="shared" si="25"/>
        <v>$L$715</v>
      </c>
    </row>
    <row r="776" spans="1:5" x14ac:dyDescent="0.25">
      <c r="A776" s="126" t="s">
        <v>2035</v>
      </c>
      <c r="B776" s="126" t="s">
        <v>2036</v>
      </c>
      <c r="C776" t="str">
        <f t="shared" si="24"/>
        <v>Preventative costs A-B</v>
      </c>
      <c r="E776" t="str">
        <f t="shared" si="25"/>
        <v>$L$715</v>
      </c>
    </row>
    <row r="777" spans="1:5" x14ac:dyDescent="0.25">
      <c r="A777" s="126" t="s">
        <v>2037</v>
      </c>
      <c r="B777" s="126" t="s">
        <v>2038</v>
      </c>
      <c r="C777" t="str">
        <f t="shared" si="24"/>
        <v>Preventative costs B</v>
      </c>
      <c r="E777" t="str">
        <f t="shared" si="25"/>
        <v>$L$715</v>
      </c>
    </row>
    <row r="778" spans="1:5" x14ac:dyDescent="0.25">
      <c r="A778" s="126" t="s">
        <v>2039</v>
      </c>
      <c r="B778" s="126" t="s">
        <v>2040</v>
      </c>
      <c r="C778" t="str">
        <f t="shared" si="24"/>
        <v>Impacts A</v>
      </c>
      <c r="E778" t="str">
        <f t="shared" si="25"/>
        <v>$C$447:$L$447</v>
      </c>
    </row>
    <row r="779" spans="1:5" x14ac:dyDescent="0.25">
      <c r="A779" s="126" t="s">
        <v>2041</v>
      </c>
      <c r="B779" s="126" t="s">
        <v>2042</v>
      </c>
      <c r="C779" t="str">
        <f t="shared" si="24"/>
        <v>Impacts A</v>
      </c>
      <c r="E779" t="str">
        <f t="shared" si="25"/>
        <v>$M$447:$M$447</v>
      </c>
    </row>
    <row r="780" spans="1:5" x14ac:dyDescent="0.25">
      <c r="A780" s="126" t="s">
        <v>2043</v>
      </c>
      <c r="B780" s="126" t="s">
        <v>2044</v>
      </c>
      <c r="C780" t="str">
        <f t="shared" si="24"/>
        <v>Base data</v>
      </c>
      <c r="E780" t="str">
        <f t="shared" si="25"/>
        <v>$C$1</v>
      </c>
    </row>
    <row r="781" spans="1:5" x14ac:dyDescent="0.25">
      <c r="A781" s="126" t="s">
        <v>2045</v>
      </c>
      <c r="B781" s="126" t="s">
        <v>2046</v>
      </c>
      <c r="C781" t="str">
        <f t="shared" si="24"/>
        <v>Library data</v>
      </c>
      <c r="E781" t="str">
        <f t="shared" si="25"/>
        <v>$C$33</v>
      </c>
    </row>
    <row r="782" spans="1:5" x14ac:dyDescent="0.25">
      <c r="A782" s="126" t="s">
        <v>2047</v>
      </c>
      <c r="B782" s="126" t="s">
        <v>2048</v>
      </c>
      <c r="C782" t="str">
        <f t="shared" si="24"/>
        <v>Library data</v>
      </c>
      <c r="E782" t="str">
        <f t="shared" si="25"/>
        <v>$C$37</v>
      </c>
    </row>
    <row r="783" spans="1:5" x14ac:dyDescent="0.25">
      <c r="A783" s="126" t="s">
        <v>2049</v>
      </c>
      <c r="B783" s="126" t="s">
        <v>2050</v>
      </c>
      <c r="C783" t="str">
        <f t="shared" si="24"/>
        <v>Library data</v>
      </c>
      <c r="E783" t="str">
        <f t="shared" si="25"/>
        <v>$C$29</v>
      </c>
    </row>
    <row r="784" spans="1:5" x14ac:dyDescent="0.25">
      <c r="A784" s="126" t="s">
        <v>2051</v>
      </c>
      <c r="B784" s="126" t="s">
        <v>2052</v>
      </c>
      <c r="C784" t="str">
        <f t="shared" si="24"/>
        <v>Adaptive costs A</v>
      </c>
      <c r="E784" t="str">
        <f t="shared" si="25"/>
        <v>$B$160:$K$167</v>
      </c>
    </row>
    <row r="785" spans="1:5" x14ac:dyDescent="0.25">
      <c r="A785" s="126" t="s">
        <v>2053</v>
      </c>
      <c r="B785" s="126" t="s">
        <v>2054</v>
      </c>
      <c r="C785" t="str">
        <f t="shared" si="24"/>
        <v>Adaptive costs B</v>
      </c>
      <c r="E785" t="str">
        <f t="shared" si="25"/>
        <v>$B$160:$K$167</v>
      </c>
    </row>
    <row r="786" spans="1:5" x14ac:dyDescent="0.25">
      <c r="A786" s="126" t="s">
        <v>2055</v>
      </c>
      <c r="B786" s="126" t="s">
        <v>2056</v>
      </c>
      <c r="C786" t="str">
        <f t="shared" si="24"/>
        <v>Adaptive costs A</v>
      </c>
      <c r="E786" t="str">
        <f t="shared" si="25"/>
        <v>$B$168:$K$168</v>
      </c>
    </row>
    <row r="787" spans="1:5" x14ac:dyDescent="0.25">
      <c r="A787" s="126" t="s">
        <v>2057</v>
      </c>
      <c r="B787" s="126" t="s">
        <v>2058</v>
      </c>
      <c r="C787" t="str">
        <f t="shared" si="24"/>
        <v>Adaptive costs A-B</v>
      </c>
      <c r="E787" t="str">
        <f t="shared" si="25"/>
        <v>$B$168:$K$168</v>
      </c>
    </row>
    <row r="788" spans="1:5" x14ac:dyDescent="0.25">
      <c r="A788" s="126" t="s">
        <v>2059</v>
      </c>
      <c r="B788" s="126" t="s">
        <v>2060</v>
      </c>
      <c r="C788" t="str">
        <f t="shared" si="24"/>
        <v>Adaptive costs B</v>
      </c>
      <c r="E788" t="str">
        <f t="shared" si="25"/>
        <v>$B$168:$K$168</v>
      </c>
    </row>
    <row r="789" spans="1:5" x14ac:dyDescent="0.25">
      <c r="A789" s="126" t="s">
        <v>2061</v>
      </c>
      <c r="B789" s="126" t="s">
        <v>2062</v>
      </c>
      <c r="C789" t="str">
        <f t="shared" si="24"/>
        <v>Adaptive costs A</v>
      </c>
      <c r="E789" t="str">
        <f t="shared" si="25"/>
        <v>$B$150:$K$157</v>
      </c>
    </row>
    <row r="790" spans="1:5" x14ac:dyDescent="0.25">
      <c r="A790" s="126" t="s">
        <v>2063</v>
      </c>
      <c r="B790" s="126" t="s">
        <v>2064</v>
      </c>
      <c r="C790" t="str">
        <f t="shared" si="24"/>
        <v>Adaptive costs B</v>
      </c>
      <c r="E790" t="str">
        <f t="shared" si="25"/>
        <v>$B$150:$K$157</v>
      </c>
    </row>
    <row r="791" spans="1:5" x14ac:dyDescent="0.25">
      <c r="A791" s="126" t="s">
        <v>2065</v>
      </c>
      <c r="B791" s="126" t="s">
        <v>2066</v>
      </c>
      <c r="C791" t="str">
        <f t="shared" si="24"/>
        <v>Adaptive costs A</v>
      </c>
      <c r="E791" t="str">
        <f t="shared" si="25"/>
        <v>$B$158:$K$158</v>
      </c>
    </row>
    <row r="792" spans="1:5" x14ac:dyDescent="0.25">
      <c r="A792" s="126" t="s">
        <v>2067</v>
      </c>
      <c r="B792" s="126" t="s">
        <v>2068</v>
      </c>
      <c r="C792" t="str">
        <f t="shared" si="24"/>
        <v>Adaptive costs A-B</v>
      </c>
      <c r="E792" t="str">
        <f t="shared" si="25"/>
        <v>$B$158:$K$158</v>
      </c>
    </row>
    <row r="793" spans="1:5" x14ac:dyDescent="0.25">
      <c r="A793" s="126" t="s">
        <v>2069</v>
      </c>
      <c r="B793" s="126" t="s">
        <v>2070</v>
      </c>
      <c r="C793" t="str">
        <f t="shared" si="24"/>
        <v>Adaptive costs B</v>
      </c>
      <c r="E793" t="str">
        <f t="shared" si="25"/>
        <v>$B$158:$K$158</v>
      </c>
    </row>
    <row r="794" spans="1:5" x14ac:dyDescent="0.25">
      <c r="A794" s="126" t="s">
        <v>2071</v>
      </c>
      <c r="B794" s="126" t="s">
        <v>2072</v>
      </c>
      <c r="C794" t="str">
        <f t="shared" si="24"/>
        <v>Adaptive costs A</v>
      </c>
      <c r="E794" t="str">
        <f t="shared" si="25"/>
        <v>$B$141:$K$148</v>
      </c>
    </row>
    <row r="795" spans="1:5" x14ac:dyDescent="0.25">
      <c r="A795" s="126" t="s">
        <v>2073</v>
      </c>
      <c r="B795" s="126" t="s">
        <v>2074</v>
      </c>
      <c r="C795" t="str">
        <f t="shared" si="24"/>
        <v>Adaptive costs B</v>
      </c>
      <c r="E795" t="str">
        <f t="shared" si="25"/>
        <v>$B$141:$K$148</v>
      </c>
    </row>
    <row r="796" spans="1:5" x14ac:dyDescent="0.25">
      <c r="A796" s="126" t="s">
        <v>2075</v>
      </c>
      <c r="B796" s="126" t="s">
        <v>2076</v>
      </c>
      <c r="C796" t="str">
        <f t="shared" si="24"/>
        <v>Library data</v>
      </c>
      <c r="E796" t="str">
        <f t="shared" si="25"/>
        <v>$C$40</v>
      </c>
    </row>
    <row r="797" spans="1:5" x14ac:dyDescent="0.25">
      <c r="A797" s="126" t="s">
        <v>2077</v>
      </c>
      <c r="B797" s="126" t="s">
        <v>2078</v>
      </c>
      <c r="C797" t="str">
        <f t="shared" si="24"/>
        <v>Library data</v>
      </c>
      <c r="E797" t="str">
        <f t="shared" si="25"/>
        <v>$C$45:$C$51</v>
      </c>
    </row>
    <row r="798" spans="1:5" x14ac:dyDescent="0.25">
      <c r="A798" s="126" t="s">
        <v>2079</v>
      </c>
      <c r="B798" s="126" t="s">
        <v>2080</v>
      </c>
      <c r="C798" t="str">
        <f t="shared" si="24"/>
        <v>Impacts A</v>
      </c>
      <c r="E798" t="str">
        <f t="shared" si="25"/>
        <v>$C$426:$L$433</v>
      </c>
    </row>
    <row r="799" spans="1:5" x14ac:dyDescent="0.25">
      <c r="A799" s="126" t="s">
        <v>2081</v>
      </c>
      <c r="B799" s="126" t="s">
        <v>2082</v>
      </c>
      <c r="C799" t="str">
        <f t="shared" si="24"/>
        <v>Impacts B</v>
      </c>
      <c r="E799" t="str">
        <f t="shared" si="25"/>
        <v>$C$426:$L$433</v>
      </c>
    </row>
    <row r="800" spans="1:5" x14ac:dyDescent="0.25">
      <c r="A800" s="126" t="s">
        <v>2083</v>
      </c>
      <c r="B800" s="126" t="s">
        <v>2084</v>
      </c>
      <c r="C800" t="str">
        <f t="shared" si="24"/>
        <v>Impacts A</v>
      </c>
      <c r="E800" t="str">
        <f t="shared" si="25"/>
        <v>$C$434:$L$434</v>
      </c>
    </row>
    <row r="801" spans="1:5" x14ac:dyDescent="0.25">
      <c r="A801" s="126" t="s">
        <v>2085</v>
      </c>
      <c r="B801" s="126" t="s">
        <v>2086</v>
      </c>
      <c r="C801" t="str">
        <f t="shared" ref="C801:C836" si="26">IF(ISERR(FIND("'",B801)),MID(B801,FIND("=",B801)+1,FIND("!",B801)-(FIND("=",B801)+1)-1),MID(B801,FIND("='",B801)+2,FIND("!",B801)-(FIND("='",B801)+2)-1))</f>
        <v>Impacts A-B</v>
      </c>
      <c r="E801" t="str">
        <f t="shared" si="25"/>
        <v>$C$434:$L$434</v>
      </c>
    </row>
    <row r="802" spans="1:5" x14ac:dyDescent="0.25">
      <c r="A802" s="126" t="s">
        <v>2087</v>
      </c>
      <c r="B802" s="126" t="s">
        <v>2088</v>
      </c>
      <c r="C802" t="str">
        <f t="shared" si="26"/>
        <v>Impacts B</v>
      </c>
      <c r="E802" t="str">
        <f t="shared" si="25"/>
        <v>$C$434:$L$434</v>
      </c>
    </row>
    <row r="803" spans="1:5" x14ac:dyDescent="0.25">
      <c r="A803" s="126" t="s">
        <v>273</v>
      </c>
      <c r="B803" s="126" t="s">
        <v>2089</v>
      </c>
      <c r="C803" t="str">
        <f t="shared" si="26"/>
        <v>Impacts A</v>
      </c>
      <c r="E803" t="str">
        <f t="shared" si="25"/>
        <v>$C$5:$C$12</v>
      </c>
    </row>
    <row r="804" spans="1:5" x14ac:dyDescent="0.25">
      <c r="A804" s="126" t="s">
        <v>2090</v>
      </c>
      <c r="B804" s="126" t="s">
        <v>2091</v>
      </c>
      <c r="C804" t="str">
        <f t="shared" si="26"/>
        <v>Impacts A</v>
      </c>
      <c r="E804" t="str">
        <f t="shared" si="25"/>
        <v>$C$416:$L$423</v>
      </c>
    </row>
    <row r="805" spans="1:5" x14ac:dyDescent="0.25">
      <c r="A805" s="126" t="s">
        <v>2092</v>
      </c>
      <c r="B805" s="126" t="s">
        <v>2093</v>
      </c>
      <c r="C805" t="str">
        <f t="shared" si="26"/>
        <v>Impacts B</v>
      </c>
      <c r="E805" t="str">
        <f t="shared" si="25"/>
        <v>$C$416:$L$423</v>
      </c>
    </row>
    <row r="806" spans="1:5" x14ac:dyDescent="0.25">
      <c r="A806" s="126" t="s">
        <v>2094</v>
      </c>
      <c r="B806" s="126" t="s">
        <v>2095</v>
      </c>
      <c r="C806" t="str">
        <f t="shared" si="26"/>
        <v>Impacts A</v>
      </c>
      <c r="E806" t="str">
        <f t="shared" si="25"/>
        <v>$C$424:$L$424</v>
      </c>
    </row>
    <row r="807" spans="1:5" x14ac:dyDescent="0.25">
      <c r="A807" s="126" t="s">
        <v>2096</v>
      </c>
      <c r="B807" s="126" t="s">
        <v>2097</v>
      </c>
      <c r="C807" t="str">
        <f t="shared" si="26"/>
        <v>Impacts A-B</v>
      </c>
      <c r="E807" t="str">
        <f t="shared" si="25"/>
        <v>$C$424:$L$424</v>
      </c>
    </row>
    <row r="808" spans="1:5" x14ac:dyDescent="0.25">
      <c r="A808" s="126" t="s">
        <v>2098</v>
      </c>
      <c r="B808" s="126" t="s">
        <v>2099</v>
      </c>
      <c r="C808" t="str">
        <f t="shared" si="26"/>
        <v>Impacts B</v>
      </c>
      <c r="E808" t="str">
        <f t="shared" si="25"/>
        <v>$C$424:$L$424</v>
      </c>
    </row>
    <row r="809" spans="1:5" x14ac:dyDescent="0.25">
      <c r="A809" s="126" t="s">
        <v>2100</v>
      </c>
      <c r="B809" s="126" t="s">
        <v>2101</v>
      </c>
      <c r="C809" t="str">
        <f t="shared" si="26"/>
        <v>Preventative costs A</v>
      </c>
      <c r="E809" t="str">
        <f t="shared" si="25"/>
        <v>$B$659:$K$666</v>
      </c>
    </row>
    <row r="810" spans="1:5" x14ac:dyDescent="0.25">
      <c r="A810" s="126" t="s">
        <v>2102</v>
      </c>
      <c r="B810" s="126" t="s">
        <v>2103</v>
      </c>
      <c r="C810" t="str">
        <f t="shared" si="26"/>
        <v>Preventative costs B</v>
      </c>
      <c r="E810" t="str">
        <f t="shared" si="25"/>
        <v>$B$659:$K$666</v>
      </c>
    </row>
    <row r="811" spans="1:5" x14ac:dyDescent="0.25">
      <c r="A811" s="126" t="s">
        <v>2104</v>
      </c>
      <c r="B811" s="126" t="s">
        <v>2105</v>
      </c>
      <c r="C811" t="str">
        <f t="shared" si="26"/>
        <v>Base data</v>
      </c>
      <c r="E811" t="str">
        <f t="shared" si="25"/>
        <v>$C$3:$L$3</v>
      </c>
    </row>
    <row r="812" spans="1:5" x14ac:dyDescent="0.25">
      <c r="A812" s="126" t="s">
        <v>2106</v>
      </c>
      <c r="B812" s="126" t="s">
        <v>2107</v>
      </c>
      <c r="C812" t="str">
        <f t="shared" si="26"/>
        <v>Base data</v>
      </c>
      <c r="E812" t="str">
        <f t="shared" si="25"/>
        <v>$B$2</v>
      </c>
    </row>
    <row r="813" spans="1:5" x14ac:dyDescent="0.25">
      <c r="A813" s="126" t="s">
        <v>2108</v>
      </c>
      <c r="B813" s="126" t="s">
        <v>2109</v>
      </c>
      <c r="C813" t="str">
        <f t="shared" si="26"/>
        <v>Base data</v>
      </c>
      <c r="E813" t="str">
        <f t="shared" si="25"/>
        <v>$C$3</v>
      </c>
    </row>
    <row r="814" spans="1:5" x14ac:dyDescent="0.25">
      <c r="A814" s="126" t="s">
        <v>2110</v>
      </c>
      <c r="B814" s="126" t="s">
        <v>2111</v>
      </c>
      <c r="C814" t="str">
        <f t="shared" si="26"/>
        <v>Impacts A</v>
      </c>
      <c r="E814" t="str">
        <f t="shared" si="25"/>
        <v>$C$17:$L$17</v>
      </c>
    </row>
    <row r="815" spans="1:5" x14ac:dyDescent="0.25">
      <c r="A815" s="126" t="s">
        <v>2112</v>
      </c>
      <c r="B815" s="126" t="s">
        <v>2113</v>
      </c>
      <c r="C815" t="str">
        <f t="shared" si="26"/>
        <v>Base data</v>
      </c>
      <c r="E815" t="str">
        <f t="shared" si="25"/>
        <v>$L$3</v>
      </c>
    </row>
    <row r="816" spans="1:5" x14ac:dyDescent="0.25">
      <c r="A816" s="126" t="s">
        <v>2114</v>
      </c>
      <c r="B816" s="126" t="s">
        <v>2115</v>
      </c>
      <c r="C816" t="str">
        <f t="shared" si="26"/>
        <v>Impacts A</v>
      </c>
      <c r="E816" t="str">
        <f t="shared" si="25"/>
        <v>$C$18:$L$18</v>
      </c>
    </row>
    <row r="817" spans="1:5" x14ac:dyDescent="0.25">
      <c r="A817" s="126" t="s">
        <v>2116</v>
      </c>
      <c r="B817" s="126" t="s">
        <v>2117</v>
      </c>
      <c r="C817" t="str">
        <f t="shared" si="26"/>
        <v>Base data</v>
      </c>
      <c r="E817" t="str">
        <f t="shared" si="25"/>
        <v>$D$3:$L$3</v>
      </c>
    </row>
    <row r="818" spans="1:5" x14ac:dyDescent="0.25">
      <c r="A818" s="126" t="s">
        <v>2118</v>
      </c>
      <c r="B818" s="126" t="s">
        <v>2119</v>
      </c>
      <c r="C818" t="str">
        <f t="shared" si="26"/>
        <v>Base data</v>
      </c>
      <c r="E818" t="str">
        <f t="shared" si="25"/>
        <v>$B$4</v>
      </c>
    </row>
    <row r="819" spans="1:5" x14ac:dyDescent="0.25">
      <c r="A819" s="126" t="s">
        <v>2120</v>
      </c>
      <c r="B819" s="126" t="s">
        <v>2121</v>
      </c>
      <c r="C819" t="str">
        <f t="shared" si="26"/>
        <v>Impacts A</v>
      </c>
      <c r="E819" t="str">
        <f t="shared" si="25"/>
        <v>$C$19:$L$19</v>
      </c>
    </row>
    <row r="820" spans="1:5" x14ac:dyDescent="0.25">
      <c r="A820" s="126" t="s">
        <v>2122</v>
      </c>
      <c r="B820" s="126" t="s">
        <v>2123</v>
      </c>
      <c r="C820" t="str">
        <f t="shared" si="26"/>
        <v>Preventative costs A</v>
      </c>
      <c r="E820" t="str">
        <f t="shared" si="25"/>
        <v>$B$46:$K$46</v>
      </c>
    </row>
    <row r="821" spans="1:5" x14ac:dyDescent="0.25">
      <c r="A821" s="126" t="s">
        <v>2124</v>
      </c>
      <c r="B821" s="126" t="s">
        <v>2125</v>
      </c>
      <c r="C821" t="str">
        <f t="shared" si="26"/>
        <v>Preventative costs A</v>
      </c>
      <c r="E821" t="str">
        <f t="shared" si="25"/>
        <v>$K$46</v>
      </c>
    </row>
    <row r="822" spans="1:5" x14ac:dyDescent="0.25">
      <c r="A822" s="126" t="s">
        <v>2126</v>
      </c>
      <c r="B822" s="126" t="s">
        <v>2127</v>
      </c>
      <c r="C822" t="str">
        <f t="shared" si="26"/>
        <v>Climate A</v>
      </c>
      <c r="E822" t="str">
        <f t="shared" si="25"/>
        <v>$D$13:$M$13</v>
      </c>
    </row>
    <row r="823" spans="1:5" x14ac:dyDescent="0.25">
      <c r="A823" s="126" t="s">
        <v>2128</v>
      </c>
      <c r="B823" s="126" t="s">
        <v>2129</v>
      </c>
      <c r="C823" t="str">
        <f t="shared" si="26"/>
        <v>Climate A</v>
      </c>
      <c r="E823" t="str">
        <f t="shared" si="25"/>
        <v>$D$13</v>
      </c>
    </row>
    <row r="824" spans="1:5" x14ac:dyDescent="0.25">
      <c r="A824" s="126" t="s">
        <v>2130</v>
      </c>
      <c r="B824" s="126" t="s">
        <v>2131</v>
      </c>
      <c r="C824" t="str">
        <f t="shared" si="26"/>
        <v>Climate A</v>
      </c>
      <c r="E824" t="str">
        <f t="shared" si="25"/>
        <v>$E$13:$M$13</v>
      </c>
    </row>
    <row r="825" spans="1:5" x14ac:dyDescent="0.25">
      <c r="A825" s="126" t="s">
        <v>2132</v>
      </c>
      <c r="B825" s="126" t="s">
        <v>2133</v>
      </c>
      <c r="C825" t="str">
        <f t="shared" si="26"/>
        <v>Preventative costs A</v>
      </c>
      <c r="E825" t="str">
        <f t="shared" si="25"/>
        <v>$B$58:$K$65</v>
      </c>
    </row>
    <row r="826" spans="1:5" x14ac:dyDescent="0.25">
      <c r="A826" s="126" t="s">
        <v>2134</v>
      </c>
      <c r="B826" s="126" t="s">
        <v>2135</v>
      </c>
      <c r="C826" t="str">
        <f t="shared" si="26"/>
        <v>Preventative costs A</v>
      </c>
      <c r="E826" t="str">
        <f t="shared" si="25"/>
        <v>$B$58:$B$65</v>
      </c>
    </row>
    <row r="827" spans="1:5" x14ac:dyDescent="0.25">
      <c r="A827" s="126" t="s">
        <v>2136</v>
      </c>
      <c r="B827" s="126" t="s">
        <v>2137</v>
      </c>
      <c r="C827" t="str">
        <f t="shared" si="26"/>
        <v>Preventative costs A</v>
      </c>
      <c r="E827" t="str">
        <f t="shared" si="25"/>
        <v>$C$58:$K$65</v>
      </c>
    </row>
    <row r="828" spans="1:5" x14ac:dyDescent="0.25">
      <c r="A828" s="126" t="s">
        <v>2138</v>
      </c>
      <c r="B828" s="126" t="s">
        <v>2139</v>
      </c>
      <c r="C828" t="str">
        <f t="shared" si="26"/>
        <v>Preventative costs A</v>
      </c>
      <c r="E828" t="str">
        <f t="shared" si="25"/>
        <v>$B$49:$K$56</v>
      </c>
    </row>
    <row r="829" spans="1:5" x14ac:dyDescent="0.25">
      <c r="A829" s="126" t="s">
        <v>2140</v>
      </c>
      <c r="B829" s="126" t="s">
        <v>2141</v>
      </c>
      <c r="C829" t="str">
        <f t="shared" si="26"/>
        <v>Preventative costs A</v>
      </c>
      <c r="E829" t="str">
        <f t="shared" si="25"/>
        <v>$B$49:$B$56</v>
      </c>
    </row>
    <row r="830" spans="1:5" x14ac:dyDescent="0.25">
      <c r="A830" s="126" t="s">
        <v>2142</v>
      </c>
      <c r="B830" s="126" t="s">
        <v>2143</v>
      </c>
      <c r="C830" t="str">
        <f t="shared" si="26"/>
        <v>Preventative costs A</v>
      </c>
      <c r="E830" t="str">
        <f t="shared" si="25"/>
        <v>$C$49:$K$56</v>
      </c>
    </row>
    <row r="831" spans="1:5" x14ac:dyDescent="0.25">
      <c r="A831" s="126" t="s">
        <v>2144</v>
      </c>
      <c r="B831" s="126" t="s">
        <v>2145</v>
      </c>
      <c r="C831" t="str">
        <f t="shared" si="26"/>
        <v>Preventative costs A</v>
      </c>
      <c r="E831" t="str">
        <f t="shared" si="25"/>
        <v>$B$76:$K$83</v>
      </c>
    </row>
    <row r="832" spans="1:5" x14ac:dyDescent="0.25">
      <c r="A832" s="126" t="s">
        <v>2146</v>
      </c>
      <c r="B832" s="126" t="s">
        <v>2147</v>
      </c>
      <c r="C832" t="str">
        <f t="shared" si="26"/>
        <v>Preventative costs A</v>
      </c>
      <c r="E832" t="str">
        <f t="shared" si="25"/>
        <v>$B$76:$B$83</v>
      </c>
    </row>
    <row r="833" spans="1:5" x14ac:dyDescent="0.25">
      <c r="A833" s="126" t="s">
        <v>2148</v>
      </c>
      <c r="B833" s="126" t="s">
        <v>2149</v>
      </c>
      <c r="C833" t="str">
        <f t="shared" si="26"/>
        <v>Preventative costs A</v>
      </c>
      <c r="E833" t="str">
        <f t="shared" si="25"/>
        <v>$C$76:$K$83</v>
      </c>
    </row>
    <row r="834" spans="1:5" x14ac:dyDescent="0.25">
      <c r="A834" s="126" t="s">
        <v>2150</v>
      </c>
      <c r="B834" s="126" t="s">
        <v>2151</v>
      </c>
      <c r="C834" t="str">
        <f t="shared" si="26"/>
        <v>Preventative costs A</v>
      </c>
      <c r="E834" t="str">
        <f t="shared" si="25"/>
        <v>$B$67:$K$74</v>
      </c>
    </row>
    <row r="835" spans="1:5" x14ac:dyDescent="0.25">
      <c r="A835" s="126" t="s">
        <v>2152</v>
      </c>
      <c r="B835" s="126" t="s">
        <v>2153</v>
      </c>
      <c r="C835" t="str">
        <f t="shared" si="26"/>
        <v>Preventative costs A</v>
      </c>
      <c r="E835" t="str">
        <f>RIGHT(B835,LEN(B835)-FIND("!",B835))</f>
        <v>$B$67:$B$74</v>
      </c>
    </row>
    <row r="836" spans="1:5" x14ac:dyDescent="0.25">
      <c r="A836" s="126" t="s">
        <v>2154</v>
      </c>
      <c r="B836" s="126" t="s">
        <v>2155</v>
      </c>
      <c r="C836" t="str">
        <f t="shared" si="26"/>
        <v>Preventative costs A</v>
      </c>
      <c r="E836" t="str">
        <f>RIGHT(B836,LEN(B836)-FIND("!",B836))</f>
        <v>$C$67:$K$74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835</vt:i4>
      </vt:variant>
    </vt:vector>
  </HeadingPairs>
  <TitlesOfParts>
    <vt:vector size="860" baseType="lpstr">
      <vt:lpstr>RiskSwappedFuncs</vt:lpstr>
      <vt:lpstr>@RISK Summary</vt:lpstr>
      <vt:lpstr>Base data</vt:lpstr>
      <vt:lpstr>Library data</vt:lpstr>
      <vt:lpstr>Policy A</vt:lpstr>
      <vt:lpstr>Policy B</vt:lpstr>
      <vt:lpstr>Policy A-B</vt:lpstr>
      <vt:lpstr>Emissions A</vt:lpstr>
      <vt:lpstr>Emissions B</vt:lpstr>
      <vt:lpstr>Emissions A-B</vt:lpstr>
      <vt:lpstr>Climate A</vt:lpstr>
      <vt:lpstr>RiskSerializationData</vt:lpstr>
      <vt:lpstr>Climate B</vt:lpstr>
      <vt:lpstr>Climate A-B</vt:lpstr>
      <vt:lpstr>Preventative costs A</vt:lpstr>
      <vt:lpstr>Preventative costs B</vt:lpstr>
      <vt:lpstr>Preventative costs A-B</vt:lpstr>
      <vt:lpstr>Adaptive costs A</vt:lpstr>
      <vt:lpstr>Adaptive costs B</vt:lpstr>
      <vt:lpstr>Adaptive costs A-B</vt:lpstr>
      <vt:lpstr>Impacts A</vt:lpstr>
      <vt:lpstr>Impacts B</vt:lpstr>
      <vt:lpstr>Impacts A-B</vt:lpstr>
      <vt:lpstr>Totals</vt:lpstr>
      <vt:lpstr>Names</vt:lpstr>
      <vt:lpstr>aact</vt:lpstr>
      <vt:lpstr>aact_b</vt:lpstr>
      <vt:lpstr>aact_g</vt:lpstr>
      <vt:lpstr>aact_g_ab</vt:lpstr>
      <vt:lpstr>aact_g_b</vt:lpstr>
      <vt:lpstr>aact_gt</vt:lpstr>
      <vt:lpstr>aact_gt_b</vt:lpstr>
      <vt:lpstr>ac_1</vt:lpstr>
      <vt:lpstr>ac_1_b</vt:lpstr>
      <vt:lpstr>ac_1_g</vt:lpstr>
      <vt:lpstr>ac_1_g_b</vt:lpstr>
      <vt:lpstr>ac_2</vt:lpstr>
      <vt:lpstr>ac_2_b</vt:lpstr>
      <vt:lpstr>ac_2_g</vt:lpstr>
      <vt:lpstr>ac_2_g_b</vt:lpstr>
      <vt:lpstr>ac_s</vt:lpstr>
      <vt:lpstr>ac_s_b</vt:lpstr>
      <vt:lpstr>ac_s_g</vt:lpstr>
      <vt:lpstr>ac_s_g_b</vt:lpstr>
      <vt:lpstr>aci_1</vt:lpstr>
      <vt:lpstr>aci_1_b</vt:lpstr>
      <vt:lpstr>aci_1_g</vt:lpstr>
      <vt:lpstr>aci_1_g_b</vt:lpstr>
      <vt:lpstr>aci_2</vt:lpstr>
      <vt:lpstr>aci_2_b</vt:lpstr>
      <vt:lpstr>aci_2_g</vt:lpstr>
      <vt:lpstr>aci_2_g_b</vt:lpstr>
      <vt:lpstr>aci_s</vt:lpstr>
      <vt:lpstr>aci_s_b</vt:lpstr>
      <vt:lpstr>aci_s_g</vt:lpstr>
      <vt:lpstr>aci_s_g_b</vt:lpstr>
      <vt:lpstr>acp_1</vt:lpstr>
      <vt:lpstr>acp_1_b</vt:lpstr>
      <vt:lpstr>acp_1_g</vt:lpstr>
      <vt:lpstr>acp_1_g_b</vt:lpstr>
      <vt:lpstr>acp_2</vt:lpstr>
      <vt:lpstr>acp_2_b</vt:lpstr>
      <vt:lpstr>acp_2_g</vt:lpstr>
      <vt:lpstr>acp_2_g_b</vt:lpstr>
      <vt:lpstr>acp_s</vt:lpstr>
      <vt:lpstr>acp_s_b</vt:lpstr>
      <vt:lpstr>acp_s_g</vt:lpstr>
      <vt:lpstr>acp_s_g_b</vt:lpstr>
      <vt:lpstr>act</vt:lpstr>
      <vt:lpstr>act_b</vt:lpstr>
      <vt:lpstr>act_g</vt:lpstr>
      <vt:lpstr>act_g_b</vt:lpstr>
      <vt:lpstr>act_per_cap</vt:lpstr>
      <vt:lpstr>act_per_cap_b</vt:lpstr>
      <vt:lpstr>act_per_cap_g</vt:lpstr>
      <vt:lpstr>act_per_cap_g_b</vt:lpstr>
      <vt:lpstr>addt</vt:lpstr>
      <vt:lpstr>addt_b</vt:lpstr>
      <vt:lpstr>addt_g</vt:lpstr>
      <vt:lpstr>addt_g_ab</vt:lpstr>
      <vt:lpstr>addt_g_b</vt:lpstr>
      <vt:lpstr>addt_gt</vt:lpstr>
      <vt:lpstr>addt_gt_b</vt:lpstr>
      <vt:lpstr>addtt</vt:lpstr>
      <vt:lpstr>addtt_b</vt:lpstr>
      <vt:lpstr>ahi_ch4</vt:lpstr>
      <vt:lpstr>ahi_ch4_b</vt:lpstr>
      <vt:lpstr>ahi_co2</vt:lpstr>
      <vt:lpstr>ahi_co2_b</vt:lpstr>
      <vt:lpstr>ahi_glin</vt:lpstr>
      <vt:lpstr>ahi_glin_b</vt:lpstr>
      <vt:lpstr>ahi_n2o</vt:lpstr>
      <vt:lpstr>ahi_n2o_b</vt:lpstr>
      <vt:lpstr>AIR_CH4</vt:lpstr>
      <vt:lpstr>AIR_CO2</vt:lpstr>
      <vt:lpstr>AIR_GLIN</vt:lpstr>
      <vt:lpstr>AIR_N2O</vt:lpstr>
      <vt:lpstr>ALO_CH4</vt:lpstr>
      <vt:lpstr>ALO_CO2</vt:lpstr>
      <vt:lpstr>ALO_GLIN</vt:lpstr>
      <vt:lpstr>ALO_N2O</vt:lpstr>
      <vt:lpstr>AREA</vt:lpstr>
      <vt:lpstr>AREA_G</vt:lpstr>
      <vt:lpstr>asympf_co2</vt:lpstr>
      <vt:lpstr>asympf_co2_b</vt:lpstr>
      <vt:lpstr>atl_1</vt:lpstr>
      <vt:lpstr>atl_1_b</vt:lpstr>
      <vt:lpstr>atl_2</vt:lpstr>
      <vt:lpstr>atl_2_b</vt:lpstr>
      <vt:lpstr>atl_s</vt:lpstr>
      <vt:lpstr>atl_s_b</vt:lpstr>
      <vt:lpstr>AUTO</vt:lpstr>
      <vt:lpstr>AUTOFAC</vt:lpstr>
      <vt:lpstr>AUTOMULT</vt:lpstr>
      <vt:lpstr>BAU_CH4</vt:lpstr>
      <vt:lpstr>BAU_CO2</vt:lpstr>
      <vt:lpstr>BAU_GLIN</vt:lpstr>
      <vt:lpstr>BAU_N2O</vt:lpstr>
      <vt:lpstr>BHI_CH4</vt:lpstr>
      <vt:lpstr>BHI_CO2</vt:lpstr>
      <vt:lpstr>BHI_GLIN</vt:lpstr>
      <vt:lpstr>BHI_N2O</vt:lpstr>
      <vt:lpstr>BLO_CH4</vt:lpstr>
      <vt:lpstr>BLO_CO2</vt:lpstr>
      <vt:lpstr>BLO_GLIN</vt:lpstr>
      <vt:lpstr>BLO_N2O</vt:lpstr>
      <vt:lpstr>C_0</vt:lpstr>
      <vt:lpstr>c_ch4</vt:lpstr>
      <vt:lpstr>C_CH4_0</vt:lpstr>
      <vt:lpstr>c_ch4_b</vt:lpstr>
      <vt:lpstr>c_co2</vt:lpstr>
      <vt:lpstr>C_CO2_0</vt:lpstr>
      <vt:lpstr>c_co2_b</vt:lpstr>
      <vt:lpstr>c_co2_no_ccf</vt:lpstr>
      <vt:lpstr>c_co2_no_ccf_b</vt:lpstr>
      <vt:lpstr>c_glin</vt:lpstr>
      <vt:lpstr>C_GLIN_0</vt:lpstr>
      <vt:lpstr>c_glin_b</vt:lpstr>
      <vt:lpstr>c_n2o</vt:lpstr>
      <vt:lpstr>C_N2O_0</vt:lpstr>
      <vt:lpstr>c_n2o_b</vt:lpstr>
      <vt:lpstr>C0_CH4</vt:lpstr>
      <vt:lpstr>C0_CO2</vt:lpstr>
      <vt:lpstr>C0_GLIN</vt:lpstr>
      <vt:lpstr>C0_INIT_CH4</vt:lpstr>
      <vt:lpstr>C0_INIT_CO2</vt:lpstr>
      <vt:lpstr>C0_INIT_GLIN</vt:lpstr>
      <vt:lpstr>C0_INIT_N2O</vt:lpstr>
      <vt:lpstr>C0_N2O</vt:lpstr>
      <vt:lpstr>C0G</vt:lpstr>
      <vt:lpstr>C0MULT</vt:lpstr>
      <vt:lpstr>cb_ch4</vt:lpstr>
      <vt:lpstr>cb_ch4_b</vt:lpstr>
      <vt:lpstr>cb_co2</vt:lpstr>
      <vt:lpstr>cb_co2_b</vt:lpstr>
      <vt:lpstr>cb_glin</vt:lpstr>
      <vt:lpstr>cb_glin_b</vt:lpstr>
      <vt:lpstr>cb_n2o</vt:lpstr>
      <vt:lpstr>cb_n2o_b</vt:lpstr>
      <vt:lpstr>cbe_ch4</vt:lpstr>
      <vt:lpstr>cbe_ch4_b</vt:lpstr>
      <vt:lpstr>cbe_co2</vt:lpstr>
      <vt:lpstr>cbe_co2_b</vt:lpstr>
      <vt:lpstr>cbe_glin</vt:lpstr>
      <vt:lpstr>cbe_glin_b</vt:lpstr>
      <vt:lpstr>cbe_n2o</vt:lpstr>
      <vt:lpstr>cbe_n2o_b</vt:lpstr>
      <vt:lpstr>CCF</vt:lpstr>
      <vt:lpstr>ccff</vt:lpstr>
      <vt:lpstr>ccff_b</vt:lpstr>
      <vt:lpstr>CCFFMAX</vt:lpstr>
      <vt:lpstr>CE_CO2_0</vt:lpstr>
      <vt:lpstr>cea_co2</vt:lpstr>
      <vt:lpstr>CEA_CO2_0</vt:lpstr>
      <vt:lpstr>cea_co2_b</vt:lpstr>
      <vt:lpstr>CF</vt:lpstr>
      <vt:lpstr>CI_1</vt:lpstr>
      <vt:lpstr>CI_1_1</vt:lpstr>
      <vt:lpstr>CI_2</vt:lpstr>
      <vt:lpstr>CI_2_1</vt:lpstr>
      <vt:lpstr>CI_S</vt:lpstr>
      <vt:lpstr>CI_S_1</vt:lpstr>
      <vt:lpstr>CIV_VALUE</vt:lpstr>
      <vt:lpstr>cmax_ch4</vt:lpstr>
      <vt:lpstr>cmax_ch4_b</vt:lpstr>
      <vt:lpstr>cmax_co2</vt:lpstr>
      <vt:lpstr>cmax_co2_b</vt:lpstr>
      <vt:lpstr>cmax_glin</vt:lpstr>
      <vt:lpstr>cmax_glin_b</vt:lpstr>
      <vt:lpstr>CMAX_INIT_CH4</vt:lpstr>
      <vt:lpstr>CMAX_INIT_CH4_1</vt:lpstr>
      <vt:lpstr>CMAX_INIT_CO2</vt:lpstr>
      <vt:lpstr>CMAX_INIT_CO2_1</vt:lpstr>
      <vt:lpstr>CMAX_INIT_GLIN</vt:lpstr>
      <vt:lpstr>CMAX_INIT_GLIN_1</vt:lpstr>
      <vt:lpstr>CMAX_INIT_N2O</vt:lpstr>
      <vt:lpstr>CMAX_INIT_N2O_1</vt:lpstr>
      <vt:lpstr>cmax_n2o</vt:lpstr>
      <vt:lpstr>cmax_n2o_b</vt:lpstr>
      <vt:lpstr>CMAXF</vt:lpstr>
      <vt:lpstr>CONS_PER_CAP</vt:lpstr>
      <vt:lpstr>CONS_PER_CAP_0</vt:lpstr>
      <vt:lpstr>cons_per_cap_after_costs</vt:lpstr>
      <vt:lpstr>cons_per_cap_after_costs_b</vt:lpstr>
      <vt:lpstr>CONS_PER_CAP_FOCUS</vt:lpstr>
      <vt:lpstr>CONS_PER_CAP_FOCUS_0</vt:lpstr>
      <vt:lpstr>CONS_PER_CAP_G</vt:lpstr>
      <vt:lpstr>CONS_PER_CAP_G_0</vt:lpstr>
      <vt:lpstr>CONS_PER_CAP_G_1</vt:lpstr>
      <vt:lpstr>CONS_PER_CAP_G_NOT_1</vt:lpstr>
      <vt:lpstr>CP_1</vt:lpstr>
      <vt:lpstr>CP_1_1</vt:lpstr>
      <vt:lpstr>CP_2</vt:lpstr>
      <vt:lpstr>CP_2_1</vt:lpstr>
      <vt:lpstr>CP_S</vt:lpstr>
      <vt:lpstr>CP_S_1</vt:lpstr>
      <vt:lpstr>CROSS</vt:lpstr>
      <vt:lpstr>cumcbe_ch4</vt:lpstr>
      <vt:lpstr>cumcbe_ch4_b</vt:lpstr>
      <vt:lpstr>cumcbe_ch4_g</vt:lpstr>
      <vt:lpstr>cumcbe_ch4_g_b</vt:lpstr>
      <vt:lpstr>cumcbe_co2</vt:lpstr>
      <vt:lpstr>cumcbe_co2_b</vt:lpstr>
      <vt:lpstr>cumcbe_co2_g</vt:lpstr>
      <vt:lpstr>cumcbe_co2_g_b</vt:lpstr>
      <vt:lpstr>cumcbe_glin</vt:lpstr>
      <vt:lpstr>cumcbe_glin_b</vt:lpstr>
      <vt:lpstr>cumcbe_glin_g</vt:lpstr>
      <vt:lpstr>cumcbe_glin_g_b</vt:lpstr>
      <vt:lpstr>cumcbe_n2o</vt:lpstr>
      <vt:lpstr>cumcbe_n2o_b</vt:lpstr>
      <vt:lpstr>cumcbe_n2o_g</vt:lpstr>
      <vt:lpstr>cumcbe_n2o_g_b</vt:lpstr>
      <vt:lpstr>CURRENCY_NAME</vt:lpstr>
      <vt:lpstr>CURVE_ABOVE</vt:lpstr>
      <vt:lpstr>CURVE_BELOW</vt:lpstr>
      <vt:lpstr>D</vt:lpstr>
      <vt:lpstr>DEN</vt:lpstr>
      <vt:lpstr>DEN_CH4</vt:lpstr>
      <vt:lpstr>DEN_CO2</vt:lpstr>
      <vt:lpstr>DEN_GLIN</vt:lpstr>
      <vt:lpstr>DEN_N2O</vt:lpstr>
      <vt:lpstr>DF</vt:lpstr>
      <vt:lpstr>DFC</vt:lpstr>
      <vt:lpstr>DISTAU</vt:lpstr>
      <vt:lpstr>DR</vt:lpstr>
      <vt:lpstr>DR_1</vt:lpstr>
      <vt:lpstr>DR_NOT_1</vt:lpstr>
      <vt:lpstr>DROP</vt:lpstr>
      <vt:lpstr>e_ch4</vt:lpstr>
      <vt:lpstr>E_CH4_0</vt:lpstr>
      <vt:lpstr>e_ch4_b</vt:lpstr>
      <vt:lpstr>e_ch4_g</vt:lpstr>
      <vt:lpstr>E_CH4_G_0</vt:lpstr>
      <vt:lpstr>e_ch4_g_b</vt:lpstr>
      <vt:lpstr>e_co2</vt:lpstr>
      <vt:lpstr>E_CO2_0</vt:lpstr>
      <vt:lpstr>e_co2_b</vt:lpstr>
      <vt:lpstr>e_co2_g</vt:lpstr>
      <vt:lpstr>E_CO2_G_0</vt:lpstr>
      <vt:lpstr>e_co2_g_b</vt:lpstr>
      <vt:lpstr>E_GLIN_0</vt:lpstr>
      <vt:lpstr>e_glin_g</vt:lpstr>
      <vt:lpstr>E_GLIN_G_0</vt:lpstr>
      <vt:lpstr>e_glin_g_b</vt:lpstr>
      <vt:lpstr>e_n2o</vt:lpstr>
      <vt:lpstr>E_N2O_0</vt:lpstr>
      <vt:lpstr>e_n2o_b</vt:lpstr>
      <vt:lpstr>e_n2o_g</vt:lpstr>
      <vt:lpstr>E_N2O_G_0</vt:lpstr>
      <vt:lpstr>e_n2o_g_b</vt:lpstr>
      <vt:lpstr>eact_per_cap</vt:lpstr>
      <vt:lpstr>eact_per_cap_b</vt:lpstr>
      <vt:lpstr>EMIT_CH4</vt:lpstr>
      <vt:lpstr>EMIT_CH4_1</vt:lpstr>
      <vt:lpstr>EMIT_CO2</vt:lpstr>
      <vt:lpstr>EMIT_CO2_1</vt:lpstr>
      <vt:lpstr>EMIT_GLIN</vt:lpstr>
      <vt:lpstr>EMIT_GLIN_1</vt:lpstr>
      <vt:lpstr>EMIT_N2O</vt:lpstr>
      <vt:lpstr>EMIT_N2O_1</vt:lpstr>
      <vt:lpstr>EMIT_NAME</vt:lpstr>
      <vt:lpstr>EMITF</vt:lpstr>
      <vt:lpstr>EMUC</vt:lpstr>
      <vt:lpstr>EQUITY</vt:lpstr>
      <vt:lpstr>EQUITY_0</vt:lpstr>
      <vt:lpstr>EQUITY_COSTS</vt:lpstr>
      <vt:lpstr>EQUITY_G</vt:lpstr>
      <vt:lpstr>EQUITY_G_0</vt:lpstr>
      <vt:lpstr>EQUITY_PROP</vt:lpstr>
      <vt:lpstr>er_ch4_1_a</vt:lpstr>
      <vt:lpstr>er_ch4_1_b</vt:lpstr>
      <vt:lpstr>er_ch4_a</vt:lpstr>
      <vt:lpstr>er_ch4_b</vt:lpstr>
      <vt:lpstr>er_ch4_not_1_a</vt:lpstr>
      <vt:lpstr>er_ch4_not_1_b</vt:lpstr>
      <vt:lpstr>er_co2_1_a</vt:lpstr>
      <vt:lpstr>er_co2_1_b</vt:lpstr>
      <vt:lpstr>er_co2_a</vt:lpstr>
      <vt:lpstr>er_co2_b</vt:lpstr>
      <vt:lpstr>er_co2_not_1_a</vt:lpstr>
      <vt:lpstr>er_co2_not_1_b</vt:lpstr>
      <vt:lpstr>er_glin_1_a</vt:lpstr>
      <vt:lpstr>er_glin_1_b</vt:lpstr>
      <vt:lpstr>er_glin_a</vt:lpstr>
      <vt:lpstr>er_glin_b</vt:lpstr>
      <vt:lpstr>er_glin_not_1_a</vt:lpstr>
      <vt:lpstr>er_glin_not_1_b</vt:lpstr>
      <vt:lpstr>er_n2o_1_a</vt:lpstr>
      <vt:lpstr>er_n2o_1_b</vt:lpstr>
      <vt:lpstr>er_n2o_a</vt:lpstr>
      <vt:lpstr>er_n2o_b</vt:lpstr>
      <vt:lpstr>er_n2o_not_1_a</vt:lpstr>
      <vt:lpstr>er_n2o_not_1_b</vt:lpstr>
      <vt:lpstr>ER_SCC</vt:lpstr>
      <vt:lpstr>es</vt:lpstr>
      <vt:lpstr>ES_0</vt:lpstr>
      <vt:lpstr>es_b</vt:lpstr>
      <vt:lpstr>es_not_1</vt:lpstr>
      <vt:lpstr>es_not_1_b</vt:lpstr>
      <vt:lpstr>et</vt:lpstr>
      <vt:lpstr>et_1</vt:lpstr>
      <vt:lpstr>et_1_b</vt:lpstr>
      <vt:lpstr>et_b</vt:lpstr>
      <vt:lpstr>et_not_1</vt:lpstr>
      <vt:lpstr>et_not_1_b</vt:lpstr>
      <vt:lpstr>EXC</vt:lpstr>
      <vt:lpstr>EXC_CH4</vt:lpstr>
      <vt:lpstr>EXC_CO2</vt:lpstr>
      <vt:lpstr>EXC_GLIN</vt:lpstr>
      <vt:lpstr>EXC_N2O</vt:lpstr>
      <vt:lpstr>EXF_0</vt:lpstr>
      <vt:lpstr>exf_a</vt:lpstr>
      <vt:lpstr>exf_b</vt:lpstr>
      <vt:lpstr>EXPF_CH4</vt:lpstr>
      <vt:lpstr>EXPF_CH4_NOT_1</vt:lpstr>
      <vt:lpstr>EXPF_GLIN</vt:lpstr>
      <vt:lpstr>EXPF_GLIN_NOT_1</vt:lpstr>
      <vt:lpstr>EXPF_N2O</vt:lpstr>
      <vt:lpstr>EXPF_N2O_NOT_1</vt:lpstr>
      <vt:lpstr>EXPF1_CO2</vt:lpstr>
      <vt:lpstr>EXPF1_CO2_NOT_1</vt:lpstr>
      <vt:lpstr>EXPF2_CO2</vt:lpstr>
      <vt:lpstr>EXPFDIS</vt:lpstr>
      <vt:lpstr>EXPFDIS_1</vt:lpstr>
      <vt:lpstr>EXPFDIS_NOT_1</vt:lpstr>
      <vt:lpstr>EXPFS</vt:lpstr>
      <vt:lpstr>EXPFS_1</vt:lpstr>
      <vt:lpstr>EXPFS_NOT_1</vt:lpstr>
      <vt:lpstr>EXPFT</vt:lpstr>
      <vt:lpstr>EXPFT_NOT_1</vt:lpstr>
      <vt:lpstr>f_ch4</vt:lpstr>
      <vt:lpstr>F_CH4_0</vt:lpstr>
      <vt:lpstr>f_ch4_b</vt:lpstr>
      <vt:lpstr>f_ch4_no_over</vt:lpstr>
      <vt:lpstr>f_ch4_no_over_b</vt:lpstr>
      <vt:lpstr>f_co2</vt:lpstr>
      <vt:lpstr>F_CO2_0</vt:lpstr>
      <vt:lpstr>f_co2_b</vt:lpstr>
      <vt:lpstr>f_glin</vt:lpstr>
      <vt:lpstr>F_GLIN_0</vt:lpstr>
      <vt:lpstr>f_glin_b</vt:lpstr>
      <vt:lpstr>f_n2o</vt:lpstr>
      <vt:lpstr>F_N2O_0</vt:lpstr>
      <vt:lpstr>f_n2o_b</vt:lpstr>
      <vt:lpstr>f_n2o_no_over</vt:lpstr>
      <vt:lpstr>f_n2o_no_over_b</vt:lpstr>
      <vt:lpstr>FRT</vt:lpstr>
      <vt:lpstr>fs</vt:lpstr>
      <vt:lpstr>fs_b</vt:lpstr>
      <vt:lpstr>fs_g</vt:lpstr>
      <vt:lpstr>fs_g_b</vt:lpstr>
      <vt:lpstr>fsd</vt:lpstr>
      <vt:lpstr>FSD_0</vt:lpstr>
      <vt:lpstr>fsd_b</vt:lpstr>
      <vt:lpstr>fsd_g</vt:lpstr>
      <vt:lpstr>fsd_g_b</vt:lpstr>
      <vt:lpstr>fsi</vt:lpstr>
      <vt:lpstr>fsi_b</vt:lpstr>
      <vt:lpstr>fsi_g</vt:lpstr>
      <vt:lpstr>fsi_g_b</vt:lpstr>
      <vt:lpstr>FSLOPE_CH4</vt:lpstr>
      <vt:lpstr>FSLOPE_CO2</vt:lpstr>
      <vt:lpstr>FSLOPE_GLIN</vt:lpstr>
      <vt:lpstr>FSLOPE_N2O</vt:lpstr>
      <vt:lpstr>ft</vt:lpstr>
      <vt:lpstr>FT_0</vt:lpstr>
      <vt:lpstr>ft_b</vt:lpstr>
      <vt:lpstr>gain</vt:lpstr>
      <vt:lpstr>gain_b</vt:lpstr>
      <vt:lpstr>GDP</vt:lpstr>
      <vt:lpstr>GDP_0</vt:lpstr>
      <vt:lpstr>GDP_G</vt:lpstr>
      <vt:lpstr>GDP_G_0</vt:lpstr>
      <vt:lpstr>GDP_G_1</vt:lpstr>
      <vt:lpstr>GDP_G_NOT_1</vt:lpstr>
      <vt:lpstr>GDP_NOT_1</vt:lpstr>
      <vt:lpstr>GDP_PER_CAP</vt:lpstr>
      <vt:lpstr>GDP_PER_CAP_0</vt:lpstr>
      <vt:lpstr>gdp_per_cap_after_costs</vt:lpstr>
      <vt:lpstr>gdp_per_cap_after_costs_b</vt:lpstr>
      <vt:lpstr>GDP_PER_CAP_FOCUS_0</vt:lpstr>
      <vt:lpstr>GDP_PER_CAP_G</vt:lpstr>
      <vt:lpstr>GDP_PER_CAP_G_0</vt:lpstr>
      <vt:lpstr>GLIN_NAME</vt:lpstr>
      <vt:lpstr>GRW</vt:lpstr>
      <vt:lpstr>GRW_1</vt:lpstr>
      <vt:lpstr>GRW_G</vt:lpstr>
      <vt:lpstr>GRW_NOT_1</vt:lpstr>
      <vt:lpstr>i_1</vt:lpstr>
      <vt:lpstr>i_1_b</vt:lpstr>
      <vt:lpstr>I_1_NAME</vt:lpstr>
      <vt:lpstr>i_2</vt:lpstr>
      <vt:lpstr>i_2_b</vt:lpstr>
      <vt:lpstr>I_2_NAME</vt:lpstr>
      <vt:lpstr>i_dis</vt:lpstr>
      <vt:lpstr>i_dis_b</vt:lpstr>
      <vt:lpstr>i_s</vt:lpstr>
      <vt:lpstr>i_s_b</vt:lpstr>
      <vt:lpstr>IBEN_1</vt:lpstr>
      <vt:lpstr>IBEN_2</vt:lpstr>
      <vt:lpstr>IBEN_S</vt:lpstr>
      <vt:lpstr>IES_CH4</vt:lpstr>
      <vt:lpstr>IES_CO2</vt:lpstr>
      <vt:lpstr>IES_GLIN</vt:lpstr>
      <vt:lpstr>IES_N2O</vt:lpstr>
      <vt:lpstr>igdp_1</vt:lpstr>
      <vt:lpstr>igdp_1_b</vt:lpstr>
      <vt:lpstr>igdp_2</vt:lpstr>
      <vt:lpstr>igdp_2_b</vt:lpstr>
      <vt:lpstr>igdp_s</vt:lpstr>
      <vt:lpstr>igdp_s_b</vt:lpstr>
      <vt:lpstr>igdpdis</vt:lpstr>
      <vt:lpstr>igdpdis_1</vt:lpstr>
      <vt:lpstr>igdpdis_1_b</vt:lpstr>
      <vt:lpstr>igdpdis_b</vt:lpstr>
      <vt:lpstr>igdpdis_not_1</vt:lpstr>
      <vt:lpstr>igdpdis_not_1_b</vt:lpstr>
      <vt:lpstr>igdpeqdis</vt:lpstr>
      <vt:lpstr>igdpeqdis_1</vt:lpstr>
      <vt:lpstr>igdpeqdis_1_b</vt:lpstr>
      <vt:lpstr>igdpeqdis_b</vt:lpstr>
      <vt:lpstr>igdpeqdis_not_1</vt:lpstr>
      <vt:lpstr>igdpeqdis_not_1_b</vt:lpstr>
      <vt:lpstr>imp_1</vt:lpstr>
      <vt:lpstr>imp_1_b</vt:lpstr>
      <vt:lpstr>imp_2</vt:lpstr>
      <vt:lpstr>imp_2_b</vt:lpstr>
      <vt:lpstr>imp_s</vt:lpstr>
      <vt:lpstr>imp_s_b</vt:lpstr>
      <vt:lpstr>impmax_1_a</vt:lpstr>
      <vt:lpstr>impmax_1_b</vt:lpstr>
      <vt:lpstr>impmax_2_a</vt:lpstr>
      <vt:lpstr>impmax_2_b</vt:lpstr>
      <vt:lpstr>impmax_s_a</vt:lpstr>
      <vt:lpstr>impmax_s_b</vt:lpstr>
      <vt:lpstr>impred_1_a</vt:lpstr>
      <vt:lpstr>impred_1_b</vt:lpstr>
      <vt:lpstr>impred_2_a</vt:lpstr>
      <vt:lpstr>impred_2_b</vt:lpstr>
      <vt:lpstr>impred_s_a</vt:lpstr>
      <vt:lpstr>impred_s_b</vt:lpstr>
      <vt:lpstr>IND</vt:lpstr>
      <vt:lpstr>IPOW_1</vt:lpstr>
      <vt:lpstr>IPOW_2</vt:lpstr>
      <vt:lpstr>IPOW_S</vt:lpstr>
      <vt:lpstr>IPOWDIS</vt:lpstr>
      <vt:lpstr>iref_1</vt:lpstr>
      <vt:lpstr>iref_1_b</vt:lpstr>
      <vt:lpstr>iref_2</vt:lpstr>
      <vt:lpstr>iref_2_b</vt:lpstr>
      <vt:lpstr>iref_s</vt:lpstr>
      <vt:lpstr>iref_s_b</vt:lpstr>
      <vt:lpstr>IREFEQDIS</vt:lpstr>
      <vt:lpstr>ISAT</vt:lpstr>
      <vt:lpstr>isat_1</vt:lpstr>
      <vt:lpstr>isat_1_b</vt:lpstr>
      <vt:lpstr>isat_1_per_cap</vt:lpstr>
      <vt:lpstr>isat_1_per_cap_b</vt:lpstr>
      <vt:lpstr>isat_2</vt:lpstr>
      <vt:lpstr>isat_2_b</vt:lpstr>
      <vt:lpstr>isat_2_per_cap</vt:lpstr>
      <vt:lpstr>isat_2_per_cap_b</vt:lpstr>
      <vt:lpstr>isat_s</vt:lpstr>
      <vt:lpstr>isat_s_b</vt:lpstr>
      <vt:lpstr>isat_s_per_cap</vt:lpstr>
      <vt:lpstr>isat_s_per_cap_b</vt:lpstr>
      <vt:lpstr>isatdis</vt:lpstr>
      <vt:lpstr>isatdis_b</vt:lpstr>
      <vt:lpstr>isatdis_per_cap</vt:lpstr>
      <vt:lpstr>isatdis_per_cap_b</vt:lpstr>
      <vt:lpstr>ISATG</vt:lpstr>
      <vt:lpstr>istart_1_a</vt:lpstr>
      <vt:lpstr>istart_1_b</vt:lpstr>
      <vt:lpstr>istart_2_a</vt:lpstr>
      <vt:lpstr>istart_2_b</vt:lpstr>
      <vt:lpstr>istart_s_a</vt:lpstr>
      <vt:lpstr>istart_s_b</vt:lpstr>
      <vt:lpstr>iyears_1_a</vt:lpstr>
      <vt:lpstr>iyears_1_b</vt:lpstr>
      <vt:lpstr>iyears_2_a</vt:lpstr>
      <vt:lpstr>iyears_2_b</vt:lpstr>
      <vt:lpstr>iyears_s_a</vt:lpstr>
      <vt:lpstr>iyears_s_b</vt:lpstr>
      <vt:lpstr>LAT</vt:lpstr>
      <vt:lpstr>LAT_G</vt:lpstr>
      <vt:lpstr>LEARN</vt:lpstr>
      <vt:lpstr>learnfac_ch4</vt:lpstr>
      <vt:lpstr>learnfac_ch4_b</vt:lpstr>
      <vt:lpstr>learnfac_co2</vt:lpstr>
      <vt:lpstr>learnfac_co2_b</vt:lpstr>
      <vt:lpstr>learnfac_glin</vt:lpstr>
      <vt:lpstr>learnfac_glin_b</vt:lpstr>
      <vt:lpstr>learnfac_n2o</vt:lpstr>
      <vt:lpstr>learnfac_n2o_b</vt:lpstr>
      <vt:lpstr>mc_ch4</vt:lpstr>
      <vt:lpstr>mc_ch4_b</vt:lpstr>
      <vt:lpstr>mc_co2</vt:lpstr>
      <vt:lpstr>mc_co2_b</vt:lpstr>
      <vt:lpstr>mc_glin</vt:lpstr>
      <vt:lpstr>mc_glin_b</vt:lpstr>
      <vt:lpstr>mc_n2o</vt:lpstr>
      <vt:lpstr>mc_n2o_b</vt:lpstr>
      <vt:lpstr>MODEL_NAME</vt:lpstr>
      <vt:lpstr>NF_0</vt:lpstr>
      <vt:lpstr>nte_ch4</vt:lpstr>
      <vt:lpstr>NTE_CH4_0</vt:lpstr>
      <vt:lpstr>nte_ch4_b</vt:lpstr>
      <vt:lpstr>nte_glin</vt:lpstr>
      <vt:lpstr>NTE_GLIN_0</vt:lpstr>
      <vt:lpstr>nte_glin_b</vt:lpstr>
      <vt:lpstr>nte_n2o</vt:lpstr>
      <vt:lpstr>NTE_N2O_0</vt:lpstr>
      <vt:lpstr>nte_n2o_b</vt:lpstr>
      <vt:lpstr>occur_dis</vt:lpstr>
      <vt:lpstr>occur_dis_1</vt:lpstr>
      <vt:lpstr>occur_dis_1_b</vt:lpstr>
      <vt:lpstr>occur_dis_b</vt:lpstr>
      <vt:lpstr>occur_dis_not_1</vt:lpstr>
      <vt:lpstr>occur_dis_not_1_b</vt:lpstr>
      <vt:lpstr>OCCUR_SCC</vt:lpstr>
      <vt:lpstr>OCEAN_PROP</vt:lpstr>
      <vt:lpstr>over_ch4</vt:lpstr>
      <vt:lpstr>over_ch4_b</vt:lpstr>
      <vt:lpstr>over_n2o</vt:lpstr>
      <vt:lpstr>over_n2o_b</vt:lpstr>
      <vt:lpstr>pcdat</vt:lpstr>
      <vt:lpstr>pcdat_b</vt:lpstr>
      <vt:lpstr>pcdat_g</vt:lpstr>
      <vt:lpstr>pcdat_g_ab</vt:lpstr>
      <vt:lpstr>pcdat_g_b</vt:lpstr>
      <vt:lpstr>pcdat_gt</vt:lpstr>
      <vt:lpstr>pcdat_gt_b</vt:lpstr>
      <vt:lpstr>pcdt</vt:lpstr>
      <vt:lpstr>pcdt_b</vt:lpstr>
      <vt:lpstr>pcdt_g</vt:lpstr>
      <vt:lpstr>pcdt_g_ab</vt:lpstr>
      <vt:lpstr>pcdt_g_b</vt:lpstr>
      <vt:lpstr>pct</vt:lpstr>
      <vt:lpstr>pct_b</vt:lpstr>
      <vt:lpstr>pct_g</vt:lpstr>
      <vt:lpstr>pct_g_ab</vt:lpstr>
      <vt:lpstr>pct_g_b</vt:lpstr>
      <vt:lpstr>pct_per_cap</vt:lpstr>
      <vt:lpstr>pct_per_cap_b</vt:lpstr>
      <vt:lpstr>PDIS</vt:lpstr>
      <vt:lpstr>PIC</vt:lpstr>
      <vt:lpstr>PIC_CH4</vt:lpstr>
      <vt:lpstr>PIC_CO2</vt:lpstr>
      <vt:lpstr>PIC_GLIN</vt:lpstr>
      <vt:lpstr>PIC_N2O</vt:lpstr>
      <vt:lpstr>plateau_1_a</vt:lpstr>
      <vt:lpstr>plateau_1_b</vt:lpstr>
      <vt:lpstr>plateau_2_a</vt:lpstr>
      <vt:lpstr>plateau_2_b</vt:lpstr>
      <vt:lpstr>plateau_s_a</vt:lpstr>
      <vt:lpstr>plateau_s_b</vt:lpstr>
      <vt:lpstr>POLE</vt:lpstr>
      <vt:lpstr>POP</vt:lpstr>
      <vt:lpstr>POP_0</vt:lpstr>
      <vt:lpstr>POP_G</vt:lpstr>
      <vt:lpstr>POP_G_0</vt:lpstr>
      <vt:lpstr>POP_G_1</vt:lpstr>
      <vt:lpstr>POP_G_NOT_1</vt:lpstr>
      <vt:lpstr>POP_GRW</vt:lpstr>
      <vt:lpstr>POP_GRW_1</vt:lpstr>
      <vt:lpstr>POP_GRW_G</vt:lpstr>
      <vt:lpstr>POP_GRW_NOT_1</vt:lpstr>
      <vt:lpstr>POP_NOT_1</vt:lpstr>
      <vt:lpstr>POP_UNIT_NAME</vt:lpstr>
      <vt:lpstr>POW_1</vt:lpstr>
      <vt:lpstr>POW_2</vt:lpstr>
      <vt:lpstr>POW_S</vt:lpstr>
      <vt:lpstr>prob_dis</vt:lpstr>
      <vt:lpstr>prob_dis_b</vt:lpstr>
      <vt:lpstr>pse_a</vt:lpstr>
      <vt:lpstr>pse_b</vt:lpstr>
      <vt:lpstr>pstart_1_a</vt:lpstr>
      <vt:lpstr>pstart_1_b</vt:lpstr>
      <vt:lpstr>pstart_2_a</vt:lpstr>
      <vt:lpstr>pstart_2_b</vt:lpstr>
      <vt:lpstr>pstart_s_a</vt:lpstr>
      <vt:lpstr>pstart_s_b</vt:lpstr>
      <vt:lpstr>PTP</vt:lpstr>
      <vt:lpstr>pyears_1_a</vt:lpstr>
      <vt:lpstr>pyears_1_b</vt:lpstr>
      <vt:lpstr>pyears_2_a</vt:lpstr>
      <vt:lpstr>pyears_2_b</vt:lpstr>
      <vt:lpstr>pyears_s_a</vt:lpstr>
      <vt:lpstr>pyears_s_b</vt:lpstr>
      <vt:lpstr>Q0_CH4</vt:lpstr>
      <vt:lpstr>Q0_CO2</vt:lpstr>
      <vt:lpstr>Q0_GLIN</vt:lpstr>
      <vt:lpstr>Q0_N2O</vt:lpstr>
      <vt:lpstr>Q0_PROP_CH4</vt:lpstr>
      <vt:lpstr>Q0_PROP_CO2</vt:lpstr>
      <vt:lpstr>Q0_PROP_GLIN</vt:lpstr>
      <vt:lpstr>Q0_PROP_INIT_CH4</vt:lpstr>
      <vt:lpstr>Q0_PROP_INIT_CH4_1</vt:lpstr>
      <vt:lpstr>Q0_PROP_INIT_CO2</vt:lpstr>
      <vt:lpstr>Q0_PROP_INIT_CO2_1</vt:lpstr>
      <vt:lpstr>Q0_PROP_INIT_GLIN</vt:lpstr>
      <vt:lpstr>Q0_PROP_INIT_GLIN_1</vt:lpstr>
      <vt:lpstr>Q0_PROP_INIT_N2O</vt:lpstr>
      <vt:lpstr>Q0_PROP_INIT_N2O_1</vt:lpstr>
      <vt:lpstr>Q0_PROP_N2O</vt:lpstr>
      <vt:lpstr>Q0F</vt:lpstr>
      <vt:lpstr>Q0PROPG</vt:lpstr>
      <vt:lpstr>Q0PROPMULT</vt:lpstr>
      <vt:lpstr>QMAX_CH4</vt:lpstr>
      <vt:lpstr>QMAX_CO2</vt:lpstr>
      <vt:lpstr>QMAX_GLIN</vt:lpstr>
      <vt:lpstr>QMAX_MINUS_Q0_PROP_CH4</vt:lpstr>
      <vt:lpstr>QMAX_MINUS_Q0_PROP_CO2</vt:lpstr>
      <vt:lpstr>QMAX_MINUS_Q0_PROP_GLIN</vt:lpstr>
      <vt:lpstr>QMAX_MINUS_Q0_PROP_INIT_CH4</vt:lpstr>
      <vt:lpstr>QMAX_MINUS_Q0_PROP_INIT_CO2</vt:lpstr>
      <vt:lpstr>QMAX_MINUS_Q0_PROP_INIT_GLIN</vt:lpstr>
      <vt:lpstr>QMAX_MINUS_Q0_PROP_INIT_N2O</vt:lpstr>
      <vt:lpstr>QMAX_MINUS_Q0_PROP_N2O</vt:lpstr>
      <vt:lpstr>QMAX_MINUS_Q0_PROPG</vt:lpstr>
      <vt:lpstr>QMAX_MINUS_Q0_PROPMULT</vt:lpstr>
      <vt:lpstr>QMAX_N2O</vt:lpstr>
      <vt:lpstr>R_CODE</vt:lpstr>
      <vt:lpstr>R_CODE_1</vt:lpstr>
      <vt:lpstr>R_CODE_NOT_1</vt:lpstr>
      <vt:lpstr>R_NAME</vt:lpstr>
      <vt:lpstr>R_NAME_1</vt:lpstr>
      <vt:lpstr>RAND_DIS</vt:lpstr>
      <vt:lpstr>rcons_1_per_cap</vt:lpstr>
      <vt:lpstr>rcons_1_per_cap_b</vt:lpstr>
      <vt:lpstr>rcons_2_per_cap</vt:lpstr>
      <vt:lpstr>rcons_2_per_cap_b</vt:lpstr>
      <vt:lpstr>rcons_s_per_cap</vt:lpstr>
      <vt:lpstr>rcons_s_per_cap_b</vt:lpstr>
      <vt:lpstr>rconsdis_per_cap</vt:lpstr>
      <vt:lpstr>rconsdis_per_cap_b</vt:lpstr>
      <vt:lpstr>re_ch4</vt:lpstr>
      <vt:lpstr>RE_CH4_0</vt:lpstr>
      <vt:lpstr>re_ch4_b</vt:lpstr>
      <vt:lpstr>re_co2</vt:lpstr>
      <vt:lpstr>RE_CO2_0</vt:lpstr>
      <vt:lpstr>re_co2_b</vt:lpstr>
      <vt:lpstr>RE_CO2_NO_CCF_0</vt:lpstr>
      <vt:lpstr>re_co2_no_ccff</vt:lpstr>
      <vt:lpstr>re_co2_no_ccff_b</vt:lpstr>
      <vt:lpstr>re_glin</vt:lpstr>
      <vt:lpstr>RE_GLIN_0</vt:lpstr>
      <vt:lpstr>re_glin_b</vt:lpstr>
      <vt:lpstr>re_n2o</vt:lpstr>
      <vt:lpstr>RE_N2O_0</vt:lpstr>
      <vt:lpstr>re_n2o_b</vt:lpstr>
      <vt:lpstr>ref_ch4</vt:lpstr>
      <vt:lpstr>ref_ch4_b</vt:lpstr>
      <vt:lpstr>ref_co2</vt:lpstr>
      <vt:lpstr>ref_co2_b</vt:lpstr>
      <vt:lpstr>ref_glin</vt:lpstr>
      <vt:lpstr>ref_glin_b</vt:lpstr>
      <vt:lpstr>ref_n2o</vt:lpstr>
      <vt:lpstr>ref_n2o_b</vt:lpstr>
      <vt:lpstr>RES_CH4</vt:lpstr>
      <vt:lpstr>RES_CO2</vt:lpstr>
      <vt:lpstr>RES_GLIN</vt:lpstr>
      <vt:lpstr>RES_N2O</vt:lpstr>
      <vt:lpstr>rgdp_1_per_cap</vt:lpstr>
      <vt:lpstr>rgdp_1_per_cap_b</vt:lpstr>
      <vt:lpstr>rgdp_2_per_cap</vt:lpstr>
      <vt:lpstr>rgdp_2_per_cap_b</vt:lpstr>
      <vt:lpstr>rgdp_s_per_cap</vt:lpstr>
      <vt:lpstr>rgdp_s_per_cap_b</vt:lpstr>
      <vt:lpstr>rgdpdis_per_cap</vt:lpstr>
      <vt:lpstr>rgdpdis_per_cap_b</vt:lpstr>
      <vt:lpstr>RLO</vt:lpstr>
      <vt:lpstr>rt</vt:lpstr>
      <vt:lpstr>RT_ADJ</vt:lpstr>
      <vt:lpstr>RT_ADJ_1</vt:lpstr>
      <vt:lpstr>rt_b</vt:lpstr>
      <vt:lpstr>rt_g</vt:lpstr>
      <vt:lpstr>RT_G_0</vt:lpstr>
      <vt:lpstr>rt_g_b</vt:lpstr>
      <vt:lpstr>rtl</vt:lpstr>
      <vt:lpstr>RTL_0</vt:lpstr>
      <vt:lpstr>rtl_b</vt:lpstr>
      <vt:lpstr>rtl_g</vt:lpstr>
      <vt:lpstr>RTL_G_0</vt:lpstr>
      <vt:lpstr>rtl_g_b</vt:lpstr>
      <vt:lpstr>rto_g</vt:lpstr>
      <vt:lpstr>RTO_G_0</vt:lpstr>
      <vt:lpstr>rto_g_b</vt:lpstr>
      <vt:lpstr>s</vt:lpstr>
      <vt:lpstr>S_0</vt:lpstr>
      <vt:lpstr>s_b</vt:lpstr>
      <vt:lpstr>SAVE</vt:lpstr>
      <vt:lpstr>SCAL</vt:lpstr>
      <vt:lpstr>SE_0</vt:lpstr>
      <vt:lpstr>SENS</vt:lpstr>
      <vt:lpstr>sfx</vt:lpstr>
      <vt:lpstr>SFX_0</vt:lpstr>
      <vt:lpstr>sfx_b</vt:lpstr>
      <vt:lpstr>sfx_g</vt:lpstr>
      <vt:lpstr>SFX_G_0</vt:lpstr>
      <vt:lpstr>sfx_g_b</vt:lpstr>
      <vt:lpstr>Shock</vt:lpstr>
      <vt:lpstr>SLA</vt:lpstr>
      <vt:lpstr>SLTAU</vt:lpstr>
      <vt:lpstr>SLTEMP</vt:lpstr>
      <vt:lpstr>STAY_CO2</vt:lpstr>
      <vt:lpstr>STIM_CH4</vt:lpstr>
      <vt:lpstr>STIM_GLIN</vt:lpstr>
      <vt:lpstr>STIM_N2O</vt:lpstr>
      <vt:lpstr>tac</vt:lpstr>
      <vt:lpstr>tac_ab</vt:lpstr>
      <vt:lpstr>tac_b</vt:lpstr>
      <vt:lpstr>tc_ch4</vt:lpstr>
      <vt:lpstr>tc_ch4_b</vt:lpstr>
      <vt:lpstr>tc_co2</vt:lpstr>
      <vt:lpstr>tc_co2_b</vt:lpstr>
      <vt:lpstr>tc_glin</vt:lpstr>
      <vt:lpstr>tc_glin_b</vt:lpstr>
      <vt:lpstr>tc_n2o</vt:lpstr>
      <vt:lpstr>tc_n2o_b</vt:lpstr>
      <vt:lpstr>TCAL</vt:lpstr>
      <vt:lpstr>TCQ0_CH4</vt:lpstr>
      <vt:lpstr>TCQ0_CO2</vt:lpstr>
      <vt:lpstr>TCQ0_GLIN</vt:lpstr>
      <vt:lpstr>TCQ0_N2O</vt:lpstr>
      <vt:lpstr>TCR</vt:lpstr>
      <vt:lpstr>tct</vt:lpstr>
      <vt:lpstr>tct_b</vt:lpstr>
      <vt:lpstr>tct_per_cap</vt:lpstr>
      <vt:lpstr>tct_per_cap_b</vt:lpstr>
      <vt:lpstr>td</vt:lpstr>
      <vt:lpstr>td_ab</vt:lpstr>
      <vt:lpstr>td_b</vt:lpstr>
      <vt:lpstr>TDIS</vt:lpstr>
      <vt:lpstr>tdu</vt:lpstr>
      <vt:lpstr>tdu_b</vt:lpstr>
      <vt:lpstr>te_a</vt:lpstr>
      <vt:lpstr>te_ab</vt:lpstr>
      <vt:lpstr>te_b</vt:lpstr>
      <vt:lpstr>tea_ch4</vt:lpstr>
      <vt:lpstr>TEA_CH4_0</vt:lpstr>
      <vt:lpstr>tea_ch4_b</vt:lpstr>
      <vt:lpstr>tea_ch4_not_1</vt:lpstr>
      <vt:lpstr>tea_ch4_not_1_b</vt:lpstr>
      <vt:lpstr>tea_co2</vt:lpstr>
      <vt:lpstr>TEA_CO2_0</vt:lpstr>
      <vt:lpstr>tea_co2_b</vt:lpstr>
      <vt:lpstr>tea_co2_not_1</vt:lpstr>
      <vt:lpstr>tea_co2_not_1_b</vt:lpstr>
      <vt:lpstr>tea_glin</vt:lpstr>
      <vt:lpstr>TEA_GLIN_0</vt:lpstr>
      <vt:lpstr>tea_glin_b</vt:lpstr>
      <vt:lpstr>tea_glin_not_1</vt:lpstr>
      <vt:lpstr>tea_glin_not_1_b</vt:lpstr>
      <vt:lpstr>tea_n2o</vt:lpstr>
      <vt:lpstr>TEA_N2O_0</vt:lpstr>
      <vt:lpstr>tea_n2o_b</vt:lpstr>
      <vt:lpstr>tea_n2o_not_1</vt:lpstr>
      <vt:lpstr>tea_n2o_not_1_b</vt:lpstr>
      <vt:lpstr>teay_ch4</vt:lpstr>
      <vt:lpstr>teay_ch4_b</vt:lpstr>
      <vt:lpstr>teay_co2</vt:lpstr>
      <vt:lpstr>teay_co2_b</vt:lpstr>
      <vt:lpstr>teay_co2_not_1</vt:lpstr>
      <vt:lpstr>teay_co2_not_1_b</vt:lpstr>
      <vt:lpstr>teay_glin</vt:lpstr>
      <vt:lpstr>teay_glin_b</vt:lpstr>
      <vt:lpstr>teay_n2o</vt:lpstr>
      <vt:lpstr>teay_n2o_b</vt:lpstr>
      <vt:lpstr>thipf_ch4_b</vt:lpstr>
      <vt:lpstr>thispf_ch4</vt:lpstr>
      <vt:lpstr>thispf_co2</vt:lpstr>
      <vt:lpstr>thispf_co2_b</vt:lpstr>
      <vt:lpstr>thispf_glin</vt:lpstr>
      <vt:lpstr>thispf_glin_b</vt:lpstr>
      <vt:lpstr>thispf_n2o</vt:lpstr>
      <vt:lpstr>thispf_n2o_b</vt:lpstr>
      <vt:lpstr>tpc</vt:lpstr>
      <vt:lpstr>tpc_ab</vt:lpstr>
      <vt:lpstr>tpc_b</vt:lpstr>
      <vt:lpstr>UDF</vt:lpstr>
      <vt:lpstr>UDFT</vt:lpstr>
      <vt:lpstr>VERSION</vt:lpstr>
      <vt:lpstr>W_1</vt:lpstr>
      <vt:lpstr>W_2</vt:lpstr>
      <vt:lpstr>W_S</vt:lpstr>
      <vt:lpstr>wacdt</vt:lpstr>
      <vt:lpstr>wacdt_b</vt:lpstr>
      <vt:lpstr>wacdt_g</vt:lpstr>
      <vt:lpstr>wacdt_g_ab</vt:lpstr>
      <vt:lpstr>wacdt_g_b</vt:lpstr>
      <vt:lpstr>wact</vt:lpstr>
      <vt:lpstr>wact_b</vt:lpstr>
      <vt:lpstr>wact_g</vt:lpstr>
      <vt:lpstr>wact_g_ab</vt:lpstr>
      <vt:lpstr>wact_g_b</vt:lpstr>
      <vt:lpstr>wact_per_cap</vt:lpstr>
      <vt:lpstr>wact_per_cap_b</vt:lpstr>
      <vt:lpstr>WDIS</vt:lpstr>
      <vt:lpstr>WF</vt:lpstr>
      <vt:lpstr>widt</vt:lpstr>
      <vt:lpstr>widt_b</vt:lpstr>
      <vt:lpstr>widt_g</vt:lpstr>
      <vt:lpstr>widt_g_ab</vt:lpstr>
      <vt:lpstr>widt_g_b</vt:lpstr>
      <vt:lpstr>WINCF</vt:lpstr>
      <vt:lpstr>wit</vt:lpstr>
      <vt:lpstr>wit_b</vt:lpstr>
      <vt:lpstr>wit_g</vt:lpstr>
      <vt:lpstr>wit_g_ab</vt:lpstr>
      <vt:lpstr>wit_g_b</vt:lpstr>
      <vt:lpstr>wtct_per_cap</vt:lpstr>
      <vt:lpstr>wtct_per_cap_b</vt:lpstr>
      <vt:lpstr>Y</vt:lpstr>
      <vt:lpstr>Y_0</vt:lpstr>
      <vt:lpstr>Y_1</vt:lpstr>
      <vt:lpstr>Y_HI</vt:lpstr>
      <vt:lpstr>Y_LAST</vt:lpstr>
      <vt:lpstr>Y_LO</vt:lpstr>
      <vt:lpstr>Y_NOT_1</vt:lpstr>
      <vt:lpstr>Y_SCC</vt:lpstr>
      <vt:lpstr>YAGG</vt:lpstr>
      <vt:lpstr>YMINUSY0</vt:lpstr>
      <vt:lpstr>YMINUSY0_LAST</vt:lpstr>
      <vt:lpstr>YP</vt:lpstr>
      <vt:lpstr>YP_1</vt:lpstr>
      <vt:lpstr>YP_NOT_1</vt:lpstr>
      <vt:lpstr>ZC_CH4</vt:lpstr>
      <vt:lpstr>ZC_CH4_1</vt:lpstr>
      <vt:lpstr>ZC_CH4_NOT_1</vt:lpstr>
      <vt:lpstr>ZC_CO2</vt:lpstr>
      <vt:lpstr>ZC_CO2_1</vt:lpstr>
      <vt:lpstr>ZC_CO2_NOT_1</vt:lpstr>
      <vt:lpstr>ZC_GLIN</vt:lpstr>
      <vt:lpstr>ZC_GLIN_1</vt:lpstr>
      <vt:lpstr>ZC_GLIN_NOT_1</vt:lpstr>
      <vt:lpstr>ZC_N2O</vt:lpstr>
      <vt:lpstr>ZC_N2O_1</vt:lpstr>
      <vt:lpstr>ZC_N2O_NOT_1</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2012-11-16T17:51:15Z</dcterms:created>
  <dcterms:modified xsi:type="dcterms:W3CDTF">2021-01-29T22:48:02Z</dcterms:modified>
</cp:coreProperties>
</file>