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y" sheetId="1" r:id="rId4"/>
    <sheet state="visible" name="Waiting" sheetId="2" r:id="rId5"/>
    <sheet state="hidden" name="Sheet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2">
      <text>
        <t xml:space="preserve">hey @rfranklin@ndtgroup.ca  the format need to be with the negative number ##.########, -##.########
this format does not work on monday.com unfortunately. Can you please convert them?
_Assigned to Ricardo Franklin_
	-Simon Susac
Should be like 54°55'0.272",  -114°12'2.728"? for example
	-Ricardo Franklin
No, it should be in the format that I just pasted here
	-Simon Susac
Ok, I understood wrong. I am working on that
	-Ricardo Franklin</t>
      </text>
    </comment>
  </commentList>
</comments>
</file>

<file path=xl/sharedStrings.xml><?xml version="1.0" encoding="utf-8"?>
<sst xmlns="http://schemas.openxmlformats.org/spreadsheetml/2006/main" count="1760" uniqueCount="622">
  <si>
    <t>Site Name</t>
  </si>
  <si>
    <t>Milepost</t>
  </si>
  <si>
    <t>Status</t>
  </si>
  <si>
    <t>Year</t>
  </si>
  <si>
    <t>Client</t>
  </si>
  <si>
    <t>Feature Type</t>
  </si>
  <si>
    <t>Location</t>
  </si>
  <si>
    <t>NDE Area</t>
  </si>
  <si>
    <t>Estimated NDE Length</t>
  </si>
  <si>
    <t>Joint Length</t>
  </si>
  <si>
    <t>NWT</t>
  </si>
  <si>
    <t>GW</t>
  </si>
  <si>
    <t>TNPI GW</t>
  </si>
  <si>
    <t>Folder Moved</t>
  </si>
  <si>
    <t>E024223_NPS10_RedwaterLat_GWD5610_MPID186438</t>
  </si>
  <si>
    <t>New Site</t>
  </si>
  <si>
    <t>TC Energy</t>
  </si>
  <si>
    <t>Dent</t>
  </si>
  <si>
    <t>54.91674227, -114.2007578</t>
  </si>
  <si>
    <t>4.72 to 7.99</t>
  </si>
  <si>
    <t>E024223_NPS10_RedwaterLat_GWD87840_MPID186439</t>
  </si>
  <si>
    <t>54.01977498, -113.1468341</t>
  </si>
  <si>
    <t>14.09 to 16.09</t>
  </si>
  <si>
    <t>E024223_NPS12_FlatLakeLat_GWD18450_MPID186939</t>
  </si>
  <si>
    <t>54.39969454, -112.5527756</t>
  </si>
  <si>
    <t>5.251 to 7.806</t>
  </si>
  <si>
    <t>E024224_NPS16_RedwaterLatExt_GWD7250_MPID204896</t>
  </si>
  <si>
    <t>EXT Corrosion</t>
  </si>
  <si>
    <t>54.08983231, -112.4690653</t>
  </si>
  <si>
    <t>0 to 16.932</t>
  </si>
  <si>
    <t>E024223_NPS6_ChardLat_MPID211806 _Lac La Biche 4 ECEA Dig #1</t>
  </si>
  <si>
    <t>55.847652, -110.682268</t>
  </si>
  <si>
    <t>-</t>
  </si>
  <si>
    <t>E024223_NPS6_ChardLat_MIPD211807_Lac La Biche 4 ECEA Dig #2</t>
  </si>
  <si>
    <t>55.853507, -110.706307</t>
  </si>
  <si>
    <t>E024223_NPS8_GlendonLatLoop_MPID211809_Lac La Biche 5 ECEA Dig #1</t>
  </si>
  <si>
    <t>54.332344, -111.202619</t>
  </si>
  <si>
    <t>E024223_NPS8_GlendonLatLoop_MPID211810_Lac La Biche 5 ECEA Dig #2</t>
  </si>
  <si>
    <t>54.326252, -111.196286</t>
  </si>
  <si>
    <t>E024223_NPS6_GregoireLatSeg1_MPID211812_Lac La Biche 3 ECEA Dig #1</t>
  </si>
  <si>
    <t>56.422892, -111.23064</t>
  </si>
  <si>
    <t>E024223_NPS8_KinosisLat_MPID211813_Lac La Biche 3 ECEA Dig #2</t>
  </si>
  <si>
    <t>56.181509, -110.81343</t>
  </si>
  <si>
    <t>E024223_NPS6_GregoireLatSeg1_MPID211814_Lac La Biche 3 ECEA Dig #3</t>
  </si>
  <si>
    <t>56.427476, -111.302316</t>
  </si>
  <si>
    <t>E024223_NPS4_CheechamWestLat_MPID211817_Lac La Biche 3 ECEA Dig #4</t>
  </si>
  <si>
    <t>56.278329, -110.838935</t>
  </si>
  <si>
    <t>E024223_NPS10_Redwater_Lateral_GWD22670_MPID212819</t>
  </si>
  <si>
    <t>Manufacturing</t>
  </si>
  <si>
    <t>54.71093184, -114.0820797</t>
  </si>
  <si>
    <t>-2 to 2</t>
  </si>
  <si>
    <t>E024223_NPS10_Redwater_Lateral_GWD91830_MPID212820</t>
  </si>
  <si>
    <t>53.98856264, -113.0801042</t>
  </si>
  <si>
    <t>E024223_NPS10_Redwater_Lateral_GWD92430_MPID212821</t>
  </si>
  <si>
    <t>53.98116456, -113.0773751</t>
  </si>
  <si>
    <t>E024224_NPS16_PeerlessLakeLat_GWD17960_MPID214468</t>
  </si>
  <si>
    <t>56.89266946, -114.5378726</t>
  </si>
  <si>
    <t>0 to 11.33</t>
  </si>
  <si>
    <t>E024223_NPS10_RedwaterLat_GWD7420_MPID215188</t>
  </si>
  <si>
    <t>54.90401607, -114.1757129</t>
  </si>
  <si>
    <t>0 to 9.39</t>
  </si>
  <si>
    <t>E024224_NPS10_RedwaterLat_GWD48360_MPID215903</t>
  </si>
  <si>
    <t>SCC</t>
  </si>
  <si>
    <t>54.40141321, -113.8307322</t>
  </si>
  <si>
    <t>0 to 17.01</t>
  </si>
  <si>
    <t>E024223_NPS10_RedwaterLat_GWD10520_MPID216464</t>
  </si>
  <si>
    <t>54.87268033, -114.1395191</t>
  </si>
  <si>
    <t>0 to 9.28</t>
  </si>
  <si>
    <t>MP-293.16-2021</t>
  </si>
  <si>
    <t>TNPI</t>
  </si>
  <si>
    <t>Metal Loss</t>
  </si>
  <si>
    <t>43.94641332, -78.66462613</t>
  </si>
  <si>
    <t>0 to 13.381</t>
  </si>
  <si>
    <t>MP-293.25-2021</t>
  </si>
  <si>
    <t>43.94682594, -78.66624947</t>
  </si>
  <si>
    <t>0 to 13.298</t>
  </si>
  <si>
    <t>MP-294.05-2021</t>
  </si>
  <si>
    <t>43.94972252, -78.68175307</t>
  </si>
  <si>
    <t>0 to 13.058</t>
  </si>
  <si>
    <t>MP-296.62-2021</t>
  </si>
  <si>
    <t>43.94532066, -78.73164364</t>
  </si>
  <si>
    <t>0 to 12.486</t>
  </si>
  <si>
    <t>MP-300.52-2021</t>
  </si>
  <si>
    <t>43.93430551, -78.80793771</t>
  </si>
  <si>
    <t>0 to 14.330</t>
  </si>
  <si>
    <t>MP-303.99-2021</t>
  </si>
  <si>
    <t>43.9353103, -78.87347451</t>
  </si>
  <si>
    <t>0 to 13.171</t>
  </si>
  <si>
    <t>MP-309.62-2021</t>
  </si>
  <si>
    <t>43.92751632, -78.9870146</t>
  </si>
  <si>
    <t>0 to 12.992</t>
  </si>
  <si>
    <t>MP-319.15-2021</t>
  </si>
  <si>
    <t>43.86112534, -79.14632013</t>
  </si>
  <si>
    <t>0 to 12.650</t>
  </si>
  <si>
    <t>MP-322.42-2021</t>
  </si>
  <si>
    <t>43.83841431, -79.20201421</t>
  </si>
  <si>
    <t>0 to 13.638</t>
  </si>
  <si>
    <t>MP-322.46-2021</t>
  </si>
  <si>
    <t>43.83805419, -79.20288415</t>
  </si>
  <si>
    <t>0 to 11.206</t>
  </si>
  <si>
    <t>MP-323.18-2021</t>
  </si>
  <si>
    <t>43.83301728, -79.21350538</t>
  </si>
  <si>
    <t>0 to 13.514</t>
  </si>
  <si>
    <t>MP-323.59-2021</t>
  </si>
  <si>
    <t>43.82974177, -79.22183582</t>
  </si>
  <si>
    <t>0 to 12.717</t>
  </si>
  <si>
    <t>MP-324.63-2021</t>
  </si>
  <si>
    <t>43.82399694, -79.24142644</t>
  </si>
  <si>
    <t>0 to 12.148</t>
  </si>
  <si>
    <t>MP-327.65-2021</t>
  </si>
  <si>
    <t>43.8113955, -79.29858118</t>
  </si>
  <si>
    <t>MP-327.80-2021</t>
  </si>
  <si>
    <t>Interacting - EXT ML</t>
  </si>
  <si>
    <t>43.81060252, -79.30149924</t>
  </si>
  <si>
    <t>MP-328.82-2021</t>
  </si>
  <si>
    <t>43.8063502, -79.32021443</t>
  </si>
  <si>
    <t>MP-329.13-2021</t>
  </si>
  <si>
    <t>43.80500021, -79.32618339</t>
  </si>
  <si>
    <t>MP-335.55-SL-2021</t>
  </si>
  <si>
    <t>Vintage Sleeve</t>
  </si>
  <si>
    <t>43.77762058, -79.44380673</t>
  </si>
  <si>
    <t>MP-347.49-2021</t>
  </si>
  <si>
    <t>Weld Anomaly</t>
  </si>
  <si>
    <t>43.66402797, -79.5878966</t>
  </si>
  <si>
    <t>MP-352.43-2021</t>
  </si>
  <si>
    <t>43.60709107, -79.61021655</t>
  </si>
  <si>
    <t>MP-353.86-2021</t>
  </si>
  <si>
    <t>43.59446215, -79.59213734</t>
  </si>
  <si>
    <t>MP-354.25-2021</t>
  </si>
  <si>
    <t xml:space="preserve"> EXT ML ( SW ) </t>
  </si>
  <si>
    <t>43.59033705, -79.58905044</t>
  </si>
  <si>
    <t>MP-354.38-2021</t>
  </si>
  <si>
    <t>43.58873521, -79.5876557</t>
  </si>
  <si>
    <t>MP-354.39-2021</t>
  </si>
  <si>
    <t>43.58865007, -79.58753087</t>
  </si>
  <si>
    <t>MP-355.07-2021</t>
  </si>
  <si>
    <t>43.58059131, -79.59022626</t>
  </si>
  <si>
    <t>MP-356.63-2021</t>
  </si>
  <si>
    <t>43.5624852, -79.60630384</t>
  </si>
  <si>
    <t>MP-358.04-2021</t>
  </si>
  <si>
    <t>43.54303755, -79.61921753</t>
  </si>
  <si>
    <t>MP-360.27-2021</t>
  </si>
  <si>
    <t>43.51354648, -79.63721197</t>
  </si>
  <si>
    <t>MP-360.28-2021</t>
  </si>
  <si>
    <t>43.51343682, -79.63728044</t>
  </si>
  <si>
    <t>MP-360.29-2021</t>
  </si>
  <si>
    <t>43.51332657, -79.6373533</t>
  </si>
  <si>
    <t>MP-360.36-2021</t>
  </si>
  <si>
    <t>43.5124403, -79.63789872</t>
  </si>
  <si>
    <t>MP-360.40-2021</t>
  </si>
  <si>
    <t xml:space="preserve">*EXT ML ( SW ) </t>
  </si>
  <si>
    <t>43.51189341, -79.63821093</t>
  </si>
  <si>
    <t>MP-360.44-2021</t>
  </si>
  <si>
    <t>43.51139589, -79.63852126</t>
  </si>
  <si>
    <t>MP-360.66-2021</t>
  </si>
  <si>
    <t>43.50868017, -79.6401785</t>
  </si>
  <si>
    <t>MP-361.28-2021</t>
  </si>
  <si>
    <t>43.50070652, -79.64572077</t>
  </si>
  <si>
    <t>MP-361.29-2021</t>
  </si>
  <si>
    <t>43.50052934, -79.64586151</t>
  </si>
  <si>
    <t>MP-361.62-2021</t>
  </si>
  <si>
    <t>43.49626461, -79.64921286</t>
  </si>
  <si>
    <t>MP-361.78-2021</t>
  </si>
  <si>
    <t>43.49426367, -79.65080275</t>
  </si>
  <si>
    <t>MP-362.43-2021</t>
  </si>
  <si>
    <t>43.48607005, -79.6572635</t>
  </si>
  <si>
    <t>MP-362.47-2021</t>
  </si>
  <si>
    <t>43.48554733, -79.65767378</t>
  </si>
  <si>
    <t>MP-364.69-SL-2021</t>
  </si>
  <si>
    <t>43.45847266, -79.67992078</t>
  </si>
  <si>
    <t>MP-364.84-2021</t>
  </si>
  <si>
    <t>43.45672766, -79.68178583</t>
  </si>
  <si>
    <t>MP-364.86-2021</t>
  </si>
  <si>
    <t>43.45653263, -79.68195474</t>
  </si>
  <si>
    <t>MP-364.87-2021</t>
  </si>
  <si>
    <t>43.4564315, -79.68204459</t>
  </si>
  <si>
    <t>MP-364.97-2021</t>
  </si>
  <si>
    <t>43.45523621, -79.68327255</t>
  </si>
  <si>
    <t>MP-365.08-2021</t>
  </si>
  <si>
    <t>43.45394382, -79.68458476</t>
  </si>
  <si>
    <t>MP-365.26-2021</t>
  </si>
  <si>
    <t>43.45182118, -79.68672808</t>
  </si>
  <si>
    <t>MP-366.53-2021</t>
  </si>
  <si>
    <t>43.43699114, -79.70138702</t>
  </si>
  <si>
    <t>MP-367.71-2021</t>
  </si>
  <si>
    <t>43.42442599, -79.71449146</t>
  </si>
  <si>
    <t>MP-367.89-2021</t>
  </si>
  <si>
    <t>43.42238416, -79.7166325</t>
  </si>
  <si>
    <t>MP-368.59-2021</t>
  </si>
  <si>
    <t>*EXT ML</t>
  </si>
  <si>
    <t>43.41317315, -79.72620401</t>
  </si>
  <si>
    <t>MP-369.50-2021</t>
  </si>
  <si>
    <t>43.40283844, -79.73712566</t>
  </si>
  <si>
    <t>MP-369.80-2021</t>
  </si>
  <si>
    <t>43.39919626, -79.73984607</t>
  </si>
  <si>
    <t>MP-279.68-2021</t>
  </si>
  <si>
    <t>43.97503183, -78.40046414</t>
  </si>
  <si>
    <t>MP-93.48-2021</t>
  </si>
  <si>
    <t>44.96933015, -75.07907806</t>
  </si>
  <si>
    <t>MP-95.17-2021</t>
  </si>
  <si>
    <t>44.95707643, -75.10837169</t>
  </si>
  <si>
    <t>MP-95.63-2021</t>
  </si>
  <si>
    <t>Ext Metal Loss</t>
  </si>
  <si>
    <t>44.95353999, -75.11852617</t>
  </si>
  <si>
    <t>MP-100.70-2021</t>
  </si>
  <si>
    <t>44.91799271, -75.20692254</t>
  </si>
  <si>
    <t>MP-104.45-2021</t>
  </si>
  <si>
    <t>44.89030355, -75.27231208</t>
  </si>
  <si>
    <t>MP-105.31-2021</t>
  </si>
  <si>
    <t>44.88359639, -75.28740643</t>
  </si>
  <si>
    <t>MP-106.57-2021</t>
  </si>
  <si>
    <t>44.87303723, -75.30678471</t>
  </si>
  <si>
    <t>MP-109.38-2021</t>
  </si>
  <si>
    <t>44.84640733, -75.35123038</t>
  </si>
  <si>
    <t>MP-112.98-2021</t>
  </si>
  <si>
    <t>44.81220635, -75.4058443</t>
  </si>
  <si>
    <t>MP-113.22-2021</t>
  </si>
  <si>
    <t>44.80994623, -75.40943716</t>
  </si>
  <si>
    <t>MP-115.99-2021</t>
  </si>
  <si>
    <t>44.79344928, -75.43659073</t>
  </si>
  <si>
    <t>MP-118.14-2021</t>
  </si>
  <si>
    <t>44.76023451, -75.47773992</t>
  </si>
  <si>
    <t>MP-118.61-2021</t>
  </si>
  <si>
    <t>44.75414715, -75.48487029</t>
  </si>
  <si>
    <t>MP-122.11-2021</t>
  </si>
  <si>
    <t>44.72230506, -75.53878174</t>
  </si>
  <si>
    <t>MP-125.75-2021</t>
  </si>
  <si>
    <t>44.68340779, -75.58785836</t>
  </si>
  <si>
    <t>MP-128.45-2021</t>
  </si>
  <si>
    <t>44.64932649, -75.61203744</t>
  </si>
  <si>
    <t>MP-130.35-2021</t>
  </si>
  <si>
    <t>44.63367295, -75.64166095</t>
  </si>
  <si>
    <t>MP-173.50-2021</t>
  </si>
  <si>
    <t>Casing</t>
  </si>
  <si>
    <t>44.33455801, -76.36877627</t>
  </si>
  <si>
    <t>MP-179.87-2021</t>
  </si>
  <si>
    <t>44.29881269, -76.48450461</t>
  </si>
  <si>
    <t>OL-0.60-2021</t>
  </si>
  <si>
    <t>crack-like</t>
  </si>
  <si>
    <t>45.0012725, -75.02317972</t>
  </si>
  <si>
    <t>OL-0.97-2021</t>
  </si>
  <si>
    <t>45.00407694, -75.02961361</t>
  </si>
  <si>
    <t>OL-1.22-2021</t>
  </si>
  <si>
    <t>45.00559694, -75.03411138</t>
  </si>
  <si>
    <t>OL-1.42-2021</t>
  </si>
  <si>
    <t>45.00633138, -75.03798472</t>
  </si>
  <si>
    <t>OL-1.57-2021</t>
  </si>
  <si>
    <t>45.00703666, -75.04101805</t>
  </si>
  <si>
    <t>OL-1.66-2021</t>
  </si>
  <si>
    <t>45.00751416, -75.04281805</t>
  </si>
  <si>
    <t>OL-1.72-2021</t>
  </si>
  <si>
    <t>45.00778888, -75.04390555</t>
  </si>
  <si>
    <t>OL-2.08-2021</t>
  </si>
  <si>
    <t>45.01048861, -75.05022166</t>
  </si>
  <si>
    <t>OL-2.20-2021</t>
  </si>
  <si>
    <t>45.01144166, -75.05221611</t>
  </si>
  <si>
    <t>OL-2.38-2021</t>
  </si>
  <si>
    <t>45.01289444, -75.05528166</t>
  </si>
  <si>
    <t>OL-2.39-2021</t>
  </si>
  <si>
    <t>45.01296611, -75.05544194</t>
  </si>
  <si>
    <t>OL-2.44-2021</t>
  </si>
  <si>
    <t>45.01332777, -75.05621805</t>
  </si>
  <si>
    <t>OL-2.52-2021</t>
  </si>
  <si>
    <t>45.01453972, -75.05892972</t>
  </si>
  <si>
    <t>OL-4.13-2021</t>
  </si>
  <si>
    <t>45.02667944, -75.08603083</t>
  </si>
  <si>
    <t>OL-4.14-2021</t>
  </si>
  <si>
    <t>45.02675833, -75.0861825</t>
  </si>
  <si>
    <t>OL-4.17-2021</t>
  </si>
  <si>
    <t>45.02706166, -75.08675944</t>
  </si>
  <si>
    <t>OL-4.18-2021</t>
  </si>
  <si>
    <t>45.02714027, -75.08691166</t>
  </si>
  <si>
    <t>OL-4.20-2021</t>
  </si>
  <si>
    <t>45.02729694, -75.08721444</t>
  </si>
  <si>
    <t>OL-4.27-2021</t>
  </si>
  <si>
    <t>45.02788777, -75.08835555</t>
  </si>
  <si>
    <t>OL-4.30-2021</t>
  </si>
  <si>
    <t>45.02810333, -75.088765</t>
  </si>
  <si>
    <t>OL-4.33-2021</t>
  </si>
  <si>
    <t>45.02849694, -75.08953833</t>
  </si>
  <si>
    <t>OL-4.86-2021</t>
  </si>
  <si>
    <t>45.03246611, -75.09763916</t>
  </si>
  <si>
    <t>OL-4.88-2021</t>
  </si>
  <si>
    <t>45.03262527, -75.09794666</t>
  </si>
  <si>
    <t>OL-5.12-2021</t>
  </si>
  <si>
    <t>45.03450833, -75.10216611</t>
  </si>
  <si>
    <t>OL-5.36-2021</t>
  </si>
  <si>
    <t>45.0362725, -75.106385</t>
  </si>
  <si>
    <t>OL-13.61-2021</t>
  </si>
  <si>
    <t>45.101465, -75.24724861</t>
  </si>
  <si>
    <t>OL-19.51-2021</t>
  </si>
  <si>
    <t>45.15113861, -75.34980138</t>
  </si>
  <si>
    <t>45.151139, -75.349801</t>
  </si>
  <si>
    <t>OL-20.80-2021</t>
  </si>
  <si>
    <t>45.16155111, -75.3688825</t>
  </si>
  <si>
    <t>OL-28.91-SL-2021</t>
  </si>
  <si>
    <t>45.221665, -75.507788</t>
  </si>
  <si>
    <t>OL-29.08-2021</t>
  </si>
  <si>
    <t>45.22313166, -75.51057277</t>
  </si>
  <si>
    <t>MP-376.23-2021</t>
  </si>
  <si>
    <t xml:space="preserve">EXT ML ( GW ) </t>
  </si>
  <si>
    <t>43.32017619, -79.80134163</t>
  </si>
  <si>
    <t>MP-375.80-2021</t>
  </si>
  <si>
    <t>43.32474412, -79.79844107</t>
  </si>
  <si>
    <t>MP-374.07-2021</t>
  </si>
  <si>
    <t>Interacting - Metal loss</t>
  </si>
  <si>
    <t>43.34464145, -79.77937316</t>
  </si>
  <si>
    <t>MP-373.36-2021</t>
  </si>
  <si>
    <t>43.35423894, -79.77273512</t>
  </si>
  <si>
    <t>MP-372.38-2021</t>
  </si>
  <si>
    <t>43.36653976, -79.76419597</t>
  </si>
  <si>
    <t>MP-372.26-2021</t>
  </si>
  <si>
    <t>43.36819442, -79.76304502</t>
  </si>
  <si>
    <t>MP-371.77-2021</t>
  </si>
  <si>
    <t>43.37444963, -79.75869329</t>
  </si>
  <si>
    <t>MP-371.75-2021</t>
  </si>
  <si>
    <t>43.37466569, -79.75855304</t>
  </si>
  <si>
    <t>MP-371.72-2021</t>
  </si>
  <si>
    <t>43.3750977, -79.75823955</t>
  </si>
  <si>
    <t>MP-371.19-2021</t>
  </si>
  <si>
    <t>EXT ML</t>
  </si>
  <si>
    <t>43.38176758, -79.75361218</t>
  </si>
  <si>
    <t>MP-38.37-SL-2021</t>
  </si>
  <si>
    <t>45.37599897, -74.17250762</t>
  </si>
  <si>
    <t>MP-41.40-SL-2021</t>
  </si>
  <si>
    <t>45.34736122, -74.21999704</t>
  </si>
  <si>
    <t>MP-9.86-SL-2021</t>
  </si>
  <si>
    <t>45.61073411, -73.71564125</t>
  </si>
  <si>
    <t>ML-1.88-2021</t>
  </si>
  <si>
    <t>45.62861, -73.575606</t>
  </si>
  <si>
    <t>ML-3.10-2021</t>
  </si>
  <si>
    <t>45.615794, -73.593479</t>
  </si>
  <si>
    <t>ML-3.20-2021</t>
  </si>
  <si>
    <t>45.614515, -73.595116</t>
  </si>
  <si>
    <t>ML-4.66-2021</t>
  </si>
  <si>
    <t>45.623811, -73.621543</t>
  </si>
  <si>
    <t>ML-9.80-SL-2021</t>
  </si>
  <si>
    <t>45.6108472, -73.71443426</t>
  </si>
  <si>
    <t>ML-13.53-2019</t>
  </si>
  <si>
    <t>45.59846703, -73.78923475</t>
  </si>
  <si>
    <t>ML-15.03-SL-2021</t>
  </si>
  <si>
    <t>45.59163391, -73.82074349</t>
  </si>
  <si>
    <t>ML-15.43-2021</t>
  </si>
  <si>
    <t>45.590661, -73.828896</t>
  </si>
  <si>
    <t>MF-1.80-2021</t>
  </si>
  <si>
    <t>Joint</t>
  </si>
  <si>
    <t>45.62597679, -73.5452385</t>
  </si>
  <si>
    <t>MF-1.73-2021</t>
  </si>
  <si>
    <t>45.62542559, -73.5447153</t>
  </si>
  <si>
    <t>MF-1.64-2021</t>
  </si>
  <si>
    <t>45.62498648, -73.5432791</t>
  </si>
  <si>
    <t>MF-1.61-2021</t>
  </si>
  <si>
    <t>45.62531196, -73.5428221</t>
  </si>
  <si>
    <t>NK-2.52-2021</t>
  </si>
  <si>
    <t>42.87291818, -80.07252782</t>
  </si>
  <si>
    <t>NK-4.62-2021</t>
  </si>
  <si>
    <t>42.90359868, -80.07954986</t>
  </si>
  <si>
    <t>NK-7.35-2021</t>
  </si>
  <si>
    <t>42.93507904, -80.06134406</t>
  </si>
  <si>
    <t>NK-10.21-2021</t>
  </si>
  <si>
    <t>42.96002938, -80.02273289</t>
  </si>
  <si>
    <t>NK-11.42-2021</t>
  </si>
  <si>
    <t>42.97622076, -80.01203622</t>
  </si>
  <si>
    <t>NK-12.20-2021</t>
  </si>
  <si>
    <t>42.98609298, -80.00545094</t>
  </si>
  <si>
    <t>NK-13.10-2021</t>
  </si>
  <si>
    <t>42.99815254, -79.99739991</t>
  </si>
  <si>
    <t>NK-13.51-2021</t>
  </si>
  <si>
    <t>43.0023928, -79.99455947</t>
  </si>
  <si>
    <t>NK-13.72-2021</t>
  </si>
  <si>
    <t>43.00514562, -79.9927165</t>
  </si>
  <si>
    <t>NK-22.60-2021</t>
  </si>
  <si>
    <t>43.08922216, -79.88613919</t>
  </si>
  <si>
    <t>NK-22.97-2021</t>
  </si>
  <si>
    <t>43.09442195, -79.88407795</t>
  </si>
  <si>
    <t>NK-23.01-2021</t>
  </si>
  <si>
    <t>43.09485012, -79.88390739</t>
  </si>
  <si>
    <t>NK-23.11-2021</t>
  </si>
  <si>
    <t>43.09635933, -79.88330952</t>
  </si>
  <si>
    <t>NK-29.30-2021</t>
  </si>
  <si>
    <t>43.17931263, -79.84369409</t>
  </si>
  <si>
    <t>NK-33.21-2021</t>
  </si>
  <si>
    <t>43.21594606, -79.80101656</t>
  </si>
  <si>
    <t>NK-36.41-2021</t>
  </si>
  <si>
    <t>43.25527348, -79.78862862</t>
  </si>
  <si>
    <t>OK-369.24-SL-2021</t>
  </si>
  <si>
    <t>43.40384024, -79.7362667</t>
  </si>
  <si>
    <t>OK-368.50-2021</t>
  </si>
  <si>
    <t>43.41514983, -79.72422215</t>
  </si>
  <si>
    <t>43.41515483, -79.72421938</t>
  </si>
  <si>
    <t>MP-21.18-2021</t>
  </si>
  <si>
    <t>Linear long seam anomaly</t>
  </si>
  <si>
    <t>45.54845076, -73.92590443</t>
  </si>
  <si>
    <t>MP-21.19-2021</t>
  </si>
  <si>
    <t>45.54837137, -73.92602961</t>
  </si>
  <si>
    <t>TA-1.03-SL-2021</t>
  </si>
  <si>
    <t>43.68210294, -79.59529799</t>
  </si>
  <si>
    <t>10FPDR-006470-2021</t>
  </si>
  <si>
    <t>MP-94.61</t>
  </si>
  <si>
    <t>METAL LOSS</t>
  </si>
  <si>
    <t>44.96120816, -75.09881614</t>
  </si>
  <si>
    <t>10FPDR-006470</t>
  </si>
  <si>
    <t>10FPDR-030010-2021</t>
  </si>
  <si>
    <t>MP-112.73</t>
  </si>
  <si>
    <t>44.81461489, -75.40207704</t>
  </si>
  <si>
    <t>10FPDR-030010</t>
  </si>
  <si>
    <t>10FPDR-030810-2021</t>
  </si>
  <si>
    <t>MP-113.36</t>
  </si>
  <si>
    <t>44.80869951, -75.41159971</t>
  </si>
  <si>
    <t>10FPDR-030810</t>
  </si>
  <si>
    <t>10FPDR-030990-2021</t>
  </si>
  <si>
    <t>MP-113.51</t>
  </si>
  <si>
    <t>44.80743499, -75.41390812</t>
  </si>
  <si>
    <t>10FPDR-030990</t>
  </si>
  <si>
    <t>10FPDR-031670-2021</t>
  </si>
  <si>
    <t>MP-114.03</t>
  </si>
  <si>
    <t>44.8026487, -75.42197301</t>
  </si>
  <si>
    <t>10FPDR-031670</t>
  </si>
  <si>
    <t>10FPDR-038000-2021</t>
  </si>
  <si>
    <t>MP-118.77</t>
  </si>
  <si>
    <t>44.75221579, -75.48671065</t>
  </si>
  <si>
    <t>10FPDR-038000</t>
  </si>
  <si>
    <t>10FPDR-038670-2021</t>
  </si>
  <si>
    <t>MP-119.23</t>
  </si>
  <si>
    <t>44.74712136, -75.49187182</t>
  </si>
  <si>
    <t>10FPDR-038670</t>
  </si>
  <si>
    <t>10FPDR-040040-2021</t>
  </si>
  <si>
    <t>MP-120.24</t>
  </si>
  <si>
    <t>44.7381364, -75.50876994</t>
  </si>
  <si>
    <t>10FPDR-040040</t>
  </si>
  <si>
    <t>10FPDR-040200-2021</t>
  </si>
  <si>
    <t>MP-120.36</t>
  </si>
  <si>
    <t>44.7371458, -75.51071222</t>
  </si>
  <si>
    <t>10FPDR-040200</t>
  </si>
  <si>
    <t>10FPDR-045850-2021</t>
  </si>
  <si>
    <t>MP-124.86</t>
  </si>
  <si>
    <t>44.69296663, -75.57635409</t>
  </si>
  <si>
    <t>10FPDR-045850</t>
  </si>
  <si>
    <t>10FPDR-050270-2021</t>
  </si>
  <si>
    <t>MP-128.34</t>
  </si>
  <si>
    <t>44.65089015, -75.61153408</t>
  </si>
  <si>
    <t>10FPDR-050270</t>
  </si>
  <si>
    <t>10FPDR-052730-2021</t>
  </si>
  <si>
    <t>MP-129.93</t>
  </si>
  <si>
    <t>44.63778814, -75.6349687</t>
  </si>
  <si>
    <t>10FPDR-052730</t>
  </si>
  <si>
    <t>10DRBO-018810-2021</t>
  </si>
  <si>
    <t>MP-223.58</t>
  </si>
  <si>
    <t>44.21135541, -77.33791496</t>
  </si>
  <si>
    <t>10DRBO-018810</t>
  </si>
  <si>
    <t>10DRBO-019960-2021</t>
  </si>
  <si>
    <t>MP-224.46</t>
  </si>
  <si>
    <t>44.21101153, -77.35594233</t>
  </si>
  <si>
    <t>10DRBO-019960</t>
  </si>
  <si>
    <t>10DRBO-020730-2021</t>
  </si>
  <si>
    <t>MP-225.05</t>
  </si>
  <si>
    <t>44.21080027, -77.36758836</t>
  </si>
  <si>
    <t>10DRBO-020730</t>
  </si>
  <si>
    <t>10DRBO-023860-2021</t>
  </si>
  <si>
    <t>MP-227.21</t>
  </si>
  <si>
    <t>44.2020406, -77.40758927</t>
  </si>
  <si>
    <t>10DRBO-023860</t>
  </si>
  <si>
    <t>10DRBO-026610-2021</t>
  </si>
  <si>
    <t>MP-229.33</t>
  </si>
  <si>
    <t>44.18695316, -77.44421194</t>
  </si>
  <si>
    <t>10DRBO-026610</t>
  </si>
  <si>
    <t>10DRBO-029160-2021</t>
  </si>
  <si>
    <t>MP-231.29</t>
  </si>
  <si>
    <t>44.17484974, -77.47988984</t>
  </si>
  <si>
    <t>10DRBO-029160</t>
  </si>
  <si>
    <t>10DRBO-033560-2021</t>
  </si>
  <si>
    <t>MP-234.74</t>
  </si>
  <si>
    <t>44.15543509, -77.54376558</t>
  </si>
  <si>
    <t>10DRBO-033560</t>
  </si>
  <si>
    <t>10DRBO-033610-2021</t>
  </si>
  <si>
    <t>MP-234.78</t>
  </si>
  <si>
    <t>44.1551739, -77.54451257</t>
  </si>
  <si>
    <t>10DRBO-033610</t>
  </si>
  <si>
    <t>10DRBO-034530-2021</t>
  </si>
  <si>
    <t>MP-235.48</t>
  </si>
  <si>
    <t>44.15180342, -77.55802046</t>
  </si>
  <si>
    <t>10DRBO-034530</t>
  </si>
  <si>
    <t>10DRBO-035350-2021</t>
  </si>
  <si>
    <t>MP-236.06</t>
  </si>
  <si>
    <t>44.14896082, -77.56914252</t>
  </si>
  <si>
    <t>10DRBO-035350</t>
  </si>
  <si>
    <t>10DRBO-036190-2021</t>
  </si>
  <si>
    <t>MP-236.62</t>
  </si>
  <si>
    <t>44.1453317, -77.57933549</t>
  </si>
  <si>
    <t>10DRBO-036190</t>
  </si>
  <si>
    <t>10DRBO-038930-2021</t>
  </si>
  <si>
    <t>MP-238.56</t>
  </si>
  <si>
    <t>44.13685263, -77.61495287</t>
  </si>
  <si>
    <t>10DRBO-038930</t>
  </si>
  <si>
    <t>10DRBO-040250-2021</t>
  </si>
  <si>
    <t>MP-239.6</t>
  </si>
  <si>
    <t>44.13055032, -77.63411723</t>
  </si>
  <si>
    <t>10DRBO-040250</t>
  </si>
  <si>
    <t>10DRBO-040720-2021</t>
  </si>
  <si>
    <t>MP-239.95</t>
  </si>
  <si>
    <t>44.12895924, -77.6410526</t>
  </si>
  <si>
    <t>10DRBO-040720</t>
  </si>
  <si>
    <t>10DRBO-044460-2021</t>
  </si>
  <si>
    <t>MP-242.88</t>
  </si>
  <si>
    <t>44.11847608, -77.69769939</t>
  </si>
  <si>
    <t>10DRBO-044460</t>
  </si>
  <si>
    <t>10DRBO-058540-2021</t>
  </si>
  <si>
    <t>MP-253.78</t>
  </si>
  <si>
    <t>44.07408305, -77.905895</t>
  </si>
  <si>
    <t>10DRBO-058540</t>
  </si>
  <si>
    <t>10DRBO-061170-2021</t>
  </si>
  <si>
    <t>MP-255.56</t>
  </si>
  <si>
    <t>44.0662406, -77.94017848</t>
  </si>
  <si>
    <t>10DRBO-061170</t>
  </si>
  <si>
    <t>10DRBO-075080-2021</t>
  </si>
  <si>
    <t>MP-266.6</t>
  </si>
  <si>
    <t>44.02794189, -78.15048092</t>
  </si>
  <si>
    <t>10DRBO-075080</t>
  </si>
  <si>
    <t>10DRBO-080540-2021</t>
  </si>
  <si>
    <t>MP-270.89</t>
  </si>
  <si>
    <t>44.00671111, -78.23065562</t>
  </si>
  <si>
    <t>10DRBO-080540</t>
  </si>
  <si>
    <t>10DRBO-089120-2021</t>
  </si>
  <si>
    <t>MP-277.3</t>
  </si>
  <si>
    <t>43.98021823, -78.35349209</t>
  </si>
  <si>
    <t>10DRBO-089120</t>
  </si>
  <si>
    <t>10DRBO-092150-2021</t>
  </si>
  <si>
    <t>MP-279.57</t>
  </si>
  <si>
    <t>43.97530481, -78.39822517</t>
  </si>
  <si>
    <t>10DRBO-092150</t>
  </si>
  <si>
    <t>10DRBO-094590-2021</t>
  </si>
  <si>
    <t>MP-281.53</t>
  </si>
  <si>
    <t>43.96912801, -78.43583236</t>
  </si>
  <si>
    <t>10DRBO-094590</t>
  </si>
  <si>
    <t>10DRBO-096810-2021</t>
  </si>
  <si>
    <t>MP-283.26</t>
  </si>
  <si>
    <t>43.96648181, -78.46993086</t>
  </si>
  <si>
    <t>10DRBO-096810</t>
  </si>
  <si>
    <t>10DRBO-107990-2021</t>
  </si>
  <si>
    <t>MP-291.94</t>
  </si>
  <si>
    <t>43.94665948, -78.64027647</t>
  </si>
  <si>
    <t>10DRBO-107990</t>
  </si>
  <si>
    <t>10BOCUJ-01990-2021</t>
  </si>
  <si>
    <t>MP-294.55</t>
  </si>
  <si>
    <t>43.95072404, -78.69156964</t>
  </si>
  <si>
    <t>10BOCUJ-01990</t>
  </si>
  <si>
    <t>10BOCUJ-28170-2021</t>
  </si>
  <si>
    <t>MP-314.99</t>
  </si>
  <si>
    <t>43.89382775, -79.07814702</t>
  </si>
  <si>
    <t>10BOCUJ-28170</t>
  </si>
  <si>
    <t>10BOCUJ-38620-2021</t>
  </si>
  <si>
    <t>MP-322.77</t>
  </si>
  <si>
    <t>43.835887, -79.20795505</t>
  </si>
  <si>
    <t>10BOCUJ-38620</t>
  </si>
  <si>
    <t>10BOCUJ-40630-2021</t>
  </si>
  <si>
    <t>MP-324.22</t>
  </si>
  <si>
    <t>43.82615566, -79.2338219</t>
  </si>
  <si>
    <t>10BOCUJ-40630</t>
  </si>
  <si>
    <t>10BOCUJ-44440-2021</t>
  </si>
  <si>
    <t>MP-327.31</t>
  </si>
  <si>
    <t>43.81285778, -79.29225916</t>
  </si>
  <si>
    <t>10BOCUJ-44440</t>
  </si>
  <si>
    <t>10BOCUJ-44780-2021</t>
  </si>
  <si>
    <t>MP-327.6</t>
  </si>
  <si>
    <t>43.81161818, -79.29763159</t>
  </si>
  <si>
    <t>10BOCUJ-44780</t>
  </si>
  <si>
    <t>10BOCUJ-22130-2021</t>
  </si>
  <si>
    <t>MP-310.35</t>
  </si>
  <si>
    <t>43.92440291, -78.99979559</t>
  </si>
  <si>
    <t xml:space="preserve">22130  </t>
  </si>
  <si>
    <t>10BOCUJ-22130</t>
  </si>
  <si>
    <t>10BOCUJ-23250-2021</t>
  </si>
  <si>
    <t>MP-311.32</t>
  </si>
  <si>
    <t>43.92039343, -79.01629756</t>
  </si>
  <si>
    <t xml:space="preserve">23250  </t>
  </si>
  <si>
    <t>10BOCUJ-23250</t>
  </si>
  <si>
    <t>10BOCUJ-35780-2021</t>
  </si>
  <si>
    <t>MP-320.6</t>
  </si>
  <si>
    <t>43.85108449, -79.17151402</t>
  </si>
  <si>
    <t xml:space="preserve">35780  </t>
  </si>
  <si>
    <t>10BOCUJ-35780</t>
  </si>
  <si>
    <t>10BOCUJ-37980-2021</t>
  </si>
  <si>
    <t>MP-322.27</t>
  </si>
  <si>
    <t>43.83973825, -79.19971772</t>
  </si>
  <si>
    <t xml:space="preserve">37980  </t>
  </si>
  <si>
    <t>10BOCUJ-37980</t>
  </si>
  <si>
    <t>10BOCUJ-48710-2021</t>
  </si>
  <si>
    <t>MP-330.45</t>
  </si>
  <si>
    <t>43.79770772, -79.3497182</t>
  </si>
  <si>
    <t xml:space="preserve">48710  </t>
  </si>
  <si>
    <t>10BOCUJ-48710</t>
  </si>
  <si>
    <t>Waiting on Dig Sheet</t>
  </si>
  <si>
    <t>54.20926059, -113.4567267</t>
  </si>
  <si>
    <t>N 45° 00' 04.581", W 75° 01' 23.447"</t>
  </si>
  <si>
    <t>N 45° 00' 14.677", W 75° 01' 46.609"</t>
  </si>
  <si>
    <t>N 45° 00' 20.149", W 75° 02' 02.801"</t>
  </si>
  <si>
    <t>N 45° 00' 22.793", W 75° 02' 16.745"</t>
  </si>
  <si>
    <t>N 45° 00' 25.332", W 75° 02' 27.665"</t>
  </si>
  <si>
    <t>N 45° 00' 27.051", W 75° 02' 34.145"</t>
  </si>
  <si>
    <t>N 45° 00' 28.040", W 75° 02' 38.060"</t>
  </si>
  <si>
    <t>N 45° 00' 37.759", W 75° 03' 00.798"</t>
  </si>
  <si>
    <t>N 45° 00' 41.190", W 75° 03' 07.978"</t>
  </si>
  <si>
    <t>N 45° 00' 46.420", W 75° 03' 19.014"</t>
  </si>
  <si>
    <t>N 45° 00' 46.678", W 75° 03' 19.591"</t>
  </si>
  <si>
    <t>N 45° 00' 47.980", W 75° 03' 22.385"</t>
  </si>
  <si>
    <t>N 45° 00' 52.343", W 75° 03' 32.147"</t>
  </si>
  <si>
    <t>N 45° 01' 36.046", W 75° 05' 09.711"</t>
  </si>
  <si>
    <t>N 45° 01' 36.330", W 75° 05' 10.257"</t>
  </si>
  <si>
    <t>N 45° 01' 37.422", W 75° 05' 12.334"</t>
  </si>
  <si>
    <t>N 45° 01' 37.705", W 75° 05' 12.882"</t>
  </si>
  <si>
    <t>N 45° 01' 38.269", W 75° 05' 13.972"</t>
  </si>
  <si>
    <t>N 45° 01' 40.396", W 75° 05' 18.080"</t>
  </si>
  <si>
    <t>N 45° 01' 41.172", W 75° 05' 19.554"</t>
  </si>
  <si>
    <t>N 45° 01' 42.589", W 75° 05' 22.338"</t>
  </si>
  <si>
    <t>N 45° 01' 56.878", W 75° 05' 51.501"</t>
  </si>
  <si>
    <t>N 45° 01' 57.451", W 75° 05' 52.608"</t>
  </si>
  <si>
    <t>N 45° 02' 04.230", W 75° 06' 07.798"</t>
  </si>
  <si>
    <t>N 45° 02' 10.581", W 75° 06' 22.986"</t>
  </si>
  <si>
    <t>N 45° 06' 05.274", W 75° 14' 50.095"</t>
  </si>
  <si>
    <t>N 45° 09' 04.099", W 75° 20' 59.285"</t>
  </si>
  <si>
    <t>N 45° 09' 41.584", W 75° 22' 07.977"</t>
  </si>
  <si>
    <t>N 45° 13' 23.274", W 75° 30' 38.062"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</si>
</sst>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</font>
    <font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1.0"/>
      <color theme="1"/>
    </font>
    <font>
      <sz val="11.0"/>
      <color rgb="FF000000"/>
    </font>
    <font>
      <sz val="11.0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/>
    </xf>
    <xf quotePrefix="1" borderId="0" fillId="0" fontId="4" numFmtId="0" xfId="0" applyAlignment="1" applyFont="1">
      <alignment horizont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/>
    </xf>
    <xf borderId="0" fillId="2" fontId="5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horizontal="left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3" fontId="9" numFmtId="0" xfId="0" applyFill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Ready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265" displayName="Table_1" id="1">
  <tableColumns count="14">
    <tableColumn name="Site Name" id="1"/>
    <tableColumn name="Milepost" id="2"/>
    <tableColumn name="Status" id="3"/>
    <tableColumn name="Year" id="4"/>
    <tableColumn name="Client" id="5"/>
    <tableColumn name="Feature Type" id="6"/>
    <tableColumn name="Location" id="7"/>
    <tableColumn name="NDE Area" id="8"/>
    <tableColumn name="Estimated NDE Length" id="9"/>
    <tableColumn name="Joint Length" id="10"/>
    <tableColumn name="NWT" id="11"/>
    <tableColumn name="GW" id="12"/>
    <tableColumn name="TNPI GW" id="13"/>
    <tableColumn name="Folder Moved" id="14"/>
  </tableColumns>
  <tableStyleInfo name="Read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8.13"/>
    <col customWidth="1" min="2" max="2" width="11.25"/>
    <col customWidth="1" min="3" max="3" width="7.88"/>
    <col customWidth="1" min="4" max="4" width="6.25"/>
    <col customWidth="1" min="5" max="5" width="8.38"/>
    <col customWidth="1" min="6" max="6" width="20.38"/>
    <col customWidth="1" min="7" max="7" width="28.38"/>
    <col customWidth="1" min="8" max="8" width="11.75"/>
    <col customWidth="1" min="9" max="9" width="17.88"/>
    <col customWidth="1" min="10" max="10" width="13.75"/>
    <col customWidth="1" min="11" max="11" width="7.63"/>
    <col customWidth="1" min="12" max="12" width="6.13"/>
    <col customWidth="1" min="13" max="13" width="13.38"/>
    <col customWidth="1" min="14" max="14" width="11.63"/>
    <col customWidth="1" min="15" max="27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 t="s">
        <v>14</v>
      </c>
      <c r="B2" s="3"/>
      <c r="C2" s="3" t="s">
        <v>15</v>
      </c>
      <c r="D2" s="3">
        <v>2022.0</v>
      </c>
      <c r="E2" s="3" t="s">
        <v>16</v>
      </c>
      <c r="F2" s="3" t="s">
        <v>17</v>
      </c>
      <c r="G2" s="4" t="s">
        <v>18</v>
      </c>
      <c r="H2" s="3" t="s">
        <v>19</v>
      </c>
      <c r="I2" s="3">
        <v>3.27</v>
      </c>
      <c r="J2" s="3">
        <v>9.624</v>
      </c>
      <c r="K2" s="3">
        <v>3.96</v>
      </c>
      <c r="L2" s="3"/>
      <c r="M2" s="3"/>
      <c r="N2" s="5"/>
    </row>
    <row r="3">
      <c r="A3" s="3" t="s">
        <v>20</v>
      </c>
      <c r="B3" s="3"/>
      <c r="C3" s="3" t="s">
        <v>15</v>
      </c>
      <c r="D3" s="3">
        <v>2022.0</v>
      </c>
      <c r="E3" s="3" t="s">
        <v>16</v>
      </c>
      <c r="F3" s="3" t="s">
        <v>17</v>
      </c>
      <c r="G3" s="4" t="s">
        <v>21</v>
      </c>
      <c r="H3" s="3" t="s">
        <v>22</v>
      </c>
      <c r="I3" s="3">
        <v>2.0</v>
      </c>
      <c r="J3" s="3">
        <v>17.637</v>
      </c>
      <c r="K3" s="3">
        <v>3.96</v>
      </c>
      <c r="L3" s="3"/>
      <c r="M3" s="3"/>
      <c r="N3" s="5"/>
    </row>
    <row r="4">
      <c r="A4" s="3" t="s">
        <v>23</v>
      </c>
      <c r="B4" s="3"/>
      <c r="C4" s="3" t="s">
        <v>15</v>
      </c>
      <c r="D4" s="3">
        <v>2022.0</v>
      </c>
      <c r="E4" s="3" t="s">
        <v>16</v>
      </c>
      <c r="F4" s="3" t="s">
        <v>17</v>
      </c>
      <c r="G4" s="4" t="s">
        <v>24</v>
      </c>
      <c r="H4" s="3" t="s">
        <v>25</v>
      </c>
      <c r="I4" s="3">
        <v>2.56</v>
      </c>
      <c r="J4" s="3">
        <v>19.592</v>
      </c>
      <c r="K4" s="3">
        <v>4.78</v>
      </c>
      <c r="L4" s="3"/>
      <c r="M4" s="3"/>
      <c r="N4" s="5"/>
    </row>
    <row r="5">
      <c r="A5" s="3" t="s">
        <v>26</v>
      </c>
      <c r="B5" s="3"/>
      <c r="C5" s="3" t="s">
        <v>15</v>
      </c>
      <c r="D5" s="3">
        <v>2022.0</v>
      </c>
      <c r="E5" s="3" t="s">
        <v>16</v>
      </c>
      <c r="F5" s="3" t="s">
        <v>27</v>
      </c>
      <c r="G5" s="4" t="s">
        <v>28</v>
      </c>
      <c r="H5" s="3" t="s">
        <v>29</v>
      </c>
      <c r="I5" s="3">
        <v>17.01</v>
      </c>
      <c r="J5" s="3">
        <v>16.932</v>
      </c>
      <c r="K5" s="3">
        <v>3.96</v>
      </c>
      <c r="L5" s="3"/>
      <c r="M5" s="3"/>
      <c r="N5" s="5"/>
    </row>
    <row r="6">
      <c r="A6" s="3" t="s">
        <v>30</v>
      </c>
      <c r="B6" s="3"/>
      <c r="C6" s="3" t="s">
        <v>15</v>
      </c>
      <c r="D6" s="3">
        <v>2022.0</v>
      </c>
      <c r="E6" s="3" t="s">
        <v>16</v>
      </c>
      <c r="F6" s="3" t="s">
        <v>27</v>
      </c>
      <c r="G6" s="4" t="s">
        <v>31</v>
      </c>
      <c r="H6" s="6" t="s">
        <v>32</v>
      </c>
      <c r="I6" s="3">
        <v>3.0</v>
      </c>
      <c r="J6" s="6" t="s">
        <v>32</v>
      </c>
      <c r="K6" s="3">
        <v>4.78</v>
      </c>
      <c r="L6" s="3"/>
      <c r="M6" s="3"/>
      <c r="N6" s="5"/>
    </row>
    <row r="7">
      <c r="A7" s="3" t="s">
        <v>33</v>
      </c>
      <c r="B7" s="3"/>
      <c r="C7" s="3" t="s">
        <v>15</v>
      </c>
      <c r="D7" s="3">
        <v>2022.0</v>
      </c>
      <c r="E7" s="3" t="s">
        <v>16</v>
      </c>
      <c r="F7" s="3" t="s">
        <v>27</v>
      </c>
      <c r="G7" s="4" t="s">
        <v>34</v>
      </c>
      <c r="H7" s="6" t="s">
        <v>32</v>
      </c>
      <c r="I7" s="3">
        <v>3.0</v>
      </c>
      <c r="J7" s="6" t="s">
        <v>32</v>
      </c>
      <c r="K7" s="3">
        <v>3.96</v>
      </c>
      <c r="L7" s="3"/>
      <c r="M7" s="3"/>
      <c r="N7" s="5"/>
    </row>
    <row r="8">
      <c r="A8" s="3" t="s">
        <v>35</v>
      </c>
      <c r="B8" s="3"/>
      <c r="C8" s="3" t="s">
        <v>15</v>
      </c>
      <c r="D8" s="3">
        <v>2022.0</v>
      </c>
      <c r="E8" s="3" t="s">
        <v>16</v>
      </c>
      <c r="F8" s="3" t="s">
        <v>27</v>
      </c>
      <c r="G8" s="4" t="s">
        <v>36</v>
      </c>
      <c r="H8" s="6" t="s">
        <v>32</v>
      </c>
      <c r="I8" s="3">
        <v>3.0</v>
      </c>
      <c r="J8" s="6" t="s">
        <v>32</v>
      </c>
      <c r="K8" s="3">
        <v>4.8</v>
      </c>
      <c r="L8" s="3"/>
      <c r="M8" s="3"/>
      <c r="N8" s="5"/>
    </row>
    <row r="9">
      <c r="A9" s="3" t="s">
        <v>37</v>
      </c>
      <c r="B9" s="3"/>
      <c r="C9" s="3" t="s">
        <v>15</v>
      </c>
      <c r="D9" s="3">
        <v>2022.0</v>
      </c>
      <c r="E9" s="3" t="s">
        <v>16</v>
      </c>
      <c r="F9" s="3" t="s">
        <v>27</v>
      </c>
      <c r="G9" s="4" t="s">
        <v>38</v>
      </c>
      <c r="H9" s="6" t="s">
        <v>32</v>
      </c>
      <c r="I9" s="3">
        <v>3.0</v>
      </c>
      <c r="J9" s="6" t="s">
        <v>32</v>
      </c>
      <c r="K9" s="3">
        <v>4.8</v>
      </c>
      <c r="L9" s="3"/>
      <c r="M9" s="3"/>
      <c r="N9" s="5"/>
    </row>
    <row r="10">
      <c r="A10" s="3" t="s">
        <v>39</v>
      </c>
      <c r="B10" s="3"/>
      <c r="C10" s="3" t="s">
        <v>15</v>
      </c>
      <c r="D10" s="3">
        <v>2022.0</v>
      </c>
      <c r="E10" s="3" t="s">
        <v>16</v>
      </c>
      <c r="F10" s="3" t="s">
        <v>27</v>
      </c>
      <c r="G10" s="4" t="s">
        <v>40</v>
      </c>
      <c r="H10" s="6" t="s">
        <v>32</v>
      </c>
      <c r="I10" s="3">
        <v>3.0</v>
      </c>
      <c r="J10" s="6" t="s">
        <v>32</v>
      </c>
      <c r="K10" s="3">
        <v>3.18</v>
      </c>
      <c r="L10" s="3"/>
      <c r="M10" s="3"/>
      <c r="N10" s="5"/>
    </row>
    <row r="11">
      <c r="A11" s="3" t="s">
        <v>41</v>
      </c>
      <c r="B11" s="3"/>
      <c r="C11" s="3" t="s">
        <v>15</v>
      </c>
      <c r="D11" s="3">
        <v>2022.0</v>
      </c>
      <c r="E11" s="3" t="s">
        <v>16</v>
      </c>
      <c r="F11" s="3" t="s">
        <v>27</v>
      </c>
      <c r="G11" s="4" t="s">
        <v>42</v>
      </c>
      <c r="H11" s="6" t="s">
        <v>32</v>
      </c>
      <c r="I11" s="3">
        <v>3.0</v>
      </c>
      <c r="J11" s="6" t="s">
        <v>32</v>
      </c>
      <c r="K11" s="3">
        <v>5.1</v>
      </c>
      <c r="L11" s="3"/>
      <c r="M11" s="3"/>
      <c r="N11" s="5"/>
    </row>
    <row r="12">
      <c r="A12" s="3" t="s">
        <v>43</v>
      </c>
      <c r="B12" s="3"/>
      <c r="C12" s="3" t="s">
        <v>15</v>
      </c>
      <c r="D12" s="3">
        <v>2022.0</v>
      </c>
      <c r="E12" s="3" t="s">
        <v>16</v>
      </c>
      <c r="F12" s="3" t="s">
        <v>27</v>
      </c>
      <c r="G12" s="4" t="s">
        <v>44</v>
      </c>
      <c r="H12" s="6" t="s">
        <v>32</v>
      </c>
      <c r="I12" s="3">
        <v>3.0</v>
      </c>
      <c r="J12" s="6" t="s">
        <v>32</v>
      </c>
      <c r="K12" s="3">
        <v>3.18</v>
      </c>
      <c r="L12" s="3"/>
      <c r="M12" s="3"/>
      <c r="N12" s="5"/>
    </row>
    <row r="13">
      <c r="A13" s="3" t="s">
        <v>45</v>
      </c>
      <c r="B13" s="3"/>
      <c r="C13" s="3" t="s">
        <v>15</v>
      </c>
      <c r="D13" s="3">
        <v>2022.0</v>
      </c>
      <c r="E13" s="3" t="s">
        <v>16</v>
      </c>
      <c r="F13" s="3" t="s">
        <v>27</v>
      </c>
      <c r="G13" s="4" t="s">
        <v>46</v>
      </c>
      <c r="H13" s="6" t="s">
        <v>32</v>
      </c>
      <c r="I13" s="3">
        <v>3.0</v>
      </c>
      <c r="J13" s="6" t="s">
        <v>32</v>
      </c>
      <c r="K13" s="3">
        <v>3.2</v>
      </c>
      <c r="L13" s="3"/>
      <c r="M13" s="3"/>
      <c r="N13" s="5"/>
    </row>
    <row r="14">
      <c r="A14" s="3" t="s">
        <v>47</v>
      </c>
      <c r="B14" s="3"/>
      <c r="C14" s="3" t="s">
        <v>15</v>
      </c>
      <c r="D14" s="3">
        <v>2022.0</v>
      </c>
      <c r="E14" s="3" t="s">
        <v>16</v>
      </c>
      <c r="F14" s="3" t="s">
        <v>48</v>
      </c>
      <c r="G14" s="4" t="s">
        <v>49</v>
      </c>
      <c r="H14" s="7" t="s">
        <v>50</v>
      </c>
      <c r="I14" s="3">
        <v>4.0</v>
      </c>
      <c r="J14" s="3">
        <v>11.442</v>
      </c>
      <c r="K14" s="3">
        <v>3.96</v>
      </c>
      <c r="L14" s="3"/>
      <c r="M14" s="3"/>
      <c r="N14" s="5"/>
    </row>
    <row r="15">
      <c r="A15" s="3" t="s">
        <v>51</v>
      </c>
      <c r="B15" s="3"/>
      <c r="C15" s="3" t="s">
        <v>15</v>
      </c>
      <c r="D15" s="3">
        <v>2022.0</v>
      </c>
      <c r="E15" s="3" t="s">
        <v>16</v>
      </c>
      <c r="F15" s="3" t="s">
        <v>48</v>
      </c>
      <c r="G15" s="4" t="s">
        <v>52</v>
      </c>
      <c r="H15" s="7" t="s">
        <v>50</v>
      </c>
      <c r="I15" s="3">
        <v>4.0</v>
      </c>
      <c r="J15" s="3">
        <v>11.647</v>
      </c>
      <c r="K15" s="3">
        <v>3.96</v>
      </c>
      <c r="L15" s="3"/>
      <c r="M15" s="3"/>
      <c r="N15" s="5"/>
    </row>
    <row r="16">
      <c r="A16" s="3" t="s">
        <v>53</v>
      </c>
      <c r="B16" s="3"/>
      <c r="C16" s="3" t="s">
        <v>15</v>
      </c>
      <c r="D16" s="3">
        <v>2022.0</v>
      </c>
      <c r="E16" s="3" t="s">
        <v>16</v>
      </c>
      <c r="F16" s="3" t="s">
        <v>48</v>
      </c>
      <c r="G16" s="4" t="s">
        <v>54</v>
      </c>
      <c r="H16" s="7" t="s">
        <v>50</v>
      </c>
      <c r="I16" s="3">
        <v>4.0</v>
      </c>
      <c r="J16" s="3">
        <v>10.692</v>
      </c>
      <c r="K16" s="3">
        <v>3.96</v>
      </c>
      <c r="L16" s="3"/>
      <c r="M16" s="3"/>
      <c r="N16" s="5"/>
    </row>
    <row r="17">
      <c r="A17" s="3" t="s">
        <v>55</v>
      </c>
      <c r="B17" s="3"/>
      <c r="C17" s="3" t="s">
        <v>15</v>
      </c>
      <c r="D17" s="3">
        <v>2022.0</v>
      </c>
      <c r="E17" s="3" t="s">
        <v>16</v>
      </c>
      <c r="F17" s="3" t="s">
        <v>27</v>
      </c>
      <c r="G17" s="4" t="s">
        <v>56</v>
      </c>
      <c r="H17" s="7" t="s">
        <v>57</v>
      </c>
      <c r="I17" s="3">
        <v>11.33</v>
      </c>
      <c r="J17" s="3">
        <v>11.33</v>
      </c>
      <c r="K17" s="3">
        <v>3.96</v>
      </c>
      <c r="L17" s="3"/>
      <c r="M17" s="3"/>
      <c r="N17" s="5"/>
    </row>
    <row r="18">
      <c r="A18" s="3" t="s">
        <v>58</v>
      </c>
      <c r="B18" s="3"/>
      <c r="C18" s="3" t="s">
        <v>15</v>
      </c>
      <c r="D18" s="3">
        <v>2022.0</v>
      </c>
      <c r="E18" s="3" t="s">
        <v>16</v>
      </c>
      <c r="F18" s="3" t="s">
        <v>27</v>
      </c>
      <c r="G18" s="4" t="s">
        <v>59</v>
      </c>
      <c r="H18" s="7" t="s">
        <v>60</v>
      </c>
      <c r="I18" s="3">
        <v>9.33</v>
      </c>
      <c r="J18" s="3">
        <v>9.33</v>
      </c>
      <c r="K18" s="3">
        <v>3.96</v>
      </c>
      <c r="L18" s="3"/>
      <c r="M18" s="3"/>
      <c r="N18" s="5"/>
    </row>
    <row r="19">
      <c r="A19" s="3" t="s">
        <v>61</v>
      </c>
      <c r="B19" s="3"/>
      <c r="C19" s="3" t="s">
        <v>15</v>
      </c>
      <c r="D19" s="3">
        <v>2022.0</v>
      </c>
      <c r="E19" s="3" t="s">
        <v>16</v>
      </c>
      <c r="F19" s="3" t="s">
        <v>62</v>
      </c>
      <c r="G19" s="4" t="s">
        <v>63</v>
      </c>
      <c r="H19" s="7" t="s">
        <v>64</v>
      </c>
      <c r="I19" s="3">
        <v>17.77</v>
      </c>
      <c r="J19" s="3">
        <v>17.01</v>
      </c>
      <c r="K19" s="3">
        <v>3.96</v>
      </c>
      <c r="L19" s="3"/>
      <c r="M19" s="3"/>
      <c r="N19" s="5"/>
    </row>
    <row r="20">
      <c r="A20" s="3" t="s">
        <v>65</v>
      </c>
      <c r="B20" s="3"/>
      <c r="C20" s="3" t="s">
        <v>15</v>
      </c>
      <c r="D20" s="3">
        <v>2022.0</v>
      </c>
      <c r="E20" s="3" t="s">
        <v>16</v>
      </c>
      <c r="F20" s="3" t="s">
        <v>27</v>
      </c>
      <c r="G20" s="4" t="s">
        <v>66</v>
      </c>
      <c r="H20" s="7" t="s">
        <v>67</v>
      </c>
      <c r="I20" s="3">
        <v>9.29</v>
      </c>
      <c r="J20" s="3">
        <v>9.28</v>
      </c>
      <c r="K20" s="3">
        <v>3.96</v>
      </c>
      <c r="L20" s="3"/>
      <c r="M20" s="3"/>
      <c r="N20" s="5"/>
    </row>
    <row r="21" ht="15.75" customHeight="1">
      <c r="A21" s="8" t="s">
        <v>68</v>
      </c>
      <c r="B21" s="3"/>
      <c r="C21" s="3" t="s">
        <v>15</v>
      </c>
      <c r="D21" s="3">
        <v>2022.0</v>
      </c>
      <c r="E21" s="3" t="s">
        <v>69</v>
      </c>
      <c r="F21" s="3" t="s">
        <v>70</v>
      </c>
      <c r="G21" s="9" t="s">
        <v>71</v>
      </c>
      <c r="H21" s="10" t="s">
        <v>72</v>
      </c>
      <c r="I21" s="4">
        <v>13.381</v>
      </c>
      <c r="J21" s="4">
        <v>13.381</v>
      </c>
      <c r="K21" s="4">
        <v>7.8</v>
      </c>
      <c r="L21" s="3">
        <v>260.0</v>
      </c>
      <c r="M21" s="3"/>
      <c r="N21" s="5"/>
    </row>
    <row r="22" ht="15.75" customHeight="1">
      <c r="A22" s="8" t="s">
        <v>73</v>
      </c>
      <c r="B22" s="3"/>
      <c r="C22" s="3" t="s">
        <v>15</v>
      </c>
      <c r="D22" s="3">
        <v>2022.0</v>
      </c>
      <c r="E22" s="3" t="s">
        <v>69</v>
      </c>
      <c r="F22" s="3" t="s">
        <v>70</v>
      </c>
      <c r="G22" s="11" t="s">
        <v>74</v>
      </c>
      <c r="H22" s="10" t="s">
        <v>75</v>
      </c>
      <c r="I22" s="4">
        <v>13.298</v>
      </c>
      <c r="J22" s="4">
        <v>13.298</v>
      </c>
      <c r="K22" s="4">
        <v>7.8</v>
      </c>
      <c r="L22" s="3">
        <v>380.0</v>
      </c>
      <c r="M22" s="3"/>
      <c r="N22" s="5"/>
    </row>
    <row r="23" ht="15.75" customHeight="1">
      <c r="A23" s="8" t="s">
        <v>76</v>
      </c>
      <c r="B23" s="3"/>
      <c r="C23" s="3" t="s">
        <v>15</v>
      </c>
      <c r="D23" s="3">
        <v>2022.0</v>
      </c>
      <c r="E23" s="3" t="s">
        <v>69</v>
      </c>
      <c r="F23" s="3" t="s">
        <v>70</v>
      </c>
      <c r="G23" s="9" t="s">
        <v>77</v>
      </c>
      <c r="H23" s="10" t="s">
        <v>78</v>
      </c>
      <c r="I23" s="4">
        <v>13.058</v>
      </c>
      <c r="J23" s="4">
        <v>13.058</v>
      </c>
      <c r="K23" s="4">
        <v>7.8</v>
      </c>
      <c r="L23" s="3">
        <v>1390.0</v>
      </c>
      <c r="M23" s="3"/>
      <c r="N23" s="5"/>
    </row>
    <row r="24" ht="15.75" customHeight="1">
      <c r="A24" s="8" t="s">
        <v>79</v>
      </c>
      <c r="B24" s="3"/>
      <c r="C24" s="3" t="s">
        <v>15</v>
      </c>
      <c r="D24" s="3">
        <v>2022.0</v>
      </c>
      <c r="E24" s="3" t="s">
        <v>69</v>
      </c>
      <c r="F24" s="3" t="s">
        <v>70</v>
      </c>
      <c r="G24" s="11" t="s">
        <v>80</v>
      </c>
      <c r="H24" s="10" t="s">
        <v>81</v>
      </c>
      <c r="I24" s="4">
        <v>12.486</v>
      </c>
      <c r="J24" s="4">
        <v>12.486</v>
      </c>
      <c r="K24" s="4">
        <v>7.8</v>
      </c>
      <c r="L24" s="3">
        <v>4620.0</v>
      </c>
      <c r="M24" s="3"/>
      <c r="N24" s="5"/>
    </row>
    <row r="25" ht="15.75" customHeight="1">
      <c r="A25" s="8" t="s">
        <v>82</v>
      </c>
      <c r="B25" s="3"/>
      <c r="C25" s="3" t="s">
        <v>15</v>
      </c>
      <c r="D25" s="3">
        <v>2022.0</v>
      </c>
      <c r="E25" s="3" t="s">
        <v>69</v>
      </c>
      <c r="F25" s="3" t="s">
        <v>70</v>
      </c>
      <c r="G25" s="9" t="s">
        <v>83</v>
      </c>
      <c r="H25" s="10" t="s">
        <v>84</v>
      </c>
      <c r="I25" s="4">
        <v>14.33</v>
      </c>
      <c r="J25" s="4">
        <v>14.33</v>
      </c>
      <c r="K25" s="4">
        <v>7.8</v>
      </c>
      <c r="L25" s="3">
        <v>9620.0</v>
      </c>
      <c r="M25" s="3"/>
      <c r="N25" s="5"/>
    </row>
    <row r="26" ht="15.75" customHeight="1">
      <c r="A26" s="8" t="s">
        <v>85</v>
      </c>
      <c r="B26" s="3"/>
      <c r="C26" s="3" t="s">
        <v>15</v>
      </c>
      <c r="D26" s="3">
        <v>2022.0</v>
      </c>
      <c r="E26" s="3" t="s">
        <v>69</v>
      </c>
      <c r="F26" s="3" t="s">
        <v>70</v>
      </c>
      <c r="G26" s="11" t="s">
        <v>86</v>
      </c>
      <c r="H26" s="10" t="s">
        <v>87</v>
      </c>
      <c r="I26" s="4">
        <v>13.171</v>
      </c>
      <c r="J26" s="4">
        <v>13.171</v>
      </c>
      <c r="K26" s="4">
        <v>7.8</v>
      </c>
      <c r="L26" s="3">
        <v>14010.0</v>
      </c>
      <c r="M26" s="3"/>
      <c r="N26" s="5"/>
    </row>
    <row r="27" ht="15.75" customHeight="1">
      <c r="A27" s="8" t="s">
        <v>88</v>
      </c>
      <c r="B27" s="3"/>
      <c r="C27" s="3" t="s">
        <v>15</v>
      </c>
      <c r="D27" s="3">
        <v>2022.0</v>
      </c>
      <c r="E27" s="3" t="s">
        <v>69</v>
      </c>
      <c r="F27" s="3" t="s">
        <v>70</v>
      </c>
      <c r="G27" s="9" t="s">
        <v>89</v>
      </c>
      <c r="H27" s="10" t="s">
        <v>90</v>
      </c>
      <c r="I27" s="4">
        <v>12.992</v>
      </c>
      <c r="J27" s="4">
        <v>12.992</v>
      </c>
      <c r="K27" s="4">
        <v>7.8</v>
      </c>
      <c r="L27" s="3">
        <v>21260.0</v>
      </c>
      <c r="M27" s="3"/>
      <c r="N27" s="5"/>
    </row>
    <row r="28" ht="15.75" customHeight="1">
      <c r="A28" s="8" t="s">
        <v>91</v>
      </c>
      <c r="B28" s="3"/>
      <c r="C28" s="3" t="s">
        <v>15</v>
      </c>
      <c r="D28" s="3">
        <v>2022.0</v>
      </c>
      <c r="E28" s="3" t="s">
        <v>69</v>
      </c>
      <c r="F28" s="3" t="s">
        <v>70</v>
      </c>
      <c r="G28" s="11" t="s">
        <v>92</v>
      </c>
      <c r="H28" s="10" t="s">
        <v>93</v>
      </c>
      <c r="I28" s="4">
        <v>12.65</v>
      </c>
      <c r="J28" s="4">
        <v>12.65</v>
      </c>
      <c r="K28" s="4">
        <v>7.8</v>
      </c>
      <c r="L28" s="3">
        <v>33780.0</v>
      </c>
      <c r="M28" s="3"/>
      <c r="N28" s="5"/>
    </row>
    <row r="29" ht="15.75" customHeight="1">
      <c r="A29" s="8" t="s">
        <v>94</v>
      </c>
      <c r="B29" s="3"/>
      <c r="C29" s="3" t="s">
        <v>15</v>
      </c>
      <c r="D29" s="3">
        <v>2022.0</v>
      </c>
      <c r="E29" s="3" t="s">
        <v>69</v>
      </c>
      <c r="F29" s="3" t="s">
        <v>70</v>
      </c>
      <c r="G29" s="9" t="s">
        <v>95</v>
      </c>
      <c r="H29" s="10" t="s">
        <v>96</v>
      </c>
      <c r="I29" s="4">
        <v>13.638</v>
      </c>
      <c r="J29" s="4">
        <v>13.638</v>
      </c>
      <c r="K29" s="4">
        <v>7.8</v>
      </c>
      <c r="L29" s="3">
        <v>38180.0</v>
      </c>
      <c r="M29" s="3"/>
      <c r="N29" s="5"/>
    </row>
    <row r="30" ht="15.75" customHeight="1">
      <c r="A30" s="8" t="s">
        <v>97</v>
      </c>
      <c r="B30" s="3"/>
      <c r="C30" s="3" t="s">
        <v>15</v>
      </c>
      <c r="D30" s="3">
        <v>2022.0</v>
      </c>
      <c r="E30" s="3" t="s">
        <v>69</v>
      </c>
      <c r="F30" s="3" t="s">
        <v>70</v>
      </c>
      <c r="G30" s="11" t="s">
        <v>98</v>
      </c>
      <c r="H30" s="10" t="s">
        <v>99</v>
      </c>
      <c r="I30" s="4">
        <v>11.206</v>
      </c>
      <c r="J30" s="4">
        <v>11.206</v>
      </c>
      <c r="K30" s="4">
        <v>7.8</v>
      </c>
      <c r="L30" s="3">
        <v>38240.0</v>
      </c>
      <c r="M30" s="3"/>
      <c r="N30" s="5"/>
    </row>
    <row r="31" ht="15.75" customHeight="1">
      <c r="A31" s="8" t="s">
        <v>100</v>
      </c>
      <c r="B31" s="3"/>
      <c r="C31" s="3" t="s">
        <v>15</v>
      </c>
      <c r="D31" s="3">
        <v>2022.0</v>
      </c>
      <c r="E31" s="3" t="s">
        <v>69</v>
      </c>
      <c r="F31" s="3" t="s">
        <v>70</v>
      </c>
      <c r="G31" s="9" t="s">
        <v>101</v>
      </c>
      <c r="H31" s="10" t="s">
        <v>102</v>
      </c>
      <c r="I31" s="4">
        <v>13.514</v>
      </c>
      <c r="J31" s="4">
        <v>13.514</v>
      </c>
      <c r="K31" s="4">
        <v>7.8</v>
      </c>
      <c r="L31" s="3">
        <v>39060.0</v>
      </c>
      <c r="M31" s="3"/>
      <c r="N31" s="5"/>
    </row>
    <row r="32" ht="15.75" customHeight="1">
      <c r="A32" s="8" t="s">
        <v>103</v>
      </c>
      <c r="B32" s="3"/>
      <c r="C32" s="3" t="s">
        <v>15</v>
      </c>
      <c r="D32" s="3">
        <v>2022.0</v>
      </c>
      <c r="E32" s="3" t="s">
        <v>69</v>
      </c>
      <c r="F32" s="3" t="s">
        <v>70</v>
      </c>
      <c r="G32" s="11" t="s">
        <v>104</v>
      </c>
      <c r="H32" s="10" t="s">
        <v>105</v>
      </c>
      <c r="I32" s="4">
        <v>12.717</v>
      </c>
      <c r="J32" s="4">
        <v>12.717</v>
      </c>
      <c r="K32" s="4">
        <v>7.8</v>
      </c>
      <c r="L32" s="3">
        <v>39720.0</v>
      </c>
      <c r="M32" s="3"/>
      <c r="N32" s="5"/>
    </row>
    <row r="33" ht="15.75" customHeight="1">
      <c r="A33" s="8" t="s">
        <v>106</v>
      </c>
      <c r="B33" s="3"/>
      <c r="C33" s="3" t="s">
        <v>15</v>
      </c>
      <c r="D33" s="3">
        <v>2022.0</v>
      </c>
      <c r="E33" s="3" t="s">
        <v>69</v>
      </c>
      <c r="F33" s="3" t="s">
        <v>70</v>
      </c>
      <c r="G33" s="9" t="s">
        <v>107</v>
      </c>
      <c r="H33" s="10" t="s">
        <v>108</v>
      </c>
      <c r="I33" s="4">
        <v>12.148</v>
      </c>
      <c r="J33" s="4">
        <v>12.148</v>
      </c>
      <c r="K33" s="4">
        <v>7.8</v>
      </c>
      <c r="L33" s="3">
        <v>41140.0</v>
      </c>
      <c r="M33" s="3"/>
      <c r="N33" s="5"/>
    </row>
    <row r="34" ht="15.75" customHeight="1">
      <c r="A34" s="8" t="s">
        <v>109</v>
      </c>
      <c r="B34" s="3"/>
      <c r="C34" s="3" t="s">
        <v>15</v>
      </c>
      <c r="D34" s="3">
        <v>2022.0</v>
      </c>
      <c r="E34" s="3" t="s">
        <v>69</v>
      </c>
      <c r="F34" s="3" t="s">
        <v>70</v>
      </c>
      <c r="G34" s="11" t="s">
        <v>110</v>
      </c>
      <c r="H34" s="6"/>
      <c r="I34" s="3"/>
      <c r="J34" s="3"/>
      <c r="K34" s="3"/>
      <c r="L34" s="3">
        <v>44840.0</v>
      </c>
      <c r="M34" s="3"/>
      <c r="N34" s="5"/>
    </row>
    <row r="35" ht="15.75" customHeight="1">
      <c r="A35" s="12" t="s">
        <v>111</v>
      </c>
      <c r="B35" s="3"/>
      <c r="C35" s="3" t="s">
        <v>15</v>
      </c>
      <c r="D35" s="3">
        <v>2022.0</v>
      </c>
      <c r="E35" s="3" t="s">
        <v>69</v>
      </c>
      <c r="F35" s="3" t="s">
        <v>112</v>
      </c>
      <c r="G35" s="9" t="s">
        <v>113</v>
      </c>
      <c r="H35" s="6"/>
      <c r="I35" s="3"/>
      <c r="J35" s="3"/>
      <c r="K35" s="3"/>
      <c r="L35" s="3">
        <v>45050.0</v>
      </c>
      <c r="M35" s="3"/>
      <c r="N35" s="5"/>
    </row>
    <row r="36" ht="15.75" customHeight="1">
      <c r="A36" s="8" t="s">
        <v>114</v>
      </c>
      <c r="B36" s="3"/>
      <c r="C36" s="3" t="s">
        <v>15</v>
      </c>
      <c r="D36" s="3">
        <v>2022.0</v>
      </c>
      <c r="E36" s="3" t="s">
        <v>69</v>
      </c>
      <c r="F36" s="3" t="s">
        <v>70</v>
      </c>
      <c r="G36" s="11" t="s">
        <v>115</v>
      </c>
      <c r="H36" s="6"/>
      <c r="I36" s="3"/>
      <c r="J36" s="3"/>
      <c r="K36" s="3"/>
      <c r="L36" s="3">
        <v>46360.0</v>
      </c>
      <c r="M36" s="3"/>
      <c r="N36" s="5"/>
    </row>
    <row r="37" ht="15.75" customHeight="1">
      <c r="A37" s="8" t="s">
        <v>116</v>
      </c>
      <c r="B37" s="3"/>
      <c r="C37" s="3" t="s">
        <v>15</v>
      </c>
      <c r="D37" s="3">
        <v>2022.0</v>
      </c>
      <c r="E37" s="3" t="s">
        <v>69</v>
      </c>
      <c r="F37" s="3" t="s">
        <v>70</v>
      </c>
      <c r="G37" s="9" t="s">
        <v>117</v>
      </c>
      <c r="H37" s="6"/>
      <c r="I37" s="3"/>
      <c r="J37" s="3"/>
      <c r="K37" s="3"/>
      <c r="L37" s="3">
        <v>46820.0</v>
      </c>
      <c r="M37" s="3"/>
      <c r="N37" s="5"/>
    </row>
    <row r="38" ht="15.75" customHeight="1">
      <c r="A38" s="8" t="s">
        <v>118</v>
      </c>
      <c r="B38" s="3"/>
      <c r="C38" s="3" t="s">
        <v>15</v>
      </c>
      <c r="D38" s="3">
        <v>2022.0</v>
      </c>
      <c r="E38" s="3" t="s">
        <v>69</v>
      </c>
      <c r="F38" s="3" t="s">
        <v>119</v>
      </c>
      <c r="G38" s="11" t="s">
        <v>120</v>
      </c>
      <c r="H38" s="6"/>
      <c r="I38" s="3"/>
      <c r="J38" s="3"/>
      <c r="K38" s="3"/>
      <c r="L38" s="3">
        <v>4910.0</v>
      </c>
      <c r="M38" s="3"/>
      <c r="N38" s="5"/>
    </row>
    <row r="39" ht="15.75" customHeight="1">
      <c r="A39" s="8" t="s">
        <v>121</v>
      </c>
      <c r="B39" s="3"/>
      <c r="C39" s="3" t="s">
        <v>15</v>
      </c>
      <c r="D39" s="3">
        <v>2022.0</v>
      </c>
      <c r="E39" s="3" t="s">
        <v>69</v>
      </c>
      <c r="F39" s="3" t="s">
        <v>122</v>
      </c>
      <c r="G39" s="9" t="s">
        <v>123</v>
      </c>
      <c r="H39" s="6"/>
      <c r="I39" s="3"/>
      <c r="J39" s="3"/>
      <c r="K39" s="3"/>
      <c r="L39" s="3">
        <v>20530.0</v>
      </c>
      <c r="M39" s="3"/>
      <c r="N39" s="5"/>
    </row>
    <row r="40" ht="15.75" customHeight="1">
      <c r="A40" s="8" t="s">
        <v>124</v>
      </c>
      <c r="B40" s="3"/>
      <c r="C40" s="3" t="s">
        <v>15</v>
      </c>
      <c r="D40" s="3">
        <v>2022.0</v>
      </c>
      <c r="E40" s="3" t="s">
        <v>69</v>
      </c>
      <c r="F40" s="3" t="s">
        <v>70</v>
      </c>
      <c r="G40" s="11" t="s">
        <v>125</v>
      </c>
      <c r="H40" s="6"/>
      <c r="I40" s="3"/>
      <c r="J40" s="3"/>
      <c r="K40" s="3"/>
      <c r="L40" s="3">
        <v>27240.0</v>
      </c>
      <c r="M40" s="3"/>
      <c r="N40" s="5"/>
    </row>
    <row r="41" ht="15.75" customHeight="1">
      <c r="A41" s="8" t="s">
        <v>126</v>
      </c>
      <c r="B41" s="3"/>
      <c r="C41" s="3" t="s">
        <v>15</v>
      </c>
      <c r="D41" s="3">
        <v>2022.0</v>
      </c>
      <c r="E41" s="3" t="s">
        <v>69</v>
      </c>
      <c r="F41" s="3" t="s">
        <v>70</v>
      </c>
      <c r="G41" s="9" t="s">
        <v>127</v>
      </c>
      <c r="H41" s="6"/>
      <c r="I41" s="3"/>
      <c r="J41" s="3"/>
      <c r="K41" s="3"/>
      <c r="L41" s="3">
        <v>29170.0</v>
      </c>
      <c r="M41" s="3"/>
      <c r="N41" s="5"/>
    </row>
    <row r="42" ht="15.75" customHeight="1">
      <c r="A42" s="8" t="s">
        <v>128</v>
      </c>
      <c r="B42" s="3"/>
      <c r="C42" s="3" t="s">
        <v>15</v>
      </c>
      <c r="D42" s="3">
        <v>2022.0</v>
      </c>
      <c r="E42" s="3" t="s">
        <v>69</v>
      </c>
      <c r="F42" s="3" t="s">
        <v>129</v>
      </c>
      <c r="G42" s="11" t="s">
        <v>130</v>
      </c>
      <c r="H42" s="6"/>
      <c r="I42" s="3"/>
      <c r="J42" s="3"/>
      <c r="K42" s="3"/>
      <c r="L42" s="3">
        <v>29730.0</v>
      </c>
      <c r="M42" s="3"/>
      <c r="N42" s="5"/>
    </row>
    <row r="43" ht="15.75" customHeight="1">
      <c r="A43" s="8" t="s">
        <v>128</v>
      </c>
      <c r="B43" s="3"/>
      <c r="C43" s="3" t="s">
        <v>15</v>
      </c>
      <c r="D43" s="3">
        <v>2022.0</v>
      </c>
      <c r="E43" s="3" t="s">
        <v>69</v>
      </c>
      <c r="F43" s="3" t="s">
        <v>70</v>
      </c>
      <c r="G43" s="9" t="s">
        <v>130</v>
      </c>
      <c r="H43" s="6"/>
      <c r="I43" s="3"/>
      <c r="J43" s="3"/>
      <c r="K43" s="3"/>
      <c r="L43" s="3">
        <v>29730.0</v>
      </c>
      <c r="M43" s="3"/>
      <c r="N43" s="5"/>
    </row>
    <row r="44" ht="15.75" customHeight="1">
      <c r="A44" s="8" t="s">
        <v>128</v>
      </c>
      <c r="B44" s="3"/>
      <c r="C44" s="3" t="s">
        <v>15</v>
      </c>
      <c r="D44" s="3">
        <v>2022.0</v>
      </c>
      <c r="E44" s="3" t="s">
        <v>69</v>
      </c>
      <c r="F44" s="3" t="s">
        <v>70</v>
      </c>
      <c r="G44" s="11" t="s">
        <v>130</v>
      </c>
      <c r="H44" s="6"/>
      <c r="I44" s="3"/>
      <c r="J44" s="3"/>
      <c r="K44" s="3"/>
      <c r="L44" s="3">
        <v>29730.0</v>
      </c>
      <c r="M44" s="3"/>
      <c r="N44" s="5"/>
    </row>
    <row r="45" ht="15.75" customHeight="1">
      <c r="A45" s="8" t="s">
        <v>131</v>
      </c>
      <c r="B45" s="3"/>
      <c r="C45" s="3" t="s">
        <v>15</v>
      </c>
      <c r="D45" s="3">
        <v>2022.0</v>
      </c>
      <c r="E45" s="3" t="s">
        <v>69</v>
      </c>
      <c r="F45" s="3" t="s">
        <v>70</v>
      </c>
      <c r="G45" s="9" t="s">
        <v>132</v>
      </c>
      <c r="H45" s="6"/>
      <c r="I45" s="3"/>
      <c r="J45" s="3"/>
      <c r="K45" s="3"/>
      <c r="L45" s="3">
        <v>29940.0</v>
      </c>
      <c r="M45" s="3"/>
      <c r="N45" s="5"/>
    </row>
    <row r="46" ht="15.75" customHeight="1">
      <c r="A46" s="8" t="s">
        <v>133</v>
      </c>
      <c r="B46" s="3"/>
      <c r="C46" s="3" t="s">
        <v>15</v>
      </c>
      <c r="D46" s="3">
        <v>2022.0</v>
      </c>
      <c r="E46" s="3" t="s">
        <v>69</v>
      </c>
      <c r="F46" s="3" t="s">
        <v>70</v>
      </c>
      <c r="G46" s="11" t="s">
        <v>134</v>
      </c>
      <c r="H46" s="6"/>
      <c r="I46" s="3"/>
      <c r="J46" s="3"/>
      <c r="K46" s="3"/>
      <c r="L46" s="3">
        <v>29960.0</v>
      </c>
      <c r="M46" s="3"/>
      <c r="N46" s="5"/>
    </row>
    <row r="47" ht="15.75" customHeight="1">
      <c r="A47" s="8" t="s">
        <v>133</v>
      </c>
      <c r="B47" s="3"/>
      <c r="C47" s="3" t="s">
        <v>15</v>
      </c>
      <c r="D47" s="3">
        <v>2022.0</v>
      </c>
      <c r="E47" s="3" t="s">
        <v>69</v>
      </c>
      <c r="F47" s="3" t="s">
        <v>70</v>
      </c>
      <c r="G47" s="9" t="s">
        <v>134</v>
      </c>
      <c r="H47" s="6"/>
      <c r="I47" s="3"/>
      <c r="J47" s="3"/>
      <c r="K47" s="3"/>
      <c r="L47" s="3">
        <v>29960.0</v>
      </c>
      <c r="M47" s="3"/>
      <c r="N47" s="5"/>
    </row>
    <row r="48" ht="15.75" customHeight="1">
      <c r="A48" s="8" t="s">
        <v>135</v>
      </c>
      <c r="B48" s="3"/>
      <c r="C48" s="3" t="s">
        <v>15</v>
      </c>
      <c r="D48" s="3">
        <v>2022.0</v>
      </c>
      <c r="E48" s="3" t="s">
        <v>69</v>
      </c>
      <c r="F48" s="3" t="s">
        <v>70</v>
      </c>
      <c r="G48" s="11" t="s">
        <v>136</v>
      </c>
      <c r="H48" s="6"/>
      <c r="I48" s="3"/>
      <c r="J48" s="3"/>
      <c r="K48" s="3"/>
      <c r="L48" s="3">
        <v>30840.0</v>
      </c>
      <c r="M48" s="3"/>
      <c r="N48" s="5"/>
    </row>
    <row r="49" ht="15.75" customHeight="1">
      <c r="A49" s="8" t="s">
        <v>137</v>
      </c>
      <c r="B49" s="3"/>
      <c r="C49" s="3" t="s">
        <v>15</v>
      </c>
      <c r="D49" s="3">
        <v>2022.0</v>
      </c>
      <c r="E49" s="3" t="s">
        <v>69</v>
      </c>
      <c r="F49" s="3" t="s">
        <v>70</v>
      </c>
      <c r="G49" s="9" t="s">
        <v>138</v>
      </c>
      <c r="H49" s="6"/>
      <c r="I49" s="3"/>
      <c r="J49" s="3"/>
      <c r="K49" s="3"/>
      <c r="L49" s="3">
        <v>32970.0</v>
      </c>
      <c r="M49" s="3"/>
      <c r="N49" s="5"/>
    </row>
    <row r="50" ht="15.75" customHeight="1">
      <c r="A50" s="8" t="s">
        <v>139</v>
      </c>
      <c r="B50" s="3"/>
      <c r="C50" s="3" t="s">
        <v>15</v>
      </c>
      <c r="D50" s="3">
        <v>2022.0</v>
      </c>
      <c r="E50" s="3" t="s">
        <v>69</v>
      </c>
      <c r="F50" s="3" t="s">
        <v>70</v>
      </c>
      <c r="G50" s="11" t="s">
        <v>140</v>
      </c>
      <c r="H50" s="6"/>
      <c r="I50" s="3"/>
      <c r="J50" s="3"/>
      <c r="K50" s="3"/>
      <c r="L50" s="3">
        <v>35440.0</v>
      </c>
      <c r="M50" s="3"/>
      <c r="N50" s="5"/>
    </row>
    <row r="51" ht="15.75" customHeight="1">
      <c r="A51" s="8" t="s">
        <v>141</v>
      </c>
      <c r="B51" s="3"/>
      <c r="C51" s="3" t="s">
        <v>15</v>
      </c>
      <c r="D51" s="3">
        <v>2022.0</v>
      </c>
      <c r="E51" s="3" t="s">
        <v>69</v>
      </c>
      <c r="F51" s="3" t="s">
        <v>70</v>
      </c>
      <c r="G51" s="9" t="s">
        <v>142</v>
      </c>
      <c r="H51" s="6"/>
      <c r="I51" s="3"/>
      <c r="J51" s="3"/>
      <c r="K51" s="3"/>
      <c r="L51" s="3">
        <v>38400.0</v>
      </c>
      <c r="M51" s="3"/>
      <c r="N51" s="5"/>
    </row>
    <row r="52" ht="15.75" customHeight="1">
      <c r="A52" s="8" t="s">
        <v>143</v>
      </c>
      <c r="B52" s="3"/>
      <c r="C52" s="3" t="s">
        <v>15</v>
      </c>
      <c r="D52" s="3">
        <v>2022.0</v>
      </c>
      <c r="E52" s="3" t="s">
        <v>69</v>
      </c>
      <c r="F52" s="3" t="s">
        <v>129</v>
      </c>
      <c r="G52" s="11" t="s">
        <v>144</v>
      </c>
      <c r="H52" s="6"/>
      <c r="I52" s="3"/>
      <c r="J52" s="3"/>
      <c r="K52" s="3"/>
      <c r="L52" s="3">
        <v>38410.0</v>
      </c>
      <c r="M52" s="3"/>
      <c r="N52" s="5"/>
    </row>
    <row r="53" ht="15.75" customHeight="1">
      <c r="A53" s="8" t="s">
        <v>145</v>
      </c>
      <c r="B53" s="3"/>
      <c r="C53" s="3" t="s">
        <v>15</v>
      </c>
      <c r="D53" s="3">
        <v>2022.0</v>
      </c>
      <c r="E53" s="3" t="s">
        <v>69</v>
      </c>
      <c r="F53" s="3" t="s">
        <v>70</v>
      </c>
      <c r="G53" s="9" t="s">
        <v>146</v>
      </c>
      <c r="H53" s="6"/>
      <c r="I53" s="3"/>
      <c r="J53" s="3"/>
      <c r="K53" s="3"/>
      <c r="L53" s="3">
        <v>38420.0</v>
      </c>
      <c r="M53" s="3"/>
      <c r="N53" s="5"/>
    </row>
    <row r="54" ht="15.75" customHeight="1">
      <c r="A54" s="8" t="s">
        <v>147</v>
      </c>
      <c r="B54" s="3"/>
      <c r="C54" s="3" t="s">
        <v>15</v>
      </c>
      <c r="D54" s="3">
        <v>2022.0</v>
      </c>
      <c r="E54" s="3" t="s">
        <v>69</v>
      </c>
      <c r="F54" s="3" t="s">
        <v>70</v>
      </c>
      <c r="G54" s="11" t="s">
        <v>148</v>
      </c>
      <c r="H54" s="6"/>
      <c r="I54" s="3"/>
      <c r="J54" s="3"/>
      <c r="K54" s="3"/>
      <c r="L54" s="3">
        <v>38510.0</v>
      </c>
      <c r="M54" s="3"/>
      <c r="N54" s="5"/>
    </row>
    <row r="55" ht="15.75" customHeight="1">
      <c r="A55" s="8" t="s">
        <v>149</v>
      </c>
      <c r="B55" s="3"/>
      <c r="C55" s="3" t="s">
        <v>15</v>
      </c>
      <c r="D55" s="3">
        <v>2022.0</v>
      </c>
      <c r="E55" s="3" t="s">
        <v>69</v>
      </c>
      <c r="F55" s="3" t="s">
        <v>150</v>
      </c>
      <c r="G55" s="9" t="s">
        <v>151</v>
      </c>
      <c r="H55" s="6"/>
      <c r="I55" s="3"/>
      <c r="J55" s="3"/>
      <c r="K55" s="3"/>
      <c r="L55" s="3">
        <v>38560.0</v>
      </c>
      <c r="M55" s="3"/>
      <c r="N55" s="5"/>
    </row>
    <row r="56" ht="15.75" customHeight="1">
      <c r="A56" s="8" t="s">
        <v>149</v>
      </c>
      <c r="B56" s="3"/>
      <c r="C56" s="3" t="s">
        <v>15</v>
      </c>
      <c r="D56" s="3">
        <v>2022.0</v>
      </c>
      <c r="E56" s="3" t="s">
        <v>69</v>
      </c>
      <c r="F56" s="3" t="s">
        <v>70</v>
      </c>
      <c r="G56" s="11" t="s">
        <v>151</v>
      </c>
      <c r="H56" s="6"/>
      <c r="I56" s="3"/>
      <c r="J56" s="3"/>
      <c r="K56" s="3"/>
      <c r="L56" s="3">
        <v>38560.0</v>
      </c>
      <c r="M56" s="3"/>
      <c r="N56" s="5"/>
    </row>
    <row r="57" ht="15.75" customHeight="1">
      <c r="A57" s="8" t="s">
        <v>152</v>
      </c>
      <c r="B57" s="3"/>
      <c r="C57" s="3" t="s">
        <v>15</v>
      </c>
      <c r="D57" s="3">
        <v>2022.0</v>
      </c>
      <c r="E57" s="3" t="s">
        <v>69</v>
      </c>
      <c r="F57" s="3" t="s">
        <v>70</v>
      </c>
      <c r="G57" s="9" t="s">
        <v>153</v>
      </c>
      <c r="H57" s="6"/>
      <c r="I57" s="3"/>
      <c r="J57" s="3"/>
      <c r="K57" s="3"/>
      <c r="L57" s="3">
        <v>38610.0</v>
      </c>
      <c r="M57" s="3"/>
      <c r="N57" s="5"/>
    </row>
    <row r="58" ht="15.75" customHeight="1">
      <c r="A58" s="8" t="s">
        <v>154</v>
      </c>
      <c r="B58" s="3"/>
      <c r="C58" s="3" t="s">
        <v>15</v>
      </c>
      <c r="D58" s="3">
        <v>2022.0</v>
      </c>
      <c r="E58" s="3" t="s">
        <v>69</v>
      </c>
      <c r="F58" s="3" t="s">
        <v>70</v>
      </c>
      <c r="G58" s="11" t="s">
        <v>155</v>
      </c>
      <c r="H58" s="6"/>
      <c r="I58" s="3"/>
      <c r="J58" s="3"/>
      <c r="K58" s="3"/>
      <c r="L58" s="3">
        <v>38900.0</v>
      </c>
      <c r="M58" s="3"/>
      <c r="N58" s="5"/>
    </row>
    <row r="59" ht="15.75" customHeight="1">
      <c r="A59" s="8" t="s">
        <v>156</v>
      </c>
      <c r="B59" s="3"/>
      <c r="C59" s="3" t="s">
        <v>15</v>
      </c>
      <c r="D59" s="3">
        <v>2022.0</v>
      </c>
      <c r="E59" s="3" t="s">
        <v>69</v>
      </c>
      <c r="F59" s="3" t="s">
        <v>70</v>
      </c>
      <c r="G59" s="9" t="s">
        <v>157</v>
      </c>
      <c r="H59" s="6"/>
      <c r="I59" s="3"/>
      <c r="J59" s="3"/>
      <c r="K59" s="3"/>
      <c r="L59" s="3">
        <v>39770.0</v>
      </c>
      <c r="M59" s="3"/>
      <c r="N59" s="5"/>
    </row>
    <row r="60" ht="15.75" customHeight="1">
      <c r="A60" s="8" t="s">
        <v>158</v>
      </c>
      <c r="B60" s="3"/>
      <c r="C60" s="3" t="s">
        <v>15</v>
      </c>
      <c r="D60" s="3">
        <v>2022.0</v>
      </c>
      <c r="E60" s="3" t="s">
        <v>69</v>
      </c>
      <c r="F60" s="3" t="s">
        <v>70</v>
      </c>
      <c r="G60" s="11" t="s">
        <v>159</v>
      </c>
      <c r="H60" s="6"/>
      <c r="I60" s="3"/>
      <c r="J60" s="3"/>
      <c r="K60" s="3"/>
      <c r="L60" s="3">
        <v>39790.0</v>
      </c>
      <c r="M60" s="3"/>
      <c r="N60" s="5"/>
    </row>
    <row r="61" ht="15.75" customHeight="1">
      <c r="A61" s="8" t="s">
        <v>160</v>
      </c>
      <c r="B61" s="3"/>
      <c r="C61" s="3" t="s">
        <v>15</v>
      </c>
      <c r="D61" s="3">
        <v>2022.0</v>
      </c>
      <c r="E61" s="3" t="s">
        <v>69</v>
      </c>
      <c r="F61" s="3" t="s">
        <v>70</v>
      </c>
      <c r="G61" s="9" t="s">
        <v>161</v>
      </c>
      <c r="H61" s="6"/>
      <c r="I61" s="3"/>
      <c r="J61" s="3"/>
      <c r="K61" s="3"/>
      <c r="L61" s="3">
        <v>40320.0</v>
      </c>
      <c r="M61" s="3"/>
      <c r="N61" s="5"/>
    </row>
    <row r="62" ht="15.75" customHeight="1">
      <c r="A62" s="8" t="s">
        <v>162</v>
      </c>
      <c r="B62" s="3"/>
      <c r="C62" s="3" t="s">
        <v>15</v>
      </c>
      <c r="D62" s="3">
        <v>2022.0</v>
      </c>
      <c r="E62" s="3" t="s">
        <v>69</v>
      </c>
      <c r="F62" s="3" t="s">
        <v>70</v>
      </c>
      <c r="G62" s="11" t="s">
        <v>163</v>
      </c>
      <c r="H62" s="6"/>
      <c r="I62" s="3"/>
      <c r="J62" s="3"/>
      <c r="K62" s="3"/>
      <c r="L62" s="3">
        <v>40610.0</v>
      </c>
      <c r="M62" s="3"/>
      <c r="N62" s="5"/>
    </row>
    <row r="63" ht="15.75" customHeight="1">
      <c r="A63" s="8" t="s">
        <v>164</v>
      </c>
      <c r="B63" s="3"/>
      <c r="C63" s="3" t="s">
        <v>15</v>
      </c>
      <c r="D63" s="3">
        <v>2022.0</v>
      </c>
      <c r="E63" s="3" t="s">
        <v>69</v>
      </c>
      <c r="F63" s="3" t="s">
        <v>150</v>
      </c>
      <c r="G63" s="9" t="s">
        <v>165</v>
      </c>
      <c r="H63" s="6"/>
      <c r="I63" s="3"/>
      <c r="J63" s="3"/>
      <c r="K63" s="3"/>
      <c r="L63" s="3">
        <v>41520.0</v>
      </c>
      <c r="M63" s="3"/>
      <c r="N63" s="5"/>
    </row>
    <row r="64" ht="15.75" customHeight="1">
      <c r="A64" s="8" t="s">
        <v>166</v>
      </c>
      <c r="B64" s="3"/>
      <c r="C64" s="3" t="s">
        <v>15</v>
      </c>
      <c r="D64" s="3">
        <v>2022.0</v>
      </c>
      <c r="E64" s="3" t="s">
        <v>69</v>
      </c>
      <c r="F64" s="3" t="s">
        <v>150</v>
      </c>
      <c r="G64" s="11" t="s">
        <v>167</v>
      </c>
      <c r="H64" s="6"/>
      <c r="I64" s="3"/>
      <c r="J64" s="3"/>
      <c r="K64" s="3"/>
      <c r="L64" s="3">
        <v>41570.0</v>
      </c>
      <c r="M64" s="3"/>
      <c r="N64" s="5"/>
    </row>
    <row r="65" ht="15.75" customHeight="1">
      <c r="A65" s="8" t="s">
        <v>166</v>
      </c>
      <c r="B65" s="3"/>
      <c r="C65" s="3" t="s">
        <v>15</v>
      </c>
      <c r="D65" s="3">
        <v>2022.0</v>
      </c>
      <c r="E65" s="3" t="s">
        <v>69</v>
      </c>
      <c r="F65" s="3" t="s">
        <v>70</v>
      </c>
      <c r="G65" s="9" t="s">
        <v>167</v>
      </c>
      <c r="H65" s="6"/>
      <c r="I65" s="3"/>
      <c r="J65" s="3"/>
      <c r="K65" s="3"/>
      <c r="L65" s="3">
        <v>41570.0</v>
      </c>
      <c r="M65" s="3"/>
      <c r="N65" s="5"/>
    </row>
    <row r="66" ht="15.75" customHeight="1">
      <c r="A66" s="8" t="s">
        <v>168</v>
      </c>
      <c r="B66" s="3"/>
      <c r="C66" s="3" t="s">
        <v>15</v>
      </c>
      <c r="D66" s="3">
        <v>2022.0</v>
      </c>
      <c r="E66" s="3" t="s">
        <v>69</v>
      </c>
      <c r="F66" s="3" t="s">
        <v>119</v>
      </c>
      <c r="G66" s="11" t="s">
        <v>169</v>
      </c>
      <c r="H66" s="6"/>
      <c r="I66" s="3"/>
      <c r="J66" s="3"/>
      <c r="K66" s="3"/>
      <c r="L66" s="3">
        <v>44730.0</v>
      </c>
      <c r="M66" s="3"/>
      <c r="N66" s="5"/>
    </row>
    <row r="67" ht="15.75" customHeight="1">
      <c r="A67" s="8" t="s">
        <v>170</v>
      </c>
      <c r="B67" s="3"/>
      <c r="C67" s="3" t="s">
        <v>15</v>
      </c>
      <c r="D67" s="3">
        <v>2022.0</v>
      </c>
      <c r="E67" s="3" t="s">
        <v>69</v>
      </c>
      <c r="F67" s="3" t="s">
        <v>70</v>
      </c>
      <c r="G67" s="9" t="s">
        <v>171</v>
      </c>
      <c r="H67" s="6"/>
      <c r="I67" s="3"/>
      <c r="J67" s="3"/>
      <c r="K67" s="3"/>
      <c r="L67" s="3">
        <v>44970.0</v>
      </c>
      <c r="M67" s="3"/>
      <c r="N67" s="5"/>
    </row>
    <row r="68" ht="15.75" customHeight="1">
      <c r="A68" s="8" t="s">
        <v>172</v>
      </c>
      <c r="B68" s="3"/>
      <c r="C68" s="3" t="s">
        <v>15</v>
      </c>
      <c r="D68" s="3">
        <v>2022.0</v>
      </c>
      <c r="E68" s="3" t="s">
        <v>69</v>
      </c>
      <c r="F68" s="3" t="s">
        <v>70</v>
      </c>
      <c r="G68" s="11" t="s">
        <v>173</v>
      </c>
      <c r="H68" s="6"/>
      <c r="I68" s="3"/>
      <c r="J68" s="3"/>
      <c r="K68" s="3"/>
      <c r="L68" s="3">
        <v>44990.0</v>
      </c>
      <c r="M68" s="3"/>
      <c r="N68" s="5"/>
    </row>
    <row r="69" ht="15.75" customHeight="1">
      <c r="A69" s="8" t="s">
        <v>174</v>
      </c>
      <c r="B69" s="3"/>
      <c r="C69" s="3" t="s">
        <v>15</v>
      </c>
      <c r="D69" s="3">
        <v>2022.0</v>
      </c>
      <c r="E69" s="3" t="s">
        <v>69</v>
      </c>
      <c r="F69" s="3" t="s">
        <v>70</v>
      </c>
      <c r="G69" s="9" t="s">
        <v>175</v>
      </c>
      <c r="H69" s="6"/>
      <c r="I69" s="3"/>
      <c r="J69" s="3"/>
      <c r="K69" s="3"/>
      <c r="L69" s="3">
        <v>45000.0</v>
      </c>
      <c r="M69" s="3"/>
      <c r="N69" s="5"/>
    </row>
    <row r="70" ht="15.75" customHeight="1">
      <c r="A70" s="8" t="s">
        <v>176</v>
      </c>
      <c r="B70" s="3"/>
      <c r="C70" s="3" t="s">
        <v>15</v>
      </c>
      <c r="D70" s="3">
        <v>2022.0</v>
      </c>
      <c r="E70" s="3" t="s">
        <v>69</v>
      </c>
      <c r="F70" s="3" t="s">
        <v>70</v>
      </c>
      <c r="G70" s="11" t="s">
        <v>177</v>
      </c>
      <c r="H70" s="6"/>
      <c r="I70" s="3"/>
      <c r="J70" s="3"/>
      <c r="K70" s="3"/>
      <c r="L70" s="3">
        <v>45150.0</v>
      </c>
      <c r="M70" s="3"/>
      <c r="N70" s="5"/>
    </row>
    <row r="71" ht="15.75" customHeight="1">
      <c r="A71" s="8" t="s">
        <v>178</v>
      </c>
      <c r="B71" s="3"/>
      <c r="C71" s="3" t="s">
        <v>15</v>
      </c>
      <c r="D71" s="3">
        <v>2022.0</v>
      </c>
      <c r="E71" s="3" t="s">
        <v>69</v>
      </c>
      <c r="F71" s="3" t="s">
        <v>70</v>
      </c>
      <c r="G71" s="9" t="s">
        <v>179</v>
      </c>
      <c r="H71" s="6"/>
      <c r="I71" s="3"/>
      <c r="J71" s="3"/>
      <c r="K71" s="3"/>
      <c r="L71" s="3">
        <v>45320.0</v>
      </c>
      <c r="M71" s="3"/>
      <c r="N71" s="5"/>
    </row>
    <row r="72" ht="15.75" customHeight="1">
      <c r="A72" s="8" t="s">
        <v>180</v>
      </c>
      <c r="B72" s="3"/>
      <c r="C72" s="3" t="s">
        <v>15</v>
      </c>
      <c r="D72" s="3">
        <v>2022.0</v>
      </c>
      <c r="E72" s="3" t="s">
        <v>69</v>
      </c>
      <c r="F72" s="3" t="s">
        <v>129</v>
      </c>
      <c r="G72" s="11" t="s">
        <v>181</v>
      </c>
      <c r="H72" s="6"/>
      <c r="I72" s="3"/>
      <c r="J72" s="3"/>
      <c r="K72" s="3"/>
      <c r="L72" s="3">
        <v>45650.0</v>
      </c>
      <c r="M72" s="3"/>
      <c r="N72" s="5"/>
    </row>
    <row r="73" ht="15.75" customHeight="1">
      <c r="A73" s="8" t="s">
        <v>182</v>
      </c>
      <c r="B73" s="3"/>
      <c r="C73" s="3" t="s">
        <v>15</v>
      </c>
      <c r="D73" s="3">
        <v>2022.0</v>
      </c>
      <c r="E73" s="3" t="s">
        <v>69</v>
      </c>
      <c r="F73" s="3" t="s">
        <v>70</v>
      </c>
      <c r="G73" s="9" t="s">
        <v>183</v>
      </c>
      <c r="H73" s="6"/>
      <c r="I73" s="3"/>
      <c r="J73" s="3"/>
      <c r="K73" s="3"/>
      <c r="L73" s="3">
        <v>47400.0</v>
      </c>
      <c r="M73" s="3"/>
      <c r="N73" s="5"/>
    </row>
    <row r="74" ht="15.75" customHeight="1">
      <c r="A74" s="8" t="s">
        <v>184</v>
      </c>
      <c r="B74" s="3"/>
      <c r="C74" s="3" t="s">
        <v>15</v>
      </c>
      <c r="D74" s="3">
        <v>2022.0</v>
      </c>
      <c r="E74" s="3" t="s">
        <v>69</v>
      </c>
      <c r="F74" s="3" t="s">
        <v>150</v>
      </c>
      <c r="G74" s="11" t="s">
        <v>185</v>
      </c>
      <c r="H74" s="6"/>
      <c r="I74" s="3"/>
      <c r="J74" s="3"/>
      <c r="K74" s="3"/>
      <c r="L74" s="3">
        <v>48970.0</v>
      </c>
      <c r="M74" s="3"/>
      <c r="N74" s="5"/>
    </row>
    <row r="75" ht="15.75" customHeight="1">
      <c r="A75" s="8" t="s">
        <v>186</v>
      </c>
      <c r="B75" s="3"/>
      <c r="C75" s="3" t="s">
        <v>15</v>
      </c>
      <c r="D75" s="3">
        <v>2022.0</v>
      </c>
      <c r="E75" s="3" t="s">
        <v>69</v>
      </c>
      <c r="F75" s="3" t="s">
        <v>150</v>
      </c>
      <c r="G75" s="9" t="s">
        <v>187</v>
      </c>
      <c r="H75" s="6"/>
      <c r="I75" s="3"/>
      <c r="J75" s="3"/>
      <c r="K75" s="3"/>
      <c r="L75" s="3">
        <v>49210.0</v>
      </c>
      <c r="M75" s="3"/>
      <c r="N75" s="5"/>
    </row>
    <row r="76" ht="15.75" customHeight="1">
      <c r="A76" s="8" t="s">
        <v>188</v>
      </c>
      <c r="B76" s="3"/>
      <c r="C76" s="3" t="s">
        <v>15</v>
      </c>
      <c r="D76" s="3">
        <v>2022.0</v>
      </c>
      <c r="E76" s="3" t="s">
        <v>69</v>
      </c>
      <c r="F76" s="3" t="s">
        <v>189</v>
      </c>
      <c r="G76" s="11" t="s">
        <v>190</v>
      </c>
      <c r="H76" s="6"/>
      <c r="I76" s="3"/>
      <c r="J76" s="3"/>
      <c r="K76" s="3"/>
      <c r="L76" s="3">
        <v>50340.0</v>
      </c>
      <c r="M76" s="3"/>
      <c r="N76" s="5"/>
    </row>
    <row r="77" ht="15.75" customHeight="1">
      <c r="A77" s="8" t="s">
        <v>191</v>
      </c>
      <c r="B77" s="3"/>
      <c r="C77" s="3" t="s">
        <v>15</v>
      </c>
      <c r="D77" s="3">
        <v>2022.0</v>
      </c>
      <c r="E77" s="3" t="s">
        <v>69</v>
      </c>
      <c r="F77" s="3" t="s">
        <v>189</v>
      </c>
      <c r="G77" s="9" t="s">
        <v>192</v>
      </c>
      <c r="H77" s="6"/>
      <c r="I77" s="3"/>
      <c r="J77" s="3"/>
      <c r="K77" s="3"/>
      <c r="L77" s="3">
        <v>51810.0</v>
      </c>
      <c r="M77" s="3"/>
      <c r="N77" s="5"/>
    </row>
    <row r="78" ht="15.75" customHeight="1">
      <c r="A78" s="8" t="s">
        <v>193</v>
      </c>
      <c r="B78" s="3"/>
      <c r="C78" s="3" t="s">
        <v>15</v>
      </c>
      <c r="D78" s="3">
        <v>2022.0</v>
      </c>
      <c r="E78" s="3" t="s">
        <v>69</v>
      </c>
      <c r="F78" s="3" t="s">
        <v>150</v>
      </c>
      <c r="G78" s="11" t="s">
        <v>194</v>
      </c>
      <c r="H78" s="6"/>
      <c r="I78" s="3"/>
      <c r="J78" s="3"/>
      <c r="K78" s="3"/>
      <c r="L78" s="3">
        <v>52230.0</v>
      </c>
      <c r="M78" s="3"/>
      <c r="N78" s="5"/>
    </row>
    <row r="79" ht="15.75" customHeight="1">
      <c r="A79" s="8" t="s">
        <v>195</v>
      </c>
      <c r="B79" s="3"/>
      <c r="C79" s="3" t="s">
        <v>15</v>
      </c>
      <c r="D79" s="3">
        <v>2022.0</v>
      </c>
      <c r="E79" s="3" t="s">
        <v>69</v>
      </c>
      <c r="F79" s="3" t="s">
        <v>189</v>
      </c>
      <c r="G79" s="9" t="s">
        <v>196</v>
      </c>
      <c r="H79" s="6"/>
      <c r="I79" s="3"/>
      <c r="J79" s="3"/>
      <c r="K79" s="3"/>
      <c r="L79" s="3">
        <v>92290.0</v>
      </c>
      <c r="M79" s="3"/>
      <c r="N79" s="5"/>
    </row>
    <row r="80" ht="15.75" customHeight="1">
      <c r="A80" s="8" t="s">
        <v>197</v>
      </c>
      <c r="B80" s="3"/>
      <c r="C80" s="3" t="s">
        <v>15</v>
      </c>
      <c r="D80" s="3">
        <v>2022.0</v>
      </c>
      <c r="E80" s="3" t="s">
        <v>69</v>
      </c>
      <c r="F80" s="3" t="s">
        <v>70</v>
      </c>
      <c r="G80" s="11" t="s">
        <v>198</v>
      </c>
      <c r="H80" s="6"/>
      <c r="I80" s="3"/>
      <c r="J80" s="3"/>
      <c r="K80" s="3"/>
      <c r="L80" s="3">
        <v>5030.0</v>
      </c>
      <c r="M80" s="3"/>
      <c r="N80" s="5"/>
    </row>
    <row r="81" ht="15.75" customHeight="1">
      <c r="A81" s="8" t="s">
        <v>199</v>
      </c>
      <c r="B81" s="3"/>
      <c r="C81" s="3" t="s">
        <v>15</v>
      </c>
      <c r="D81" s="3">
        <v>2022.0</v>
      </c>
      <c r="E81" s="3" t="s">
        <v>69</v>
      </c>
      <c r="F81" s="3" t="s">
        <v>70</v>
      </c>
      <c r="G81" s="9" t="s">
        <v>200</v>
      </c>
      <c r="H81" s="6"/>
      <c r="I81" s="3"/>
      <c r="J81" s="3"/>
      <c r="K81" s="3"/>
      <c r="L81" s="3">
        <v>7290.0</v>
      </c>
      <c r="M81" s="3"/>
      <c r="N81" s="5"/>
    </row>
    <row r="82" ht="15.75" customHeight="1">
      <c r="A82" s="8" t="s">
        <v>201</v>
      </c>
      <c r="B82" s="3"/>
      <c r="C82" s="3" t="s">
        <v>15</v>
      </c>
      <c r="D82" s="3">
        <v>2022.0</v>
      </c>
      <c r="E82" s="3" t="s">
        <v>69</v>
      </c>
      <c r="F82" s="3" t="s">
        <v>202</v>
      </c>
      <c r="G82" s="11" t="s">
        <v>203</v>
      </c>
      <c r="H82" s="6"/>
      <c r="I82" s="3"/>
      <c r="J82" s="3"/>
      <c r="K82" s="3"/>
      <c r="L82" s="3">
        <v>7990.0</v>
      </c>
      <c r="M82" s="3"/>
      <c r="N82" s="5"/>
    </row>
    <row r="83" ht="15.75" customHeight="1">
      <c r="A83" s="8" t="s">
        <v>204</v>
      </c>
      <c r="B83" s="3"/>
      <c r="C83" s="3" t="s">
        <v>15</v>
      </c>
      <c r="D83" s="3">
        <v>2022.0</v>
      </c>
      <c r="E83" s="3" t="s">
        <v>69</v>
      </c>
      <c r="F83" s="3" t="s">
        <v>70</v>
      </c>
      <c r="G83" s="9" t="s">
        <v>205</v>
      </c>
      <c r="H83" s="6"/>
      <c r="I83" s="3"/>
      <c r="J83" s="3"/>
      <c r="K83" s="3"/>
      <c r="L83" s="3">
        <v>14430.0</v>
      </c>
      <c r="M83" s="3"/>
      <c r="N83" s="5"/>
    </row>
    <row r="84" ht="15.75" customHeight="1">
      <c r="A84" s="8" t="s">
        <v>206</v>
      </c>
      <c r="B84" s="3"/>
      <c r="C84" s="3" t="s">
        <v>15</v>
      </c>
      <c r="D84" s="3">
        <v>2022.0</v>
      </c>
      <c r="E84" s="3" t="s">
        <v>69</v>
      </c>
      <c r="F84" s="3" t="s">
        <v>70</v>
      </c>
      <c r="G84" s="11" t="s">
        <v>207</v>
      </c>
      <c r="H84" s="6"/>
      <c r="I84" s="3"/>
      <c r="J84" s="3"/>
      <c r="K84" s="3"/>
      <c r="L84" s="3">
        <v>19320.0</v>
      </c>
      <c r="M84" s="3"/>
      <c r="N84" s="5"/>
    </row>
    <row r="85" ht="15.75" customHeight="1">
      <c r="A85" s="8" t="s">
        <v>208</v>
      </c>
      <c r="B85" s="3"/>
      <c r="C85" s="3" t="s">
        <v>15</v>
      </c>
      <c r="D85" s="3">
        <v>2022.0</v>
      </c>
      <c r="E85" s="3" t="s">
        <v>69</v>
      </c>
      <c r="F85" s="3" t="s">
        <v>70</v>
      </c>
      <c r="G85" s="9" t="s">
        <v>209</v>
      </c>
      <c r="H85" s="6"/>
      <c r="I85" s="3"/>
      <c r="J85" s="3"/>
      <c r="K85" s="3"/>
      <c r="L85" s="3">
        <v>20400.0</v>
      </c>
      <c r="M85" s="3"/>
      <c r="N85" s="5"/>
    </row>
    <row r="86" ht="15.75" customHeight="1">
      <c r="A86" s="8" t="s">
        <v>210</v>
      </c>
      <c r="B86" s="3"/>
      <c r="C86" s="3" t="s">
        <v>15</v>
      </c>
      <c r="D86" s="3">
        <v>2022.0</v>
      </c>
      <c r="E86" s="3" t="s">
        <v>69</v>
      </c>
      <c r="F86" s="3" t="s">
        <v>70</v>
      </c>
      <c r="G86" s="11" t="s">
        <v>211</v>
      </c>
      <c r="H86" s="6"/>
      <c r="I86" s="3"/>
      <c r="J86" s="3"/>
      <c r="K86" s="3"/>
      <c r="L86" s="3">
        <v>21870.0</v>
      </c>
      <c r="M86" s="3"/>
      <c r="N86" s="5"/>
    </row>
    <row r="87" ht="15.75" customHeight="1">
      <c r="A87" s="8" t="s">
        <v>212</v>
      </c>
      <c r="B87" s="3"/>
      <c r="C87" s="3" t="s">
        <v>15</v>
      </c>
      <c r="D87" s="3">
        <v>2022.0</v>
      </c>
      <c r="E87" s="3" t="s">
        <v>69</v>
      </c>
      <c r="F87" s="3" t="s">
        <v>70</v>
      </c>
      <c r="G87" s="9" t="s">
        <v>213</v>
      </c>
      <c r="H87" s="6"/>
      <c r="I87" s="3"/>
      <c r="J87" s="3"/>
      <c r="K87" s="3"/>
      <c r="L87" s="3">
        <v>25430.0</v>
      </c>
      <c r="M87" s="3"/>
      <c r="N87" s="5"/>
    </row>
    <row r="88" ht="15.75" customHeight="1">
      <c r="A88" s="8" t="s">
        <v>212</v>
      </c>
      <c r="B88" s="3"/>
      <c r="C88" s="3" t="s">
        <v>15</v>
      </c>
      <c r="D88" s="3">
        <v>2022.0</v>
      </c>
      <c r="E88" s="3" t="s">
        <v>69</v>
      </c>
      <c r="F88" s="3" t="s">
        <v>70</v>
      </c>
      <c r="G88" s="11" t="s">
        <v>213</v>
      </c>
      <c r="H88" s="6"/>
      <c r="I88" s="3"/>
      <c r="J88" s="3"/>
      <c r="K88" s="3"/>
      <c r="L88" s="3">
        <v>25430.0</v>
      </c>
      <c r="M88" s="3"/>
      <c r="N88" s="5"/>
    </row>
    <row r="89" ht="15.75" customHeight="1">
      <c r="A89" s="8" t="s">
        <v>214</v>
      </c>
      <c r="B89" s="3"/>
      <c r="C89" s="3" t="s">
        <v>15</v>
      </c>
      <c r="D89" s="3">
        <v>2022.0</v>
      </c>
      <c r="E89" s="3" t="s">
        <v>69</v>
      </c>
      <c r="F89" s="3" t="s">
        <v>70</v>
      </c>
      <c r="G89" s="9" t="s">
        <v>215</v>
      </c>
      <c r="H89" s="6"/>
      <c r="I89" s="3"/>
      <c r="J89" s="3"/>
      <c r="K89" s="3"/>
      <c r="L89" s="3">
        <v>30310.0</v>
      </c>
      <c r="M89" s="3"/>
      <c r="N89" s="5"/>
    </row>
    <row r="90" ht="15.75" customHeight="1">
      <c r="A90" s="8" t="s">
        <v>216</v>
      </c>
      <c r="B90" s="3"/>
      <c r="C90" s="3" t="s">
        <v>15</v>
      </c>
      <c r="D90" s="3">
        <v>2022.0</v>
      </c>
      <c r="E90" s="3" t="s">
        <v>69</v>
      </c>
      <c r="F90" s="3" t="s">
        <v>70</v>
      </c>
      <c r="G90" s="11" t="s">
        <v>217</v>
      </c>
      <c r="H90" s="6"/>
      <c r="I90" s="3"/>
      <c r="J90" s="3"/>
      <c r="K90" s="3"/>
      <c r="L90" s="3">
        <v>30650.0</v>
      </c>
      <c r="M90" s="3"/>
      <c r="N90" s="5"/>
    </row>
    <row r="91" ht="15.75" customHeight="1">
      <c r="A91" s="8" t="s">
        <v>218</v>
      </c>
      <c r="B91" s="3"/>
      <c r="C91" s="3" t="s">
        <v>15</v>
      </c>
      <c r="D91" s="3">
        <v>2022.0</v>
      </c>
      <c r="E91" s="3" t="s">
        <v>69</v>
      </c>
      <c r="F91" s="3" t="s">
        <v>70</v>
      </c>
      <c r="G91" s="9" t="s">
        <v>219</v>
      </c>
      <c r="H91" s="6"/>
      <c r="I91" s="3"/>
      <c r="J91" s="3"/>
      <c r="K91" s="3"/>
      <c r="L91" s="3">
        <v>32900.0</v>
      </c>
      <c r="M91" s="3"/>
      <c r="N91" s="5"/>
    </row>
    <row r="92" ht="15.75" customHeight="1">
      <c r="A92" s="8" t="s">
        <v>220</v>
      </c>
      <c r="B92" s="3"/>
      <c r="C92" s="3" t="s">
        <v>15</v>
      </c>
      <c r="D92" s="3">
        <v>2022.0</v>
      </c>
      <c r="E92" s="3" t="s">
        <v>69</v>
      </c>
      <c r="F92" s="3" t="s">
        <v>70</v>
      </c>
      <c r="G92" s="11" t="s">
        <v>221</v>
      </c>
      <c r="H92" s="6"/>
      <c r="I92" s="3"/>
      <c r="J92" s="3"/>
      <c r="K92" s="3"/>
      <c r="L92" s="3">
        <v>36970.0</v>
      </c>
      <c r="M92" s="3"/>
      <c r="N92" s="5"/>
    </row>
    <row r="93" ht="15.75" customHeight="1">
      <c r="A93" s="8" t="s">
        <v>220</v>
      </c>
      <c r="B93" s="3"/>
      <c r="C93" s="3" t="s">
        <v>15</v>
      </c>
      <c r="D93" s="3">
        <v>2022.0</v>
      </c>
      <c r="E93" s="3" t="s">
        <v>69</v>
      </c>
      <c r="F93" s="3" t="s">
        <v>70</v>
      </c>
      <c r="G93" s="9" t="s">
        <v>221</v>
      </c>
      <c r="H93" s="6"/>
      <c r="I93" s="3"/>
      <c r="J93" s="3"/>
      <c r="K93" s="3"/>
      <c r="L93" s="3">
        <v>36970.0</v>
      </c>
      <c r="M93" s="3"/>
      <c r="N93" s="5"/>
    </row>
    <row r="94" ht="15.75" customHeight="1">
      <c r="A94" s="8" t="s">
        <v>222</v>
      </c>
      <c r="B94" s="3"/>
      <c r="C94" s="3" t="s">
        <v>15</v>
      </c>
      <c r="D94" s="3">
        <v>2022.0</v>
      </c>
      <c r="E94" s="3" t="s">
        <v>69</v>
      </c>
      <c r="F94" s="3" t="s">
        <v>70</v>
      </c>
      <c r="G94" s="11" t="s">
        <v>223</v>
      </c>
      <c r="H94" s="6"/>
      <c r="I94" s="3"/>
      <c r="J94" s="3"/>
      <c r="K94" s="3"/>
      <c r="L94" s="3">
        <v>37790.0</v>
      </c>
      <c r="M94" s="3"/>
      <c r="N94" s="5"/>
    </row>
    <row r="95" ht="15.75" customHeight="1">
      <c r="A95" s="8" t="s">
        <v>224</v>
      </c>
      <c r="B95" s="3"/>
      <c r="C95" s="3" t="s">
        <v>15</v>
      </c>
      <c r="D95" s="3">
        <v>2022.0</v>
      </c>
      <c r="E95" s="3" t="s">
        <v>69</v>
      </c>
      <c r="F95" s="3" t="s">
        <v>70</v>
      </c>
      <c r="G95" s="9" t="s">
        <v>225</v>
      </c>
      <c r="H95" s="6"/>
      <c r="I95" s="3"/>
      <c r="J95" s="3"/>
      <c r="K95" s="3"/>
      <c r="L95" s="3">
        <v>42340.0</v>
      </c>
      <c r="M95" s="3"/>
      <c r="N95" s="5"/>
    </row>
    <row r="96" ht="15.75" customHeight="1">
      <c r="A96" s="8" t="s">
        <v>226</v>
      </c>
      <c r="B96" s="3"/>
      <c r="C96" s="3" t="s">
        <v>15</v>
      </c>
      <c r="D96" s="3">
        <v>2022.0</v>
      </c>
      <c r="E96" s="3" t="s">
        <v>69</v>
      </c>
      <c r="F96" s="3" t="s">
        <v>70</v>
      </c>
      <c r="G96" s="11" t="s">
        <v>227</v>
      </c>
      <c r="H96" s="6"/>
      <c r="I96" s="3"/>
      <c r="J96" s="3"/>
      <c r="K96" s="3"/>
      <c r="L96" s="3">
        <v>46950.0</v>
      </c>
      <c r="M96" s="3"/>
      <c r="N96" s="5"/>
    </row>
    <row r="97" ht="15.75" customHeight="1">
      <c r="A97" s="8" t="s">
        <v>228</v>
      </c>
      <c r="B97" s="3"/>
      <c r="C97" s="3" t="s">
        <v>15</v>
      </c>
      <c r="D97" s="3">
        <v>2022.0</v>
      </c>
      <c r="E97" s="3" t="s">
        <v>69</v>
      </c>
      <c r="F97" s="3" t="s">
        <v>70</v>
      </c>
      <c r="G97" s="9" t="s">
        <v>229</v>
      </c>
      <c r="H97" s="6"/>
      <c r="I97" s="3"/>
      <c r="J97" s="3"/>
      <c r="K97" s="3"/>
      <c r="L97" s="3">
        <v>50440.0</v>
      </c>
      <c r="M97" s="3"/>
      <c r="N97" s="5"/>
    </row>
    <row r="98" ht="15.75" customHeight="1">
      <c r="A98" s="8" t="s">
        <v>230</v>
      </c>
      <c r="B98" s="3"/>
      <c r="C98" s="3" t="s">
        <v>15</v>
      </c>
      <c r="D98" s="3">
        <v>2022.0</v>
      </c>
      <c r="E98" s="3" t="s">
        <v>69</v>
      </c>
      <c r="F98" s="3" t="s">
        <v>202</v>
      </c>
      <c r="G98" s="11" t="s">
        <v>231</v>
      </c>
      <c r="H98" s="6"/>
      <c r="I98" s="3"/>
      <c r="J98" s="3"/>
      <c r="K98" s="3"/>
      <c r="L98" s="3">
        <v>53370.0</v>
      </c>
      <c r="M98" s="3"/>
      <c r="N98" s="5"/>
    </row>
    <row r="99" ht="15.75" customHeight="1">
      <c r="A99" s="8" t="s">
        <v>232</v>
      </c>
      <c r="B99" s="3"/>
      <c r="C99" s="3" t="s">
        <v>15</v>
      </c>
      <c r="D99" s="3">
        <v>2022.0</v>
      </c>
      <c r="E99" s="3" t="s">
        <v>69</v>
      </c>
      <c r="F99" s="3" t="s">
        <v>233</v>
      </c>
      <c r="G99" s="9" t="s">
        <v>234</v>
      </c>
      <c r="H99" s="6"/>
      <c r="I99" s="3"/>
      <c r="J99" s="3"/>
      <c r="K99" s="3"/>
      <c r="L99" s="3">
        <v>108290.0</v>
      </c>
      <c r="M99" s="3"/>
      <c r="N99" s="5"/>
    </row>
    <row r="100" ht="15.75" customHeight="1">
      <c r="A100" s="8" t="s">
        <v>235</v>
      </c>
      <c r="B100" s="3"/>
      <c r="C100" s="3" t="s">
        <v>15</v>
      </c>
      <c r="D100" s="3">
        <v>2022.0</v>
      </c>
      <c r="E100" s="3" t="s">
        <v>69</v>
      </c>
      <c r="F100" s="3" t="s">
        <v>122</v>
      </c>
      <c r="G100" s="11" t="s">
        <v>236</v>
      </c>
      <c r="H100" s="6"/>
      <c r="I100" s="3"/>
      <c r="J100" s="3"/>
      <c r="K100" s="3"/>
      <c r="L100" s="3">
        <v>116430.0</v>
      </c>
      <c r="M100" s="3"/>
      <c r="N100" s="5"/>
    </row>
    <row r="101" ht="15.75" customHeight="1">
      <c r="A101" s="8" t="s">
        <v>237</v>
      </c>
      <c r="B101" s="3"/>
      <c r="C101" s="3" t="s">
        <v>15</v>
      </c>
      <c r="D101" s="3">
        <v>2022.0</v>
      </c>
      <c r="E101" s="3" t="s">
        <v>69</v>
      </c>
      <c r="F101" s="3" t="s">
        <v>238</v>
      </c>
      <c r="G101" s="13" t="s">
        <v>239</v>
      </c>
      <c r="H101" s="6"/>
      <c r="I101" s="3"/>
      <c r="J101" s="3"/>
      <c r="K101" s="3"/>
      <c r="L101" s="3">
        <v>900.0</v>
      </c>
      <c r="M101" s="3"/>
      <c r="N101" s="5"/>
    </row>
    <row r="102" ht="15.75" customHeight="1">
      <c r="A102" s="8" t="s">
        <v>240</v>
      </c>
      <c r="B102" s="3"/>
      <c r="C102" s="3" t="s">
        <v>15</v>
      </c>
      <c r="D102" s="3">
        <v>2022.0</v>
      </c>
      <c r="E102" s="3" t="s">
        <v>69</v>
      </c>
      <c r="F102" s="3" t="s">
        <v>238</v>
      </c>
      <c r="G102" s="14" t="s">
        <v>241</v>
      </c>
      <c r="H102" s="6"/>
      <c r="I102" s="3"/>
      <c r="J102" s="3"/>
      <c r="K102" s="3"/>
      <c r="L102" s="3">
        <v>1330.0</v>
      </c>
      <c r="M102" s="3"/>
      <c r="N102" s="5"/>
    </row>
    <row r="103" ht="15.75" customHeight="1">
      <c r="A103" s="8" t="s">
        <v>240</v>
      </c>
      <c r="B103" s="3"/>
      <c r="C103" s="3" t="s">
        <v>15</v>
      </c>
      <c r="D103" s="3">
        <v>2022.0</v>
      </c>
      <c r="E103" s="3" t="s">
        <v>69</v>
      </c>
      <c r="F103" s="3" t="s">
        <v>238</v>
      </c>
      <c r="G103" s="13" t="s">
        <v>241</v>
      </c>
      <c r="H103" s="6"/>
      <c r="I103" s="3"/>
      <c r="J103" s="3"/>
      <c r="K103" s="3"/>
      <c r="L103" s="3">
        <v>1330.0</v>
      </c>
      <c r="M103" s="3"/>
      <c r="N103" s="5"/>
    </row>
    <row r="104" ht="15.75" customHeight="1">
      <c r="A104" s="8" t="s">
        <v>242</v>
      </c>
      <c r="B104" s="3"/>
      <c r="C104" s="3" t="s">
        <v>15</v>
      </c>
      <c r="D104" s="3">
        <v>2022.0</v>
      </c>
      <c r="E104" s="3" t="s">
        <v>69</v>
      </c>
      <c r="F104" s="3" t="s">
        <v>238</v>
      </c>
      <c r="G104" s="14" t="s">
        <v>243</v>
      </c>
      <c r="H104" s="6"/>
      <c r="I104" s="3"/>
      <c r="J104" s="3"/>
      <c r="K104" s="3"/>
      <c r="L104" s="3">
        <v>1590.0</v>
      </c>
      <c r="M104" s="3"/>
      <c r="N104" s="5"/>
    </row>
    <row r="105" ht="15.75" customHeight="1">
      <c r="A105" s="8" t="s">
        <v>244</v>
      </c>
      <c r="B105" s="3"/>
      <c r="C105" s="3" t="s">
        <v>15</v>
      </c>
      <c r="D105" s="3">
        <v>2022.0</v>
      </c>
      <c r="E105" s="3" t="s">
        <v>69</v>
      </c>
      <c r="F105" s="3" t="s">
        <v>238</v>
      </c>
      <c r="G105" s="13" t="s">
        <v>245</v>
      </c>
      <c r="H105" s="6"/>
      <c r="I105" s="3"/>
      <c r="J105" s="3"/>
      <c r="K105" s="3"/>
      <c r="L105" s="3">
        <v>1791.0</v>
      </c>
      <c r="M105" s="3"/>
      <c r="N105" s="5"/>
    </row>
    <row r="106" ht="15.75" customHeight="1">
      <c r="A106" s="8" t="s">
        <v>244</v>
      </c>
      <c r="B106" s="3"/>
      <c r="C106" s="3" t="s">
        <v>15</v>
      </c>
      <c r="D106" s="3">
        <v>2022.0</v>
      </c>
      <c r="E106" s="3" t="s">
        <v>69</v>
      </c>
      <c r="F106" s="3" t="s">
        <v>238</v>
      </c>
      <c r="G106" s="14" t="s">
        <v>245</v>
      </c>
      <c r="H106" s="6"/>
      <c r="I106" s="3"/>
      <c r="J106" s="3"/>
      <c r="K106" s="3"/>
      <c r="L106" s="3">
        <v>1791.0</v>
      </c>
      <c r="M106" s="3"/>
      <c r="N106" s="5"/>
    </row>
    <row r="107" ht="15.75" customHeight="1">
      <c r="A107" s="8" t="s">
        <v>246</v>
      </c>
      <c r="B107" s="3"/>
      <c r="C107" s="3" t="s">
        <v>15</v>
      </c>
      <c r="D107" s="3">
        <v>2022.0</v>
      </c>
      <c r="E107" s="3" t="s">
        <v>69</v>
      </c>
      <c r="F107" s="3" t="s">
        <v>238</v>
      </c>
      <c r="G107" s="13" t="s">
        <v>247</v>
      </c>
      <c r="H107" s="6"/>
      <c r="I107" s="3"/>
      <c r="J107" s="3"/>
      <c r="K107" s="3"/>
      <c r="L107" s="3">
        <v>1960.0</v>
      </c>
      <c r="M107" s="3"/>
      <c r="N107" s="5"/>
    </row>
    <row r="108" ht="15.75" customHeight="1">
      <c r="A108" s="8" t="s">
        <v>248</v>
      </c>
      <c r="B108" s="3"/>
      <c r="C108" s="3" t="s">
        <v>15</v>
      </c>
      <c r="D108" s="3">
        <v>2022.0</v>
      </c>
      <c r="E108" s="3" t="s">
        <v>69</v>
      </c>
      <c r="F108" s="3" t="s">
        <v>238</v>
      </c>
      <c r="G108" s="14" t="s">
        <v>249</v>
      </c>
      <c r="H108" s="6"/>
      <c r="I108" s="3"/>
      <c r="J108" s="3"/>
      <c r="K108" s="3"/>
      <c r="L108" s="3">
        <v>2060.0</v>
      </c>
      <c r="M108" s="3"/>
      <c r="N108" s="5"/>
    </row>
    <row r="109" ht="15.75" customHeight="1">
      <c r="A109" s="8" t="s">
        <v>250</v>
      </c>
      <c r="B109" s="3"/>
      <c r="C109" s="3" t="s">
        <v>15</v>
      </c>
      <c r="D109" s="3">
        <v>2022.0</v>
      </c>
      <c r="E109" s="3" t="s">
        <v>69</v>
      </c>
      <c r="F109" s="3" t="s">
        <v>238</v>
      </c>
      <c r="G109" s="13" t="s">
        <v>251</v>
      </c>
      <c r="H109" s="6"/>
      <c r="I109" s="3"/>
      <c r="J109" s="3"/>
      <c r="K109" s="3"/>
      <c r="L109" s="3">
        <v>2120.0</v>
      </c>
      <c r="M109" s="3"/>
      <c r="N109" s="5"/>
    </row>
    <row r="110" ht="15.75" customHeight="1">
      <c r="A110" s="8" t="s">
        <v>252</v>
      </c>
      <c r="B110" s="3"/>
      <c r="C110" s="3" t="s">
        <v>15</v>
      </c>
      <c r="D110" s="3">
        <v>2022.0</v>
      </c>
      <c r="E110" s="3" t="s">
        <v>69</v>
      </c>
      <c r="F110" s="3" t="s">
        <v>238</v>
      </c>
      <c r="G110" s="14" t="s">
        <v>253</v>
      </c>
      <c r="H110" s="6"/>
      <c r="I110" s="3"/>
      <c r="J110" s="3"/>
      <c r="K110" s="3"/>
      <c r="L110" s="3">
        <v>2530.0</v>
      </c>
      <c r="M110" s="3"/>
      <c r="N110" s="5"/>
    </row>
    <row r="111" ht="15.75" customHeight="1">
      <c r="A111" s="8" t="s">
        <v>254</v>
      </c>
      <c r="B111" s="3"/>
      <c r="C111" s="3" t="s">
        <v>15</v>
      </c>
      <c r="D111" s="3">
        <v>2022.0</v>
      </c>
      <c r="E111" s="3" t="s">
        <v>69</v>
      </c>
      <c r="F111" s="3" t="s">
        <v>238</v>
      </c>
      <c r="G111" s="13" t="s">
        <v>255</v>
      </c>
      <c r="H111" s="6"/>
      <c r="I111" s="3"/>
      <c r="J111" s="3"/>
      <c r="K111" s="3"/>
      <c r="L111" s="3">
        <v>2660.0</v>
      </c>
      <c r="M111" s="3"/>
      <c r="N111" s="5"/>
    </row>
    <row r="112" ht="15.75" customHeight="1">
      <c r="A112" s="8" t="s">
        <v>254</v>
      </c>
      <c r="B112" s="3"/>
      <c r="C112" s="3" t="s">
        <v>15</v>
      </c>
      <c r="D112" s="3">
        <v>2022.0</v>
      </c>
      <c r="E112" s="3" t="s">
        <v>69</v>
      </c>
      <c r="F112" s="3" t="s">
        <v>238</v>
      </c>
      <c r="G112" s="14" t="s">
        <v>255</v>
      </c>
      <c r="H112" s="6"/>
      <c r="I112" s="3"/>
      <c r="J112" s="3"/>
      <c r="K112" s="3"/>
      <c r="L112" s="3">
        <v>2660.0</v>
      </c>
      <c r="M112" s="3"/>
      <c r="N112" s="5"/>
    </row>
    <row r="113" ht="15.75" customHeight="1">
      <c r="A113" s="8" t="s">
        <v>254</v>
      </c>
      <c r="B113" s="3"/>
      <c r="C113" s="3" t="s">
        <v>15</v>
      </c>
      <c r="D113" s="3">
        <v>2022.0</v>
      </c>
      <c r="E113" s="3" t="s">
        <v>69</v>
      </c>
      <c r="F113" s="3" t="s">
        <v>238</v>
      </c>
      <c r="G113" s="13" t="s">
        <v>255</v>
      </c>
      <c r="H113" s="6"/>
      <c r="I113" s="3"/>
      <c r="J113" s="3"/>
      <c r="K113" s="3"/>
      <c r="L113" s="3">
        <v>2660.0</v>
      </c>
      <c r="M113" s="3"/>
      <c r="N113" s="5"/>
    </row>
    <row r="114" ht="15.75" customHeight="1">
      <c r="A114" s="8" t="s">
        <v>256</v>
      </c>
      <c r="B114" s="3"/>
      <c r="C114" s="3" t="s">
        <v>15</v>
      </c>
      <c r="D114" s="3">
        <v>2022.0</v>
      </c>
      <c r="E114" s="3" t="s">
        <v>69</v>
      </c>
      <c r="F114" s="3" t="s">
        <v>238</v>
      </c>
      <c r="G114" s="14" t="s">
        <v>257</v>
      </c>
      <c r="H114" s="6"/>
      <c r="I114" s="3"/>
      <c r="J114" s="3"/>
      <c r="K114" s="3"/>
      <c r="L114" s="3">
        <v>2860.0</v>
      </c>
      <c r="M114" s="3"/>
      <c r="N114" s="5"/>
    </row>
    <row r="115" ht="15.75" customHeight="1">
      <c r="A115" s="8" t="s">
        <v>258</v>
      </c>
      <c r="B115" s="3"/>
      <c r="C115" s="3" t="s">
        <v>15</v>
      </c>
      <c r="D115" s="3">
        <v>2022.0</v>
      </c>
      <c r="E115" s="3" t="s">
        <v>69</v>
      </c>
      <c r="F115" s="3" t="s">
        <v>238</v>
      </c>
      <c r="G115" s="13" t="s">
        <v>259</v>
      </c>
      <c r="H115" s="6"/>
      <c r="I115" s="3"/>
      <c r="J115" s="3"/>
      <c r="K115" s="3"/>
      <c r="L115" s="3">
        <v>2870.0</v>
      </c>
      <c r="M115" s="3"/>
      <c r="N115" s="5"/>
    </row>
    <row r="116" ht="15.75" customHeight="1">
      <c r="A116" s="8" t="s">
        <v>258</v>
      </c>
      <c r="B116" s="3"/>
      <c r="C116" s="3" t="s">
        <v>15</v>
      </c>
      <c r="D116" s="3">
        <v>2022.0</v>
      </c>
      <c r="E116" s="3" t="s">
        <v>69</v>
      </c>
      <c r="F116" s="3" t="s">
        <v>238</v>
      </c>
      <c r="G116" s="14" t="s">
        <v>259</v>
      </c>
      <c r="H116" s="6"/>
      <c r="I116" s="3"/>
      <c r="J116" s="3"/>
      <c r="K116" s="3"/>
      <c r="L116" s="3">
        <v>2870.0</v>
      </c>
      <c r="M116" s="3"/>
      <c r="N116" s="5"/>
    </row>
    <row r="117" ht="15.75" customHeight="1">
      <c r="A117" s="8" t="s">
        <v>260</v>
      </c>
      <c r="B117" s="3"/>
      <c r="C117" s="3" t="s">
        <v>15</v>
      </c>
      <c r="D117" s="3">
        <v>2022.0</v>
      </c>
      <c r="E117" s="3" t="s">
        <v>69</v>
      </c>
      <c r="F117" s="3" t="s">
        <v>238</v>
      </c>
      <c r="G117" s="13" t="s">
        <v>261</v>
      </c>
      <c r="H117" s="6"/>
      <c r="I117" s="3"/>
      <c r="J117" s="3"/>
      <c r="K117" s="3"/>
      <c r="L117" s="3">
        <v>2920.0</v>
      </c>
      <c r="M117" s="3"/>
      <c r="N117" s="5"/>
    </row>
    <row r="118" ht="15.75" customHeight="1">
      <c r="A118" s="8" t="s">
        <v>262</v>
      </c>
      <c r="B118" s="3"/>
      <c r="C118" s="3" t="s">
        <v>15</v>
      </c>
      <c r="D118" s="3">
        <v>2022.0</v>
      </c>
      <c r="E118" s="3" t="s">
        <v>69</v>
      </c>
      <c r="F118" s="3" t="s">
        <v>238</v>
      </c>
      <c r="G118" s="14" t="s">
        <v>263</v>
      </c>
      <c r="H118" s="6"/>
      <c r="I118" s="3"/>
      <c r="J118" s="3"/>
      <c r="K118" s="3"/>
      <c r="L118" s="3">
        <v>3090.0</v>
      </c>
      <c r="M118" s="3"/>
      <c r="N118" s="5"/>
    </row>
    <row r="119" ht="15.75" customHeight="1">
      <c r="A119" s="8" t="s">
        <v>264</v>
      </c>
      <c r="B119" s="3"/>
      <c r="C119" s="3" t="s">
        <v>15</v>
      </c>
      <c r="D119" s="3">
        <v>2022.0</v>
      </c>
      <c r="E119" s="3" t="s">
        <v>69</v>
      </c>
      <c r="F119" s="3" t="s">
        <v>238</v>
      </c>
      <c r="G119" s="13" t="s">
        <v>265</v>
      </c>
      <c r="H119" s="6"/>
      <c r="I119" s="3"/>
      <c r="J119" s="3"/>
      <c r="K119" s="3"/>
      <c r="L119" s="3">
        <v>4950.0</v>
      </c>
      <c r="M119" s="3"/>
      <c r="N119" s="5"/>
    </row>
    <row r="120" ht="15.75" customHeight="1">
      <c r="A120" s="8" t="s">
        <v>266</v>
      </c>
      <c r="B120" s="3"/>
      <c r="C120" s="3" t="s">
        <v>15</v>
      </c>
      <c r="D120" s="3">
        <v>2022.0</v>
      </c>
      <c r="E120" s="3" t="s">
        <v>69</v>
      </c>
      <c r="F120" s="3" t="s">
        <v>238</v>
      </c>
      <c r="G120" s="14" t="s">
        <v>267</v>
      </c>
      <c r="H120" s="6"/>
      <c r="I120" s="3"/>
      <c r="J120" s="3"/>
      <c r="K120" s="3"/>
      <c r="L120" s="3">
        <v>4960.0</v>
      </c>
      <c r="M120" s="3"/>
      <c r="N120" s="5"/>
    </row>
    <row r="121" ht="15.75" customHeight="1">
      <c r="A121" s="8" t="s">
        <v>268</v>
      </c>
      <c r="B121" s="3"/>
      <c r="C121" s="3" t="s">
        <v>15</v>
      </c>
      <c r="D121" s="3">
        <v>2022.0</v>
      </c>
      <c r="E121" s="3" t="s">
        <v>69</v>
      </c>
      <c r="F121" s="3" t="s">
        <v>238</v>
      </c>
      <c r="G121" s="13" t="s">
        <v>269</v>
      </c>
      <c r="H121" s="6"/>
      <c r="I121" s="3"/>
      <c r="J121" s="3"/>
      <c r="K121" s="3"/>
      <c r="L121" s="3">
        <v>5000.0</v>
      </c>
      <c r="M121" s="3"/>
      <c r="N121" s="5"/>
    </row>
    <row r="122" ht="15.75" customHeight="1">
      <c r="A122" s="8" t="s">
        <v>270</v>
      </c>
      <c r="B122" s="3"/>
      <c r="C122" s="3" t="s">
        <v>15</v>
      </c>
      <c r="D122" s="3">
        <v>2022.0</v>
      </c>
      <c r="E122" s="3" t="s">
        <v>69</v>
      </c>
      <c r="F122" s="3" t="s">
        <v>238</v>
      </c>
      <c r="G122" s="14" t="s">
        <v>271</v>
      </c>
      <c r="H122" s="6"/>
      <c r="I122" s="3"/>
      <c r="J122" s="3"/>
      <c r="K122" s="3"/>
      <c r="L122" s="3">
        <v>5010.0</v>
      </c>
      <c r="M122" s="3"/>
      <c r="N122" s="5"/>
    </row>
    <row r="123" ht="15.75" customHeight="1">
      <c r="A123" s="8" t="s">
        <v>272</v>
      </c>
      <c r="B123" s="3"/>
      <c r="C123" s="3" t="s">
        <v>15</v>
      </c>
      <c r="D123" s="3">
        <v>2022.0</v>
      </c>
      <c r="E123" s="3" t="s">
        <v>69</v>
      </c>
      <c r="F123" s="3" t="s">
        <v>238</v>
      </c>
      <c r="G123" s="13" t="s">
        <v>273</v>
      </c>
      <c r="H123" s="6"/>
      <c r="I123" s="3"/>
      <c r="J123" s="3"/>
      <c r="K123" s="3"/>
      <c r="L123" s="3">
        <v>5040.0</v>
      </c>
      <c r="M123" s="3"/>
      <c r="N123" s="5"/>
    </row>
    <row r="124" ht="15.75" customHeight="1">
      <c r="A124" s="8" t="s">
        <v>272</v>
      </c>
      <c r="B124" s="3"/>
      <c r="C124" s="3" t="s">
        <v>15</v>
      </c>
      <c r="D124" s="3">
        <v>2022.0</v>
      </c>
      <c r="E124" s="3" t="s">
        <v>69</v>
      </c>
      <c r="F124" s="3" t="s">
        <v>238</v>
      </c>
      <c r="G124" s="14" t="s">
        <v>273</v>
      </c>
      <c r="H124" s="6"/>
      <c r="I124" s="3"/>
      <c r="J124" s="3"/>
      <c r="K124" s="3"/>
      <c r="L124" s="3">
        <v>5040.0</v>
      </c>
      <c r="M124" s="3"/>
      <c r="N124" s="5"/>
    </row>
    <row r="125" ht="15.75" customHeight="1">
      <c r="A125" s="8" t="s">
        <v>272</v>
      </c>
      <c r="B125" s="3"/>
      <c r="C125" s="3" t="s">
        <v>15</v>
      </c>
      <c r="D125" s="3">
        <v>2022.0</v>
      </c>
      <c r="E125" s="3" t="s">
        <v>69</v>
      </c>
      <c r="F125" s="3" t="s">
        <v>238</v>
      </c>
      <c r="G125" s="13" t="s">
        <v>273</v>
      </c>
      <c r="H125" s="6"/>
      <c r="I125" s="3"/>
      <c r="J125" s="3"/>
      <c r="K125" s="3"/>
      <c r="L125" s="3">
        <v>5040.0</v>
      </c>
      <c r="M125" s="3"/>
      <c r="N125" s="5"/>
    </row>
    <row r="126" ht="15.75" customHeight="1">
      <c r="A126" s="8" t="s">
        <v>274</v>
      </c>
      <c r="B126" s="3"/>
      <c r="C126" s="3" t="s">
        <v>15</v>
      </c>
      <c r="D126" s="3">
        <v>2022.0</v>
      </c>
      <c r="E126" s="3" t="s">
        <v>69</v>
      </c>
      <c r="F126" s="3" t="s">
        <v>238</v>
      </c>
      <c r="G126" s="14" t="s">
        <v>275</v>
      </c>
      <c r="H126" s="6"/>
      <c r="I126" s="3"/>
      <c r="J126" s="3"/>
      <c r="K126" s="3"/>
      <c r="L126" s="3">
        <v>5120.0</v>
      </c>
      <c r="M126" s="3"/>
      <c r="N126" s="5"/>
    </row>
    <row r="127" ht="15.75" customHeight="1">
      <c r="A127" s="8" t="s">
        <v>274</v>
      </c>
      <c r="B127" s="3"/>
      <c r="C127" s="3" t="s">
        <v>15</v>
      </c>
      <c r="D127" s="3">
        <v>2022.0</v>
      </c>
      <c r="E127" s="3" t="s">
        <v>69</v>
      </c>
      <c r="F127" s="3" t="s">
        <v>238</v>
      </c>
      <c r="G127" s="13" t="s">
        <v>275</v>
      </c>
      <c r="H127" s="6"/>
      <c r="I127" s="3"/>
      <c r="J127" s="3"/>
      <c r="K127" s="3"/>
      <c r="L127" s="3">
        <v>5120.0</v>
      </c>
      <c r="M127" s="3"/>
      <c r="N127" s="5"/>
    </row>
    <row r="128" ht="15.75" customHeight="1">
      <c r="A128" s="8" t="s">
        <v>274</v>
      </c>
      <c r="B128" s="3"/>
      <c r="C128" s="3" t="s">
        <v>15</v>
      </c>
      <c r="D128" s="3">
        <v>2022.0</v>
      </c>
      <c r="E128" s="3" t="s">
        <v>69</v>
      </c>
      <c r="F128" s="3" t="s">
        <v>238</v>
      </c>
      <c r="G128" s="14" t="s">
        <v>275</v>
      </c>
      <c r="H128" s="6"/>
      <c r="I128" s="3"/>
      <c r="J128" s="3"/>
      <c r="K128" s="3"/>
      <c r="L128" s="3">
        <v>5120.0</v>
      </c>
      <c r="M128" s="3"/>
      <c r="N128" s="5"/>
    </row>
    <row r="129" ht="15.75" customHeight="1">
      <c r="A129" s="8" t="s">
        <v>274</v>
      </c>
      <c r="B129" s="3"/>
      <c r="C129" s="3" t="s">
        <v>15</v>
      </c>
      <c r="D129" s="3">
        <v>2022.0</v>
      </c>
      <c r="E129" s="3" t="s">
        <v>69</v>
      </c>
      <c r="F129" s="3" t="s">
        <v>238</v>
      </c>
      <c r="G129" s="13" t="s">
        <v>275</v>
      </c>
      <c r="H129" s="6"/>
      <c r="I129" s="3"/>
      <c r="J129" s="3"/>
      <c r="K129" s="3"/>
      <c r="L129" s="3">
        <v>5120.0</v>
      </c>
      <c r="M129" s="3"/>
      <c r="N129" s="5"/>
    </row>
    <row r="130" ht="15.75" customHeight="1">
      <c r="A130" s="8" t="s">
        <v>276</v>
      </c>
      <c r="B130" s="3"/>
      <c r="C130" s="3" t="s">
        <v>15</v>
      </c>
      <c r="D130" s="3">
        <v>2022.0</v>
      </c>
      <c r="E130" s="3" t="s">
        <v>69</v>
      </c>
      <c r="F130" s="3" t="s">
        <v>238</v>
      </c>
      <c r="G130" s="14" t="s">
        <v>277</v>
      </c>
      <c r="H130" s="6"/>
      <c r="I130" s="3"/>
      <c r="J130" s="3"/>
      <c r="K130" s="3"/>
      <c r="L130" s="3">
        <v>5150.0</v>
      </c>
      <c r="M130" s="3"/>
      <c r="N130" s="5"/>
    </row>
    <row r="131" ht="15.75" customHeight="1">
      <c r="A131" s="8" t="s">
        <v>278</v>
      </c>
      <c r="B131" s="3"/>
      <c r="C131" s="3" t="s">
        <v>15</v>
      </c>
      <c r="D131" s="3">
        <v>2022.0</v>
      </c>
      <c r="E131" s="3" t="s">
        <v>69</v>
      </c>
      <c r="F131" s="3" t="s">
        <v>238</v>
      </c>
      <c r="G131" s="13" t="s">
        <v>279</v>
      </c>
      <c r="H131" s="6"/>
      <c r="I131" s="3"/>
      <c r="J131" s="3"/>
      <c r="K131" s="3"/>
      <c r="L131" s="3">
        <v>5210.0</v>
      </c>
      <c r="M131" s="3"/>
      <c r="N131" s="5"/>
    </row>
    <row r="132" ht="15.75" customHeight="1">
      <c r="A132" s="8" t="s">
        <v>280</v>
      </c>
      <c r="B132" s="3"/>
      <c r="C132" s="3" t="s">
        <v>15</v>
      </c>
      <c r="D132" s="3">
        <v>2022.0</v>
      </c>
      <c r="E132" s="3" t="s">
        <v>69</v>
      </c>
      <c r="F132" s="3" t="s">
        <v>238</v>
      </c>
      <c r="G132" s="14" t="s">
        <v>281</v>
      </c>
      <c r="H132" s="6"/>
      <c r="I132" s="3"/>
      <c r="J132" s="3"/>
      <c r="K132" s="3"/>
      <c r="L132" s="3">
        <v>5780.0</v>
      </c>
      <c r="M132" s="3"/>
      <c r="N132" s="5"/>
    </row>
    <row r="133" ht="15.75" customHeight="1">
      <c r="A133" s="8" t="s">
        <v>280</v>
      </c>
      <c r="B133" s="3"/>
      <c r="C133" s="3" t="s">
        <v>15</v>
      </c>
      <c r="D133" s="3">
        <v>2022.0</v>
      </c>
      <c r="E133" s="3" t="s">
        <v>69</v>
      </c>
      <c r="F133" s="3" t="s">
        <v>238</v>
      </c>
      <c r="G133" s="13" t="s">
        <v>281</v>
      </c>
      <c r="H133" s="6"/>
      <c r="I133" s="3"/>
      <c r="J133" s="3"/>
      <c r="K133" s="3"/>
      <c r="L133" s="3">
        <v>5780.0</v>
      </c>
      <c r="M133" s="3"/>
      <c r="N133" s="5"/>
    </row>
    <row r="134" ht="15.75" customHeight="1">
      <c r="A134" s="8" t="s">
        <v>280</v>
      </c>
      <c r="B134" s="3"/>
      <c r="C134" s="3" t="s">
        <v>15</v>
      </c>
      <c r="D134" s="3">
        <v>2022.0</v>
      </c>
      <c r="E134" s="3" t="s">
        <v>69</v>
      </c>
      <c r="F134" s="3" t="s">
        <v>238</v>
      </c>
      <c r="G134" s="14" t="s">
        <v>281</v>
      </c>
      <c r="H134" s="6"/>
      <c r="I134" s="3"/>
      <c r="J134" s="3"/>
      <c r="K134" s="3"/>
      <c r="L134" s="3">
        <v>5780.0</v>
      </c>
      <c r="M134" s="3"/>
      <c r="N134" s="5"/>
    </row>
    <row r="135" ht="15.75" customHeight="1">
      <c r="A135" s="8" t="s">
        <v>282</v>
      </c>
      <c r="B135" s="3"/>
      <c r="C135" s="3" t="s">
        <v>15</v>
      </c>
      <c r="D135" s="3">
        <v>2022.0</v>
      </c>
      <c r="E135" s="3" t="s">
        <v>69</v>
      </c>
      <c r="F135" s="3" t="s">
        <v>238</v>
      </c>
      <c r="G135" s="13" t="s">
        <v>283</v>
      </c>
      <c r="H135" s="6"/>
      <c r="I135" s="3"/>
      <c r="J135" s="3"/>
      <c r="K135" s="3"/>
      <c r="L135" s="3">
        <v>5800.0</v>
      </c>
      <c r="M135" s="3"/>
      <c r="N135" s="5"/>
    </row>
    <row r="136" ht="15.75" customHeight="1">
      <c r="A136" s="8" t="s">
        <v>282</v>
      </c>
      <c r="B136" s="3"/>
      <c r="C136" s="3" t="s">
        <v>15</v>
      </c>
      <c r="D136" s="3">
        <v>2022.0</v>
      </c>
      <c r="E136" s="3" t="s">
        <v>69</v>
      </c>
      <c r="F136" s="3" t="s">
        <v>238</v>
      </c>
      <c r="G136" s="14" t="s">
        <v>283</v>
      </c>
      <c r="H136" s="6"/>
      <c r="I136" s="3"/>
      <c r="J136" s="3"/>
      <c r="K136" s="3"/>
      <c r="L136" s="3">
        <v>5800.0</v>
      </c>
      <c r="M136" s="3"/>
      <c r="N136" s="5"/>
    </row>
    <row r="137" ht="15.75" customHeight="1">
      <c r="A137" s="8" t="s">
        <v>284</v>
      </c>
      <c r="B137" s="3"/>
      <c r="C137" s="3" t="s">
        <v>15</v>
      </c>
      <c r="D137" s="3">
        <v>2022.0</v>
      </c>
      <c r="E137" s="3" t="s">
        <v>69</v>
      </c>
      <c r="F137" s="3" t="s">
        <v>238</v>
      </c>
      <c r="G137" s="13" t="s">
        <v>285</v>
      </c>
      <c r="H137" s="6"/>
      <c r="I137" s="3"/>
      <c r="J137" s="3"/>
      <c r="K137" s="3"/>
      <c r="L137" s="3">
        <v>6080.0</v>
      </c>
      <c r="M137" s="3"/>
      <c r="N137" s="5"/>
    </row>
    <row r="138" ht="15.75" customHeight="1">
      <c r="A138" s="8" t="s">
        <v>286</v>
      </c>
      <c r="B138" s="3"/>
      <c r="C138" s="3" t="s">
        <v>15</v>
      </c>
      <c r="D138" s="3">
        <v>2022.0</v>
      </c>
      <c r="E138" s="3" t="s">
        <v>69</v>
      </c>
      <c r="F138" s="3" t="s">
        <v>238</v>
      </c>
      <c r="G138" s="14" t="s">
        <v>287</v>
      </c>
      <c r="H138" s="6"/>
      <c r="I138" s="3"/>
      <c r="J138" s="3"/>
      <c r="K138" s="3"/>
      <c r="L138" s="3">
        <v>6380.0</v>
      </c>
      <c r="M138" s="3"/>
      <c r="N138" s="5"/>
    </row>
    <row r="139" ht="15.75" customHeight="1">
      <c r="A139" s="8" t="s">
        <v>288</v>
      </c>
      <c r="B139" s="3"/>
      <c r="C139" s="3" t="s">
        <v>15</v>
      </c>
      <c r="D139" s="3">
        <v>2022.0</v>
      </c>
      <c r="E139" s="3" t="s">
        <v>69</v>
      </c>
      <c r="F139" s="3" t="s">
        <v>238</v>
      </c>
      <c r="G139" s="13" t="s">
        <v>289</v>
      </c>
      <c r="H139" s="6"/>
      <c r="I139" s="3"/>
      <c r="J139" s="3"/>
      <c r="K139" s="3"/>
      <c r="L139" s="3">
        <v>15910.0</v>
      </c>
      <c r="M139" s="3"/>
      <c r="N139" s="5"/>
    </row>
    <row r="140" ht="15.75" customHeight="1">
      <c r="A140" s="8" t="s">
        <v>290</v>
      </c>
      <c r="B140" s="3"/>
      <c r="C140" s="3" t="s">
        <v>15</v>
      </c>
      <c r="D140" s="3">
        <v>2022.0</v>
      </c>
      <c r="E140" s="3" t="s">
        <v>69</v>
      </c>
      <c r="F140" s="3" t="s">
        <v>238</v>
      </c>
      <c r="G140" s="14" t="s">
        <v>291</v>
      </c>
      <c r="H140" s="6"/>
      <c r="I140" s="3"/>
      <c r="J140" s="3"/>
      <c r="K140" s="3"/>
      <c r="L140" s="3">
        <v>22480.0</v>
      </c>
      <c r="M140" s="3"/>
      <c r="N140" s="5"/>
    </row>
    <row r="141" ht="15.75" customHeight="1">
      <c r="A141" s="8" t="s">
        <v>290</v>
      </c>
      <c r="B141" s="3"/>
      <c r="C141" s="3" t="s">
        <v>15</v>
      </c>
      <c r="D141" s="3">
        <v>2022.0</v>
      </c>
      <c r="E141" s="3" t="s">
        <v>69</v>
      </c>
      <c r="F141" s="3" t="s">
        <v>238</v>
      </c>
      <c r="G141" s="9" t="s">
        <v>292</v>
      </c>
      <c r="H141" s="6"/>
      <c r="I141" s="3"/>
      <c r="J141" s="3"/>
      <c r="K141" s="3"/>
      <c r="L141" s="3">
        <v>22480.0</v>
      </c>
      <c r="M141" s="3"/>
      <c r="N141" s="5"/>
    </row>
    <row r="142" ht="15.75" customHeight="1">
      <c r="A142" s="8" t="s">
        <v>293</v>
      </c>
      <c r="B142" s="3"/>
      <c r="C142" s="3" t="s">
        <v>15</v>
      </c>
      <c r="D142" s="3">
        <v>2022.0</v>
      </c>
      <c r="E142" s="3" t="s">
        <v>69</v>
      </c>
      <c r="F142" s="3" t="s">
        <v>238</v>
      </c>
      <c r="G142" s="14" t="s">
        <v>294</v>
      </c>
      <c r="H142" s="6"/>
      <c r="I142" s="3"/>
      <c r="J142" s="3"/>
      <c r="K142" s="3"/>
      <c r="L142" s="3">
        <v>23810.0</v>
      </c>
      <c r="M142" s="3"/>
      <c r="N142" s="5"/>
    </row>
    <row r="143" ht="15.75" customHeight="1">
      <c r="A143" s="8" t="s">
        <v>293</v>
      </c>
      <c r="B143" s="3"/>
      <c r="C143" s="3" t="s">
        <v>15</v>
      </c>
      <c r="D143" s="3">
        <v>2022.0</v>
      </c>
      <c r="E143" s="3" t="s">
        <v>69</v>
      </c>
      <c r="F143" s="3" t="s">
        <v>238</v>
      </c>
      <c r="G143" s="13" t="s">
        <v>294</v>
      </c>
      <c r="H143" s="6"/>
      <c r="I143" s="3"/>
      <c r="J143" s="3"/>
      <c r="K143" s="3"/>
      <c r="L143" s="3">
        <v>23810.0</v>
      </c>
      <c r="M143" s="3"/>
      <c r="N143" s="5"/>
    </row>
    <row r="144" ht="15.75" customHeight="1">
      <c r="A144" s="8" t="s">
        <v>295</v>
      </c>
      <c r="B144" s="3"/>
      <c r="C144" s="3" t="s">
        <v>15</v>
      </c>
      <c r="D144" s="3">
        <v>2022.0</v>
      </c>
      <c r="E144" s="3" t="s">
        <v>69</v>
      </c>
      <c r="F144" s="3" t="s">
        <v>119</v>
      </c>
      <c r="G144" s="11" t="s">
        <v>296</v>
      </c>
      <c r="H144" s="6"/>
      <c r="I144" s="3"/>
      <c r="J144" s="3"/>
      <c r="K144" s="3"/>
      <c r="L144" s="3">
        <v>32920.0</v>
      </c>
      <c r="M144" s="3"/>
      <c r="N144" s="5"/>
    </row>
    <row r="145" ht="15.75" customHeight="1">
      <c r="A145" s="8" t="s">
        <v>297</v>
      </c>
      <c r="B145" s="3"/>
      <c r="C145" s="3" t="s">
        <v>15</v>
      </c>
      <c r="D145" s="3">
        <v>2022.0</v>
      </c>
      <c r="E145" s="3" t="s">
        <v>69</v>
      </c>
      <c r="F145" s="3" t="s">
        <v>238</v>
      </c>
      <c r="G145" s="13" t="s">
        <v>298</v>
      </c>
      <c r="H145" s="6"/>
      <c r="I145" s="3"/>
      <c r="J145" s="3"/>
      <c r="K145" s="3"/>
      <c r="L145" s="3">
        <v>33120.0</v>
      </c>
      <c r="M145" s="3"/>
      <c r="N145" s="5"/>
    </row>
    <row r="146" ht="15.75" customHeight="1">
      <c r="A146" s="8" t="s">
        <v>297</v>
      </c>
      <c r="B146" s="3"/>
      <c r="C146" s="3" t="s">
        <v>15</v>
      </c>
      <c r="D146" s="3">
        <v>2022.0</v>
      </c>
      <c r="E146" s="3" t="s">
        <v>69</v>
      </c>
      <c r="F146" s="3" t="s">
        <v>238</v>
      </c>
      <c r="G146" s="14" t="s">
        <v>298</v>
      </c>
      <c r="H146" s="6"/>
      <c r="I146" s="3"/>
      <c r="J146" s="3"/>
      <c r="K146" s="3"/>
      <c r="L146" s="3">
        <v>33120.0</v>
      </c>
      <c r="M146" s="3"/>
      <c r="N146" s="5"/>
    </row>
    <row r="147" ht="15.75" customHeight="1">
      <c r="A147" s="8" t="s">
        <v>299</v>
      </c>
      <c r="B147" s="3"/>
      <c r="C147" s="3" t="s">
        <v>15</v>
      </c>
      <c r="D147" s="3">
        <v>2022.0</v>
      </c>
      <c r="E147" s="3" t="s">
        <v>69</v>
      </c>
      <c r="F147" s="3" t="s">
        <v>300</v>
      </c>
      <c r="G147" s="9" t="s">
        <v>301</v>
      </c>
      <c r="H147" s="6"/>
      <c r="I147" s="3"/>
      <c r="J147" s="3"/>
      <c r="K147" s="3"/>
      <c r="L147" s="3">
        <v>8400.0</v>
      </c>
      <c r="M147" s="3"/>
      <c r="N147" s="5"/>
    </row>
    <row r="148" ht="15.75" customHeight="1">
      <c r="A148" s="8" t="s">
        <v>302</v>
      </c>
      <c r="B148" s="3"/>
      <c r="C148" s="3" t="s">
        <v>15</v>
      </c>
      <c r="D148" s="3">
        <v>2022.0</v>
      </c>
      <c r="E148" s="3" t="s">
        <v>69</v>
      </c>
      <c r="F148" s="3" t="s">
        <v>189</v>
      </c>
      <c r="G148" s="11" t="s">
        <v>303</v>
      </c>
      <c r="H148" s="6"/>
      <c r="I148" s="3"/>
      <c r="J148" s="3"/>
      <c r="K148" s="3"/>
      <c r="L148" s="3">
        <v>9070.0</v>
      </c>
      <c r="M148" s="3"/>
      <c r="N148" s="5"/>
    </row>
    <row r="149" ht="15.75" customHeight="1">
      <c r="A149" s="8" t="s">
        <v>302</v>
      </c>
      <c r="B149" s="3"/>
      <c r="C149" s="3" t="s">
        <v>15</v>
      </c>
      <c r="D149" s="3">
        <v>2022.0</v>
      </c>
      <c r="E149" s="3" t="s">
        <v>69</v>
      </c>
      <c r="F149" s="3" t="s">
        <v>189</v>
      </c>
      <c r="G149" s="9" t="s">
        <v>303</v>
      </c>
      <c r="H149" s="6"/>
      <c r="I149" s="3"/>
      <c r="J149" s="3"/>
      <c r="K149" s="3"/>
      <c r="L149" s="3">
        <v>9070.0</v>
      </c>
      <c r="M149" s="3"/>
      <c r="N149" s="5"/>
    </row>
    <row r="150" ht="15.75" customHeight="1">
      <c r="A150" s="8" t="s">
        <v>304</v>
      </c>
      <c r="B150" s="3"/>
      <c r="C150" s="3" t="s">
        <v>15</v>
      </c>
      <c r="D150" s="3">
        <v>2022.0</v>
      </c>
      <c r="E150" s="3" t="s">
        <v>69</v>
      </c>
      <c r="F150" s="3" t="s">
        <v>305</v>
      </c>
      <c r="G150" s="11" t="s">
        <v>306</v>
      </c>
      <c r="H150" s="6"/>
      <c r="I150" s="3"/>
      <c r="J150" s="3"/>
      <c r="K150" s="3"/>
      <c r="L150" s="3">
        <v>11350.0</v>
      </c>
      <c r="M150" s="3"/>
      <c r="N150" s="5"/>
    </row>
    <row r="151" ht="15.75" customHeight="1">
      <c r="A151" s="8" t="s">
        <v>304</v>
      </c>
      <c r="B151" s="3"/>
      <c r="C151" s="3" t="s">
        <v>15</v>
      </c>
      <c r="D151" s="3">
        <v>2022.0</v>
      </c>
      <c r="E151" s="3" t="s">
        <v>69</v>
      </c>
      <c r="F151" s="3" t="s">
        <v>305</v>
      </c>
      <c r="G151" s="9" t="s">
        <v>306</v>
      </c>
      <c r="H151" s="6"/>
      <c r="I151" s="3"/>
      <c r="J151" s="3"/>
      <c r="K151" s="3"/>
      <c r="L151" s="3">
        <v>11350.0</v>
      </c>
      <c r="M151" s="3"/>
      <c r="N151" s="5"/>
    </row>
    <row r="152" ht="15.75" customHeight="1">
      <c r="A152" s="8" t="s">
        <v>304</v>
      </c>
      <c r="B152" s="3"/>
      <c r="C152" s="3" t="s">
        <v>15</v>
      </c>
      <c r="D152" s="3">
        <v>2022.0</v>
      </c>
      <c r="E152" s="3" t="s">
        <v>69</v>
      </c>
      <c r="F152" s="3" t="s">
        <v>305</v>
      </c>
      <c r="G152" s="11" t="s">
        <v>306</v>
      </c>
      <c r="H152" s="6"/>
      <c r="I152" s="3"/>
      <c r="J152" s="3"/>
      <c r="K152" s="3"/>
      <c r="L152" s="3">
        <v>11350.0</v>
      </c>
      <c r="M152" s="3"/>
      <c r="N152" s="5"/>
    </row>
    <row r="153" ht="15.75" customHeight="1">
      <c r="A153" s="8" t="s">
        <v>304</v>
      </c>
      <c r="B153" s="3"/>
      <c r="C153" s="3" t="s">
        <v>15</v>
      </c>
      <c r="D153" s="3">
        <v>2022.0</v>
      </c>
      <c r="E153" s="3" t="s">
        <v>69</v>
      </c>
      <c r="F153" s="3" t="s">
        <v>305</v>
      </c>
      <c r="G153" s="9" t="s">
        <v>306</v>
      </c>
      <c r="H153" s="6"/>
      <c r="I153" s="3"/>
      <c r="J153" s="3"/>
      <c r="K153" s="3"/>
      <c r="L153" s="3">
        <v>11350.0</v>
      </c>
      <c r="M153" s="3"/>
      <c r="N153" s="5"/>
    </row>
    <row r="154" ht="15.75" customHeight="1">
      <c r="A154" s="8" t="s">
        <v>304</v>
      </c>
      <c r="B154" s="3"/>
      <c r="C154" s="3" t="s">
        <v>15</v>
      </c>
      <c r="D154" s="3">
        <v>2022.0</v>
      </c>
      <c r="E154" s="3" t="s">
        <v>69</v>
      </c>
      <c r="F154" s="3" t="s">
        <v>189</v>
      </c>
      <c r="G154" s="11" t="s">
        <v>306</v>
      </c>
      <c r="H154" s="6"/>
      <c r="I154" s="3"/>
      <c r="J154" s="3"/>
      <c r="K154" s="3"/>
      <c r="L154" s="3">
        <v>11350.0</v>
      </c>
      <c r="M154" s="3"/>
      <c r="N154" s="5"/>
    </row>
    <row r="155" ht="15.75" customHeight="1">
      <c r="A155" s="8" t="s">
        <v>307</v>
      </c>
      <c r="B155" s="3"/>
      <c r="C155" s="3" t="s">
        <v>15</v>
      </c>
      <c r="D155" s="3">
        <v>2022.0</v>
      </c>
      <c r="E155" s="3" t="s">
        <v>69</v>
      </c>
      <c r="F155" s="3" t="s">
        <v>189</v>
      </c>
      <c r="G155" s="9" t="s">
        <v>308</v>
      </c>
      <c r="H155" s="6"/>
      <c r="I155" s="3"/>
      <c r="J155" s="3"/>
      <c r="K155" s="3"/>
      <c r="L155" s="3">
        <v>12270.0</v>
      </c>
      <c r="M155" s="3"/>
      <c r="N155" s="5"/>
    </row>
    <row r="156" ht="15.75" customHeight="1">
      <c r="A156" s="8" t="s">
        <v>309</v>
      </c>
      <c r="B156" s="3"/>
      <c r="C156" s="3" t="s">
        <v>15</v>
      </c>
      <c r="D156" s="3">
        <v>2022.0</v>
      </c>
      <c r="E156" s="3" t="s">
        <v>69</v>
      </c>
      <c r="F156" s="3" t="s">
        <v>189</v>
      </c>
      <c r="G156" s="11" t="s">
        <v>310</v>
      </c>
      <c r="H156" s="6"/>
      <c r="I156" s="3"/>
      <c r="J156" s="3"/>
      <c r="K156" s="3"/>
      <c r="L156" s="3">
        <v>13550.0</v>
      </c>
      <c r="M156" s="3"/>
      <c r="N156" s="5"/>
    </row>
    <row r="157" ht="15.75" customHeight="1">
      <c r="A157" s="8" t="s">
        <v>309</v>
      </c>
      <c r="B157" s="3"/>
      <c r="C157" s="3" t="s">
        <v>15</v>
      </c>
      <c r="D157" s="3">
        <v>2022.0</v>
      </c>
      <c r="E157" s="3" t="s">
        <v>69</v>
      </c>
      <c r="F157" s="3" t="s">
        <v>189</v>
      </c>
      <c r="G157" s="9" t="s">
        <v>310</v>
      </c>
      <c r="H157" s="6"/>
      <c r="I157" s="3"/>
      <c r="J157" s="3"/>
      <c r="K157" s="3"/>
      <c r="L157" s="3">
        <v>13550.0</v>
      </c>
      <c r="M157" s="3"/>
      <c r="N157" s="5"/>
    </row>
    <row r="158" ht="15.75" customHeight="1">
      <c r="A158" s="8" t="s">
        <v>311</v>
      </c>
      <c r="B158" s="3"/>
      <c r="C158" s="3" t="s">
        <v>15</v>
      </c>
      <c r="D158" s="3">
        <v>2022.0</v>
      </c>
      <c r="E158" s="3" t="s">
        <v>69</v>
      </c>
      <c r="F158" s="3" t="s">
        <v>305</v>
      </c>
      <c r="G158" s="11" t="s">
        <v>312</v>
      </c>
      <c r="H158" s="6"/>
      <c r="I158" s="3"/>
      <c r="J158" s="3"/>
      <c r="K158" s="3"/>
      <c r="L158" s="3">
        <v>13710.0</v>
      </c>
      <c r="M158" s="3"/>
      <c r="N158" s="5"/>
    </row>
    <row r="159" ht="15.75" customHeight="1">
      <c r="A159" s="8" t="s">
        <v>311</v>
      </c>
      <c r="B159" s="3"/>
      <c r="C159" s="3" t="s">
        <v>15</v>
      </c>
      <c r="D159" s="3">
        <v>2022.0</v>
      </c>
      <c r="E159" s="3" t="s">
        <v>69</v>
      </c>
      <c r="F159" s="3" t="s">
        <v>305</v>
      </c>
      <c r="G159" s="9" t="s">
        <v>312</v>
      </c>
      <c r="H159" s="6"/>
      <c r="I159" s="3"/>
      <c r="J159" s="3"/>
      <c r="K159" s="3"/>
      <c r="L159" s="3">
        <v>13710.0</v>
      </c>
      <c r="M159" s="3"/>
      <c r="N159" s="5"/>
    </row>
    <row r="160" ht="15.75" customHeight="1">
      <c r="A160" s="8" t="s">
        <v>311</v>
      </c>
      <c r="B160" s="3"/>
      <c r="C160" s="3" t="s">
        <v>15</v>
      </c>
      <c r="D160" s="3">
        <v>2022.0</v>
      </c>
      <c r="E160" s="3" t="s">
        <v>69</v>
      </c>
      <c r="F160" s="3" t="s">
        <v>305</v>
      </c>
      <c r="G160" s="11" t="s">
        <v>312</v>
      </c>
      <c r="H160" s="6"/>
      <c r="I160" s="3"/>
      <c r="J160" s="3"/>
      <c r="K160" s="3"/>
      <c r="L160" s="3">
        <v>13710.0</v>
      </c>
      <c r="M160" s="3"/>
      <c r="N160" s="5"/>
    </row>
    <row r="161" ht="15.75" customHeight="1">
      <c r="A161" s="8" t="s">
        <v>311</v>
      </c>
      <c r="B161" s="3"/>
      <c r="C161" s="3" t="s">
        <v>15</v>
      </c>
      <c r="D161" s="3">
        <v>2022.0</v>
      </c>
      <c r="E161" s="3" t="s">
        <v>69</v>
      </c>
      <c r="F161" s="3" t="s">
        <v>305</v>
      </c>
      <c r="G161" s="9" t="s">
        <v>312</v>
      </c>
      <c r="H161" s="6"/>
      <c r="I161" s="3"/>
      <c r="J161" s="3"/>
      <c r="K161" s="3"/>
      <c r="L161" s="3">
        <v>13710.0</v>
      </c>
      <c r="M161" s="3"/>
      <c r="N161" s="5"/>
    </row>
    <row r="162" ht="15.75" customHeight="1">
      <c r="A162" s="8" t="s">
        <v>311</v>
      </c>
      <c r="B162" s="3"/>
      <c r="C162" s="3" t="s">
        <v>15</v>
      </c>
      <c r="D162" s="3">
        <v>2022.0</v>
      </c>
      <c r="E162" s="3" t="s">
        <v>69</v>
      </c>
      <c r="F162" s="3" t="s">
        <v>305</v>
      </c>
      <c r="G162" s="11" t="s">
        <v>312</v>
      </c>
      <c r="H162" s="6"/>
      <c r="I162" s="3"/>
      <c r="J162" s="3"/>
      <c r="K162" s="3"/>
      <c r="L162" s="3">
        <v>13710.0</v>
      </c>
      <c r="M162" s="3"/>
      <c r="N162" s="5"/>
    </row>
    <row r="163" ht="15.75" customHeight="1">
      <c r="A163" s="8" t="s">
        <v>311</v>
      </c>
      <c r="B163" s="3"/>
      <c r="C163" s="3" t="s">
        <v>15</v>
      </c>
      <c r="D163" s="3">
        <v>2022.0</v>
      </c>
      <c r="E163" s="3" t="s">
        <v>69</v>
      </c>
      <c r="F163" s="3" t="s">
        <v>305</v>
      </c>
      <c r="G163" s="9" t="s">
        <v>312</v>
      </c>
      <c r="H163" s="6"/>
      <c r="I163" s="3"/>
      <c r="J163" s="3"/>
      <c r="K163" s="3"/>
      <c r="L163" s="3">
        <v>13710.0</v>
      </c>
      <c r="M163" s="3"/>
      <c r="N163" s="5"/>
    </row>
    <row r="164" ht="15.75" customHeight="1">
      <c r="A164" s="8" t="s">
        <v>311</v>
      </c>
      <c r="B164" s="3"/>
      <c r="C164" s="3" t="s">
        <v>15</v>
      </c>
      <c r="D164" s="3">
        <v>2022.0</v>
      </c>
      <c r="E164" s="3" t="s">
        <v>69</v>
      </c>
      <c r="F164" s="3" t="s">
        <v>305</v>
      </c>
      <c r="G164" s="11" t="s">
        <v>312</v>
      </c>
      <c r="H164" s="6"/>
      <c r="I164" s="3"/>
      <c r="J164" s="3"/>
      <c r="K164" s="3"/>
      <c r="L164" s="3">
        <v>13710.0</v>
      </c>
      <c r="M164" s="3"/>
      <c r="N164" s="5"/>
    </row>
    <row r="165" ht="15.75" customHeight="1">
      <c r="A165" s="8" t="s">
        <v>311</v>
      </c>
      <c r="B165" s="3"/>
      <c r="C165" s="3" t="s">
        <v>15</v>
      </c>
      <c r="D165" s="3">
        <v>2022.0</v>
      </c>
      <c r="E165" s="3" t="s">
        <v>69</v>
      </c>
      <c r="F165" s="3" t="s">
        <v>305</v>
      </c>
      <c r="G165" s="9" t="s">
        <v>312</v>
      </c>
      <c r="H165" s="6"/>
      <c r="I165" s="3"/>
      <c r="J165" s="3"/>
      <c r="K165" s="3"/>
      <c r="L165" s="3">
        <v>13710.0</v>
      </c>
      <c r="M165" s="3"/>
      <c r="N165" s="5"/>
    </row>
    <row r="166" ht="15.75" customHeight="1">
      <c r="A166" s="8" t="s">
        <v>311</v>
      </c>
      <c r="B166" s="3"/>
      <c r="C166" s="3" t="s">
        <v>15</v>
      </c>
      <c r="D166" s="3">
        <v>2022.0</v>
      </c>
      <c r="E166" s="3" t="s">
        <v>69</v>
      </c>
      <c r="F166" s="3" t="s">
        <v>189</v>
      </c>
      <c r="G166" s="11" t="s">
        <v>312</v>
      </c>
      <c r="H166" s="6"/>
      <c r="I166" s="3"/>
      <c r="J166" s="3"/>
      <c r="K166" s="3"/>
      <c r="L166" s="3">
        <v>13710.0</v>
      </c>
      <c r="M166" s="3"/>
      <c r="N166" s="5"/>
    </row>
    <row r="167" ht="15.75" customHeight="1">
      <c r="A167" s="8" t="s">
        <v>313</v>
      </c>
      <c r="B167" s="3"/>
      <c r="C167" s="3" t="s">
        <v>15</v>
      </c>
      <c r="D167" s="3">
        <v>2022.0</v>
      </c>
      <c r="E167" s="3" t="s">
        <v>69</v>
      </c>
      <c r="F167" s="3" t="s">
        <v>189</v>
      </c>
      <c r="G167" s="9" t="s">
        <v>314</v>
      </c>
      <c r="H167" s="6"/>
      <c r="I167" s="3"/>
      <c r="J167" s="3"/>
      <c r="K167" s="3"/>
      <c r="L167" s="3">
        <v>14310.0</v>
      </c>
      <c r="M167" s="3"/>
      <c r="N167" s="5"/>
    </row>
    <row r="168" ht="15.75" customHeight="1">
      <c r="A168" s="8" t="s">
        <v>315</v>
      </c>
      <c r="B168" s="3"/>
      <c r="C168" s="3" t="s">
        <v>15</v>
      </c>
      <c r="D168" s="3">
        <v>2022.0</v>
      </c>
      <c r="E168" s="3" t="s">
        <v>69</v>
      </c>
      <c r="F168" s="3" t="s">
        <v>189</v>
      </c>
      <c r="G168" s="11" t="s">
        <v>316</v>
      </c>
      <c r="H168" s="6"/>
      <c r="I168" s="3"/>
      <c r="J168" s="3"/>
      <c r="K168" s="3"/>
      <c r="L168" s="3">
        <v>14330.0</v>
      </c>
      <c r="M168" s="3"/>
      <c r="N168" s="5"/>
    </row>
    <row r="169" ht="15.75" customHeight="1">
      <c r="A169" s="8" t="s">
        <v>315</v>
      </c>
      <c r="B169" s="3"/>
      <c r="C169" s="3" t="s">
        <v>15</v>
      </c>
      <c r="D169" s="3">
        <v>2022.0</v>
      </c>
      <c r="E169" s="3" t="s">
        <v>69</v>
      </c>
      <c r="F169" s="3" t="s">
        <v>189</v>
      </c>
      <c r="G169" s="9" t="s">
        <v>316</v>
      </c>
      <c r="H169" s="6"/>
      <c r="I169" s="3"/>
      <c r="J169" s="3"/>
      <c r="K169" s="3"/>
      <c r="L169" s="3">
        <v>14330.0</v>
      </c>
      <c r="M169" s="3"/>
      <c r="N169" s="5"/>
    </row>
    <row r="170" ht="15.75" customHeight="1">
      <c r="A170" s="8" t="s">
        <v>317</v>
      </c>
      <c r="B170" s="3"/>
      <c r="C170" s="3" t="s">
        <v>15</v>
      </c>
      <c r="D170" s="3">
        <v>2022.0</v>
      </c>
      <c r="E170" s="3" t="s">
        <v>69</v>
      </c>
      <c r="F170" s="3" t="s">
        <v>150</v>
      </c>
      <c r="G170" s="11" t="s">
        <v>318</v>
      </c>
      <c r="H170" s="6"/>
      <c r="I170" s="3"/>
      <c r="J170" s="3"/>
      <c r="K170" s="3"/>
      <c r="L170" s="3">
        <v>14370.0</v>
      </c>
      <c r="M170" s="3"/>
      <c r="N170" s="5"/>
    </row>
    <row r="171" ht="15.75" customHeight="1">
      <c r="A171" s="8" t="s">
        <v>317</v>
      </c>
      <c r="B171" s="3"/>
      <c r="C171" s="3" t="s">
        <v>15</v>
      </c>
      <c r="D171" s="3">
        <v>2022.0</v>
      </c>
      <c r="E171" s="3" t="s">
        <v>69</v>
      </c>
      <c r="F171" s="3" t="s">
        <v>189</v>
      </c>
      <c r="G171" s="9" t="s">
        <v>318</v>
      </c>
      <c r="H171" s="6"/>
      <c r="I171" s="3"/>
      <c r="J171" s="3"/>
      <c r="K171" s="3"/>
      <c r="L171" s="3">
        <v>14370.0</v>
      </c>
      <c r="M171" s="3"/>
      <c r="N171" s="5"/>
    </row>
    <row r="172" ht="15.75" customHeight="1">
      <c r="A172" s="8" t="s">
        <v>317</v>
      </c>
      <c r="B172" s="3"/>
      <c r="C172" s="3" t="s">
        <v>15</v>
      </c>
      <c r="D172" s="3">
        <v>2022.0</v>
      </c>
      <c r="E172" s="3" t="s">
        <v>69</v>
      </c>
      <c r="F172" s="3" t="s">
        <v>189</v>
      </c>
      <c r="G172" s="11" t="s">
        <v>318</v>
      </c>
      <c r="H172" s="6"/>
      <c r="I172" s="3"/>
      <c r="J172" s="3"/>
      <c r="K172" s="3"/>
      <c r="L172" s="3">
        <v>14370.0</v>
      </c>
      <c r="M172" s="3"/>
      <c r="N172" s="5"/>
    </row>
    <row r="173" ht="15.75" customHeight="1">
      <c r="A173" s="8" t="s">
        <v>319</v>
      </c>
      <c r="B173" s="3"/>
      <c r="C173" s="3" t="s">
        <v>15</v>
      </c>
      <c r="D173" s="3">
        <v>2022.0</v>
      </c>
      <c r="E173" s="3" t="s">
        <v>69</v>
      </c>
      <c r="F173" s="3" t="s">
        <v>320</v>
      </c>
      <c r="G173" s="9" t="s">
        <v>321</v>
      </c>
      <c r="H173" s="6"/>
      <c r="I173" s="3"/>
      <c r="J173" s="3"/>
      <c r="K173" s="3"/>
      <c r="L173" s="3">
        <v>15030.0</v>
      </c>
      <c r="M173" s="3"/>
      <c r="N173" s="5"/>
    </row>
    <row r="174" ht="15.75" customHeight="1">
      <c r="A174" s="8" t="s">
        <v>319</v>
      </c>
      <c r="B174" s="3"/>
      <c r="C174" s="3" t="s">
        <v>15</v>
      </c>
      <c r="D174" s="3">
        <v>2022.0</v>
      </c>
      <c r="E174" s="3" t="s">
        <v>69</v>
      </c>
      <c r="F174" s="3" t="s">
        <v>189</v>
      </c>
      <c r="G174" s="11" t="s">
        <v>321</v>
      </c>
      <c r="H174" s="6"/>
      <c r="I174" s="3"/>
      <c r="J174" s="3"/>
      <c r="K174" s="3"/>
      <c r="L174" s="3">
        <v>15030.0</v>
      </c>
      <c r="M174" s="3"/>
      <c r="N174" s="5"/>
    </row>
    <row r="175" ht="15.75" customHeight="1">
      <c r="A175" s="8" t="s">
        <v>319</v>
      </c>
      <c r="B175" s="3"/>
      <c r="C175" s="3" t="s">
        <v>15</v>
      </c>
      <c r="D175" s="3">
        <v>2022.0</v>
      </c>
      <c r="E175" s="3" t="s">
        <v>69</v>
      </c>
      <c r="F175" s="3" t="s">
        <v>320</v>
      </c>
      <c r="G175" s="9" t="s">
        <v>321</v>
      </c>
      <c r="H175" s="6"/>
      <c r="I175" s="3"/>
      <c r="J175" s="3"/>
      <c r="K175" s="3"/>
      <c r="L175" s="3">
        <v>15030.0</v>
      </c>
      <c r="M175" s="3"/>
      <c r="N175" s="5"/>
    </row>
    <row r="176" ht="15.75" customHeight="1">
      <c r="A176" s="8" t="s">
        <v>319</v>
      </c>
      <c r="B176" s="3"/>
      <c r="C176" s="3" t="s">
        <v>15</v>
      </c>
      <c r="D176" s="3">
        <v>2022.0</v>
      </c>
      <c r="E176" s="3" t="s">
        <v>69</v>
      </c>
      <c r="F176" s="3" t="s">
        <v>320</v>
      </c>
      <c r="G176" s="11" t="s">
        <v>321</v>
      </c>
      <c r="H176" s="6"/>
      <c r="I176" s="3"/>
      <c r="J176" s="3"/>
      <c r="K176" s="3"/>
      <c r="L176" s="3">
        <v>15030.0</v>
      </c>
      <c r="M176" s="3"/>
      <c r="N176" s="5"/>
    </row>
    <row r="177" ht="15.75" customHeight="1">
      <c r="A177" s="8" t="s">
        <v>322</v>
      </c>
      <c r="B177" s="3"/>
      <c r="C177" s="3" t="s">
        <v>15</v>
      </c>
      <c r="D177" s="3">
        <v>2022.0</v>
      </c>
      <c r="E177" s="3" t="s">
        <v>69</v>
      </c>
      <c r="F177" s="3" t="s">
        <v>119</v>
      </c>
      <c r="G177" s="9" t="s">
        <v>323</v>
      </c>
      <c r="H177" s="6"/>
      <c r="I177" s="3"/>
      <c r="J177" s="3"/>
      <c r="K177" s="3"/>
      <c r="L177" s="3">
        <v>11260.0</v>
      </c>
      <c r="M177" s="3"/>
      <c r="N177" s="5"/>
    </row>
    <row r="178" ht="15.75" customHeight="1">
      <c r="A178" s="8" t="s">
        <v>324</v>
      </c>
      <c r="B178" s="3"/>
      <c r="C178" s="3" t="s">
        <v>15</v>
      </c>
      <c r="D178" s="3">
        <v>2022.0</v>
      </c>
      <c r="E178" s="3" t="s">
        <v>69</v>
      </c>
      <c r="F178" s="3" t="s">
        <v>119</v>
      </c>
      <c r="G178" s="11" t="s">
        <v>325</v>
      </c>
      <c r="H178" s="6"/>
      <c r="I178" s="3"/>
      <c r="J178" s="3"/>
      <c r="K178" s="3"/>
      <c r="L178" s="3">
        <v>15000.0</v>
      </c>
      <c r="M178" s="3"/>
      <c r="N178" s="5"/>
    </row>
    <row r="179" ht="15.75" customHeight="1">
      <c r="A179" s="8" t="s">
        <v>326</v>
      </c>
      <c r="B179" s="3"/>
      <c r="C179" s="3" t="s">
        <v>15</v>
      </c>
      <c r="D179" s="3">
        <v>2022.0</v>
      </c>
      <c r="E179" s="3" t="s">
        <v>69</v>
      </c>
      <c r="F179" s="3" t="s">
        <v>119</v>
      </c>
      <c r="G179" s="9" t="s">
        <v>327</v>
      </c>
      <c r="H179" s="6"/>
      <c r="I179" s="3"/>
      <c r="J179" s="3"/>
      <c r="K179" s="3"/>
      <c r="L179" s="3">
        <v>13430.0</v>
      </c>
      <c r="M179" s="3"/>
      <c r="N179" s="5"/>
    </row>
    <row r="180" ht="15.75" customHeight="1">
      <c r="A180" s="8" t="s">
        <v>328</v>
      </c>
      <c r="B180" s="3"/>
      <c r="C180" s="3" t="s">
        <v>15</v>
      </c>
      <c r="D180" s="3">
        <v>2022.0</v>
      </c>
      <c r="E180" s="3" t="s">
        <v>69</v>
      </c>
      <c r="F180" s="3" t="s">
        <v>122</v>
      </c>
      <c r="G180" s="11" t="s">
        <v>329</v>
      </c>
      <c r="H180" s="6"/>
      <c r="I180" s="3"/>
      <c r="J180" s="3"/>
      <c r="K180" s="3"/>
      <c r="L180" s="3">
        <v>2100.0</v>
      </c>
      <c r="M180" s="3"/>
      <c r="N180" s="5"/>
    </row>
    <row r="181" ht="15.75" customHeight="1">
      <c r="A181" s="8" t="s">
        <v>330</v>
      </c>
      <c r="B181" s="3"/>
      <c r="C181" s="3" t="s">
        <v>15</v>
      </c>
      <c r="D181" s="3">
        <v>2022.0</v>
      </c>
      <c r="E181" s="3" t="s">
        <v>69</v>
      </c>
      <c r="F181" s="3" t="s">
        <v>122</v>
      </c>
      <c r="G181" s="9" t="s">
        <v>331</v>
      </c>
      <c r="H181" s="6"/>
      <c r="I181" s="3"/>
      <c r="J181" s="3"/>
      <c r="K181" s="3"/>
      <c r="L181" s="3">
        <v>3440.0</v>
      </c>
      <c r="M181" s="3"/>
      <c r="N181" s="5"/>
    </row>
    <row r="182" ht="15.75" customHeight="1">
      <c r="A182" s="8" t="s">
        <v>332</v>
      </c>
      <c r="B182" s="3"/>
      <c r="C182" s="3" t="s">
        <v>15</v>
      </c>
      <c r="D182" s="3">
        <v>2022.0</v>
      </c>
      <c r="E182" s="3" t="s">
        <v>69</v>
      </c>
      <c r="F182" s="3" t="s">
        <v>122</v>
      </c>
      <c r="G182" s="11" t="s">
        <v>333</v>
      </c>
      <c r="H182" s="6"/>
      <c r="I182" s="3"/>
      <c r="J182" s="3"/>
      <c r="K182" s="3"/>
      <c r="L182" s="3">
        <v>3600.0</v>
      </c>
      <c r="M182" s="3"/>
      <c r="N182" s="5"/>
    </row>
    <row r="183" ht="15.75" customHeight="1">
      <c r="A183" s="8" t="s">
        <v>334</v>
      </c>
      <c r="B183" s="3"/>
      <c r="C183" s="3" t="s">
        <v>15</v>
      </c>
      <c r="D183" s="3">
        <v>2022.0</v>
      </c>
      <c r="E183" s="3" t="s">
        <v>69</v>
      </c>
      <c r="F183" s="3" t="s">
        <v>122</v>
      </c>
      <c r="G183" s="9" t="s">
        <v>335</v>
      </c>
      <c r="H183" s="6"/>
      <c r="I183" s="3"/>
      <c r="J183" s="3"/>
      <c r="K183" s="3"/>
      <c r="L183" s="3">
        <v>5900.0</v>
      </c>
      <c r="M183" s="3"/>
      <c r="N183" s="5"/>
    </row>
    <row r="184" ht="15.75" customHeight="1">
      <c r="A184" s="8" t="s">
        <v>336</v>
      </c>
      <c r="B184" s="3"/>
      <c r="C184" s="3" t="s">
        <v>15</v>
      </c>
      <c r="D184" s="3">
        <v>2022.0</v>
      </c>
      <c r="E184" s="3" t="s">
        <v>69</v>
      </c>
      <c r="F184" s="3" t="s">
        <v>119</v>
      </c>
      <c r="G184" s="11" t="s">
        <v>337</v>
      </c>
      <c r="H184" s="6"/>
      <c r="I184" s="3"/>
      <c r="J184" s="3"/>
      <c r="K184" s="3"/>
      <c r="L184" s="3">
        <v>10940.0</v>
      </c>
      <c r="M184" s="3"/>
      <c r="N184" s="5"/>
    </row>
    <row r="185" ht="15.75" customHeight="1">
      <c r="A185" s="8" t="s">
        <v>338</v>
      </c>
      <c r="B185" s="3"/>
      <c r="C185" s="3" t="s">
        <v>15</v>
      </c>
      <c r="D185" s="3">
        <v>2022.0</v>
      </c>
      <c r="E185" s="3" t="s">
        <v>69</v>
      </c>
      <c r="F185" s="3" t="s">
        <v>122</v>
      </c>
      <c r="G185" s="9" t="s">
        <v>339</v>
      </c>
      <c r="H185" s="6"/>
      <c r="I185" s="3"/>
      <c r="J185" s="3"/>
      <c r="K185" s="3"/>
      <c r="L185" s="3">
        <v>14570.0</v>
      </c>
      <c r="M185" s="3"/>
      <c r="N185" s="5"/>
    </row>
    <row r="186" ht="15.75" customHeight="1">
      <c r="A186" s="8" t="s">
        <v>340</v>
      </c>
      <c r="B186" s="3"/>
      <c r="C186" s="3" t="s">
        <v>15</v>
      </c>
      <c r="D186" s="3">
        <v>2022.0</v>
      </c>
      <c r="E186" s="3" t="s">
        <v>69</v>
      </c>
      <c r="F186" s="3" t="s">
        <v>119</v>
      </c>
      <c r="G186" s="11" t="s">
        <v>341</v>
      </c>
      <c r="H186" s="6"/>
      <c r="I186" s="3"/>
      <c r="J186" s="3"/>
      <c r="K186" s="3"/>
      <c r="L186" s="3">
        <v>16240.0</v>
      </c>
      <c r="M186" s="3"/>
      <c r="N186" s="5"/>
    </row>
    <row r="187" ht="15.75" customHeight="1">
      <c r="A187" s="8" t="s">
        <v>342</v>
      </c>
      <c r="B187" s="3"/>
      <c r="C187" s="3" t="s">
        <v>15</v>
      </c>
      <c r="D187" s="3">
        <v>2022.0</v>
      </c>
      <c r="E187" s="3" t="s">
        <v>69</v>
      </c>
      <c r="F187" s="3" t="s">
        <v>122</v>
      </c>
      <c r="G187" s="9" t="s">
        <v>343</v>
      </c>
      <c r="H187" s="6"/>
      <c r="I187" s="3"/>
      <c r="J187" s="3"/>
      <c r="K187" s="3"/>
      <c r="L187" s="3">
        <v>16620.0</v>
      </c>
      <c r="M187" s="3"/>
      <c r="N187" s="5"/>
    </row>
    <row r="188" ht="15.75" customHeight="1">
      <c r="A188" s="8" t="s">
        <v>344</v>
      </c>
      <c r="B188" s="3"/>
      <c r="C188" s="3" t="s">
        <v>15</v>
      </c>
      <c r="D188" s="3">
        <v>2022.0</v>
      </c>
      <c r="E188" s="3" t="s">
        <v>69</v>
      </c>
      <c r="F188" s="3" t="s">
        <v>345</v>
      </c>
      <c r="G188" s="11" t="s">
        <v>346</v>
      </c>
      <c r="H188" s="6"/>
      <c r="I188" s="3"/>
      <c r="J188" s="3"/>
      <c r="K188" s="3"/>
      <c r="L188" s="3">
        <v>220.0</v>
      </c>
      <c r="M188" s="3"/>
      <c r="N188" s="5"/>
    </row>
    <row r="189" ht="15.75" customHeight="1">
      <c r="A189" s="8" t="s">
        <v>347</v>
      </c>
      <c r="B189" s="3"/>
      <c r="C189" s="3" t="s">
        <v>15</v>
      </c>
      <c r="D189" s="3">
        <v>2022.0</v>
      </c>
      <c r="E189" s="3" t="s">
        <v>69</v>
      </c>
      <c r="F189" s="3" t="s">
        <v>345</v>
      </c>
      <c r="G189" s="9" t="s">
        <v>348</v>
      </c>
      <c r="H189" s="6"/>
      <c r="I189" s="3"/>
      <c r="J189" s="3"/>
      <c r="K189" s="3"/>
      <c r="L189" s="3">
        <v>320.0</v>
      </c>
      <c r="M189" s="3"/>
      <c r="N189" s="5"/>
    </row>
    <row r="190" ht="15.75" customHeight="1">
      <c r="A190" s="8" t="s">
        <v>349</v>
      </c>
      <c r="B190" s="3"/>
      <c r="C190" s="3" t="s">
        <v>15</v>
      </c>
      <c r="D190" s="3">
        <v>2022.0</v>
      </c>
      <c r="E190" s="3" t="s">
        <v>69</v>
      </c>
      <c r="F190" s="3" t="s">
        <v>202</v>
      </c>
      <c r="G190" s="11" t="s">
        <v>350</v>
      </c>
      <c r="H190" s="6"/>
      <c r="I190" s="3"/>
      <c r="J190" s="3"/>
      <c r="K190" s="3"/>
      <c r="L190" s="3">
        <v>420.0</v>
      </c>
      <c r="M190" s="3"/>
      <c r="N190" s="5"/>
    </row>
    <row r="191" ht="15.75" customHeight="1">
      <c r="A191" s="8" t="s">
        <v>351</v>
      </c>
      <c r="B191" s="3"/>
      <c r="C191" s="3" t="s">
        <v>15</v>
      </c>
      <c r="D191" s="3">
        <v>2022.0</v>
      </c>
      <c r="E191" s="3" t="s">
        <v>69</v>
      </c>
      <c r="F191" s="3" t="s">
        <v>17</v>
      </c>
      <c r="G191" s="9" t="s">
        <v>352</v>
      </c>
      <c r="H191" s="6"/>
      <c r="I191" s="3"/>
      <c r="J191" s="3"/>
      <c r="K191" s="3"/>
      <c r="L191" s="3">
        <v>490.0</v>
      </c>
      <c r="M191" s="3"/>
      <c r="N191" s="5"/>
    </row>
    <row r="192" ht="15.75" customHeight="1">
      <c r="A192" s="8" t="s">
        <v>353</v>
      </c>
      <c r="B192" s="3"/>
      <c r="C192" s="3" t="s">
        <v>15</v>
      </c>
      <c r="D192" s="3">
        <v>2022.0</v>
      </c>
      <c r="E192" s="3" t="s">
        <v>69</v>
      </c>
      <c r="F192" s="3" t="s">
        <v>238</v>
      </c>
      <c r="G192" s="11" t="s">
        <v>354</v>
      </c>
      <c r="H192" s="6"/>
      <c r="I192" s="3"/>
      <c r="J192" s="3"/>
      <c r="K192" s="3"/>
      <c r="L192" s="3">
        <v>2780.0</v>
      </c>
      <c r="M192" s="3"/>
      <c r="N192" s="5"/>
    </row>
    <row r="193" ht="15.75" customHeight="1">
      <c r="A193" s="8" t="s">
        <v>355</v>
      </c>
      <c r="B193" s="3"/>
      <c r="C193" s="3" t="s">
        <v>15</v>
      </c>
      <c r="D193" s="3">
        <v>2022.0</v>
      </c>
      <c r="E193" s="3" t="s">
        <v>69</v>
      </c>
      <c r="F193" s="3" t="s">
        <v>238</v>
      </c>
      <c r="G193" s="9" t="s">
        <v>356</v>
      </c>
      <c r="H193" s="6"/>
      <c r="I193" s="3"/>
      <c r="J193" s="3"/>
      <c r="K193" s="3"/>
      <c r="L193" s="3">
        <v>5340.0</v>
      </c>
      <c r="M193" s="3"/>
      <c r="N193" s="5"/>
    </row>
    <row r="194" ht="15.75" customHeight="1">
      <c r="A194" s="8" t="s">
        <v>357</v>
      </c>
      <c r="B194" s="3"/>
      <c r="C194" s="3" t="s">
        <v>15</v>
      </c>
      <c r="D194" s="3">
        <v>2022.0</v>
      </c>
      <c r="E194" s="3" t="s">
        <v>69</v>
      </c>
      <c r="F194" s="3" t="s">
        <v>238</v>
      </c>
      <c r="G194" s="11" t="s">
        <v>358</v>
      </c>
      <c r="H194" s="6"/>
      <c r="I194" s="3"/>
      <c r="J194" s="3"/>
      <c r="K194" s="3"/>
      <c r="L194" s="3">
        <v>8240.0</v>
      </c>
      <c r="M194" s="3"/>
      <c r="N194" s="5"/>
    </row>
    <row r="195" ht="15.75" customHeight="1">
      <c r="A195" s="8" t="s">
        <v>359</v>
      </c>
      <c r="B195" s="3"/>
      <c r="C195" s="3" t="s">
        <v>15</v>
      </c>
      <c r="D195" s="3">
        <v>2022.0</v>
      </c>
      <c r="E195" s="3" t="s">
        <v>69</v>
      </c>
      <c r="F195" s="3" t="s">
        <v>238</v>
      </c>
      <c r="G195" s="9" t="s">
        <v>360</v>
      </c>
      <c r="H195" s="6"/>
      <c r="I195" s="3"/>
      <c r="J195" s="3"/>
      <c r="K195" s="3"/>
      <c r="L195" s="3">
        <v>11350.0</v>
      </c>
      <c r="M195" s="3"/>
      <c r="N195" s="5"/>
    </row>
    <row r="196" ht="15.75" customHeight="1">
      <c r="A196" s="8" t="s">
        <v>361</v>
      </c>
      <c r="B196" s="3"/>
      <c r="C196" s="3" t="s">
        <v>15</v>
      </c>
      <c r="D196" s="3">
        <v>2022.0</v>
      </c>
      <c r="E196" s="3" t="s">
        <v>69</v>
      </c>
      <c r="F196" s="3" t="s">
        <v>238</v>
      </c>
      <c r="G196" s="11" t="s">
        <v>362</v>
      </c>
      <c r="H196" s="6"/>
      <c r="I196" s="3"/>
      <c r="J196" s="3"/>
      <c r="K196" s="3"/>
      <c r="L196" s="3">
        <v>12680.0</v>
      </c>
      <c r="M196" s="3"/>
      <c r="N196" s="5"/>
    </row>
    <row r="197" ht="15.75" customHeight="1">
      <c r="A197" s="8" t="s">
        <v>363</v>
      </c>
      <c r="B197" s="3"/>
      <c r="C197" s="3" t="s">
        <v>15</v>
      </c>
      <c r="D197" s="3">
        <v>2022.0</v>
      </c>
      <c r="E197" s="3" t="s">
        <v>69</v>
      </c>
      <c r="F197" s="3" t="s">
        <v>238</v>
      </c>
      <c r="G197" s="9" t="s">
        <v>364</v>
      </c>
      <c r="H197" s="6"/>
      <c r="I197" s="3"/>
      <c r="J197" s="3"/>
      <c r="K197" s="3"/>
      <c r="L197" s="3">
        <v>13470.0</v>
      </c>
      <c r="M197" s="3"/>
      <c r="N197" s="5"/>
    </row>
    <row r="198" ht="15.75" customHeight="1">
      <c r="A198" s="8" t="s">
        <v>365</v>
      </c>
      <c r="B198" s="3"/>
      <c r="C198" s="3" t="s">
        <v>15</v>
      </c>
      <c r="D198" s="3">
        <v>2022.0</v>
      </c>
      <c r="E198" s="3" t="s">
        <v>69</v>
      </c>
      <c r="F198" s="3" t="s">
        <v>238</v>
      </c>
      <c r="G198" s="11" t="s">
        <v>366</v>
      </c>
      <c r="H198" s="6"/>
      <c r="I198" s="3"/>
      <c r="J198" s="3"/>
      <c r="K198" s="3"/>
      <c r="L198" s="3">
        <v>14400.0</v>
      </c>
      <c r="M198" s="3"/>
      <c r="N198" s="5"/>
    </row>
    <row r="199" ht="15.75" customHeight="1">
      <c r="A199" s="8" t="s">
        <v>367</v>
      </c>
      <c r="B199" s="3"/>
      <c r="C199" s="3" t="s">
        <v>15</v>
      </c>
      <c r="D199" s="3">
        <v>2022.0</v>
      </c>
      <c r="E199" s="3" t="s">
        <v>69</v>
      </c>
      <c r="F199" s="3" t="s">
        <v>238</v>
      </c>
      <c r="G199" s="9" t="s">
        <v>368</v>
      </c>
      <c r="H199" s="6"/>
      <c r="I199" s="3"/>
      <c r="J199" s="3"/>
      <c r="K199" s="3"/>
      <c r="L199" s="3">
        <v>14750.0</v>
      </c>
      <c r="M199" s="3"/>
      <c r="N199" s="5"/>
    </row>
    <row r="200" ht="15.75" customHeight="1">
      <c r="A200" s="8" t="s">
        <v>369</v>
      </c>
      <c r="B200" s="3"/>
      <c r="C200" s="3" t="s">
        <v>15</v>
      </c>
      <c r="D200" s="3">
        <v>2022.0</v>
      </c>
      <c r="E200" s="3" t="s">
        <v>69</v>
      </c>
      <c r="F200" s="3" t="s">
        <v>238</v>
      </c>
      <c r="G200" s="11" t="s">
        <v>370</v>
      </c>
      <c r="H200" s="6"/>
      <c r="I200" s="3"/>
      <c r="J200" s="3"/>
      <c r="K200" s="3"/>
      <c r="L200" s="3">
        <v>14980.0</v>
      </c>
      <c r="M200" s="3"/>
      <c r="N200" s="5"/>
    </row>
    <row r="201" ht="15.75" customHeight="1">
      <c r="A201" s="8" t="s">
        <v>369</v>
      </c>
      <c r="B201" s="3"/>
      <c r="C201" s="3" t="s">
        <v>15</v>
      </c>
      <c r="D201" s="3">
        <v>2022.0</v>
      </c>
      <c r="E201" s="3" t="s">
        <v>69</v>
      </c>
      <c r="F201" s="3" t="s">
        <v>238</v>
      </c>
      <c r="G201" s="9" t="s">
        <v>370</v>
      </c>
      <c r="H201" s="6"/>
      <c r="I201" s="3"/>
      <c r="J201" s="3"/>
      <c r="K201" s="3"/>
      <c r="L201" s="3">
        <v>14980.0</v>
      </c>
      <c r="M201" s="3"/>
      <c r="N201" s="5"/>
    </row>
    <row r="202" ht="15.75" customHeight="1">
      <c r="A202" s="8" t="s">
        <v>371</v>
      </c>
      <c r="B202" s="3"/>
      <c r="C202" s="3" t="s">
        <v>15</v>
      </c>
      <c r="D202" s="3">
        <v>2022.0</v>
      </c>
      <c r="E202" s="3" t="s">
        <v>69</v>
      </c>
      <c r="F202" s="3" t="s">
        <v>238</v>
      </c>
      <c r="G202" s="11" t="s">
        <v>372</v>
      </c>
      <c r="H202" s="6"/>
      <c r="I202" s="3"/>
      <c r="J202" s="3"/>
      <c r="K202" s="3"/>
      <c r="L202" s="3">
        <v>24800.0</v>
      </c>
      <c r="M202" s="3"/>
      <c r="N202" s="5"/>
    </row>
    <row r="203" ht="15.75" customHeight="1">
      <c r="A203" s="8" t="s">
        <v>373</v>
      </c>
      <c r="B203" s="3"/>
      <c r="C203" s="3" t="s">
        <v>15</v>
      </c>
      <c r="D203" s="3">
        <v>2022.0</v>
      </c>
      <c r="E203" s="3" t="s">
        <v>69</v>
      </c>
      <c r="F203" s="3" t="s">
        <v>238</v>
      </c>
      <c r="G203" s="9" t="s">
        <v>374</v>
      </c>
      <c r="H203" s="6"/>
      <c r="I203" s="3"/>
      <c r="J203" s="3"/>
      <c r="K203" s="3"/>
      <c r="L203" s="3">
        <v>25170.0</v>
      </c>
      <c r="M203" s="3"/>
      <c r="N203" s="5"/>
    </row>
    <row r="204" ht="15.75" customHeight="1">
      <c r="A204" s="8" t="s">
        <v>375</v>
      </c>
      <c r="B204" s="3"/>
      <c r="C204" s="3" t="s">
        <v>15</v>
      </c>
      <c r="D204" s="3">
        <v>2022.0</v>
      </c>
      <c r="E204" s="3" t="s">
        <v>69</v>
      </c>
      <c r="F204" s="3" t="s">
        <v>238</v>
      </c>
      <c r="G204" s="11" t="s">
        <v>376</v>
      </c>
      <c r="H204" s="6"/>
      <c r="I204" s="3"/>
      <c r="J204" s="3"/>
      <c r="K204" s="3"/>
      <c r="L204" s="3">
        <v>25200.0</v>
      </c>
      <c r="M204" s="3"/>
      <c r="N204" s="5"/>
    </row>
    <row r="205" ht="15.75" customHeight="1">
      <c r="A205" s="8" t="s">
        <v>377</v>
      </c>
      <c r="B205" s="3"/>
      <c r="C205" s="3" t="s">
        <v>15</v>
      </c>
      <c r="D205" s="3">
        <v>2022.0</v>
      </c>
      <c r="E205" s="3" t="s">
        <v>69</v>
      </c>
      <c r="F205" s="3" t="s">
        <v>238</v>
      </c>
      <c r="G205" s="9" t="s">
        <v>378</v>
      </c>
      <c r="H205" s="6"/>
      <c r="I205" s="3"/>
      <c r="J205" s="3"/>
      <c r="K205" s="3"/>
      <c r="L205" s="3">
        <v>25310.0</v>
      </c>
      <c r="M205" s="3"/>
      <c r="N205" s="5"/>
    </row>
    <row r="206" ht="15.75" customHeight="1">
      <c r="A206" s="8" t="s">
        <v>379</v>
      </c>
      <c r="B206" s="3"/>
      <c r="C206" s="3" t="s">
        <v>15</v>
      </c>
      <c r="D206" s="3">
        <v>2022.0</v>
      </c>
      <c r="E206" s="3" t="s">
        <v>69</v>
      </c>
      <c r="F206" s="3" t="s">
        <v>238</v>
      </c>
      <c r="G206" s="11" t="s">
        <v>380</v>
      </c>
      <c r="H206" s="6"/>
      <c r="I206" s="3"/>
      <c r="J206" s="3"/>
      <c r="K206" s="3"/>
      <c r="L206" s="3">
        <v>31990.0</v>
      </c>
      <c r="M206" s="3"/>
      <c r="N206" s="5"/>
    </row>
    <row r="207" ht="15.75" customHeight="1">
      <c r="A207" s="8" t="s">
        <v>381</v>
      </c>
      <c r="B207" s="3"/>
      <c r="C207" s="3" t="s">
        <v>15</v>
      </c>
      <c r="D207" s="3">
        <v>2022.0</v>
      </c>
      <c r="E207" s="3" t="s">
        <v>69</v>
      </c>
      <c r="F207" s="3" t="s">
        <v>189</v>
      </c>
      <c r="G207" s="9" t="s">
        <v>382</v>
      </c>
      <c r="H207" s="6"/>
      <c r="I207" s="3"/>
      <c r="J207" s="3"/>
      <c r="K207" s="3"/>
      <c r="L207" s="3">
        <v>36410.0</v>
      </c>
      <c r="M207" s="3"/>
      <c r="N207" s="5"/>
    </row>
    <row r="208" ht="15.75" customHeight="1">
      <c r="A208" s="8" t="s">
        <v>383</v>
      </c>
      <c r="B208" s="3"/>
      <c r="C208" s="3" t="s">
        <v>15</v>
      </c>
      <c r="D208" s="3">
        <v>2022.0</v>
      </c>
      <c r="E208" s="3" t="s">
        <v>69</v>
      </c>
      <c r="F208" s="3" t="s">
        <v>238</v>
      </c>
      <c r="G208" s="11" t="s">
        <v>384</v>
      </c>
      <c r="H208" s="6"/>
      <c r="I208" s="3"/>
      <c r="J208" s="3"/>
      <c r="K208" s="3"/>
      <c r="L208" s="3">
        <v>40110.0</v>
      </c>
      <c r="M208" s="3"/>
      <c r="N208" s="5"/>
    </row>
    <row r="209" ht="15.75" customHeight="1">
      <c r="A209" s="8" t="s">
        <v>385</v>
      </c>
      <c r="B209" s="3"/>
      <c r="C209" s="3" t="s">
        <v>15</v>
      </c>
      <c r="D209" s="3">
        <v>2022.0</v>
      </c>
      <c r="E209" s="3" t="s">
        <v>69</v>
      </c>
      <c r="F209" s="3" t="s">
        <v>119</v>
      </c>
      <c r="G209" s="9" t="s">
        <v>386</v>
      </c>
      <c r="H209" s="6"/>
      <c r="I209" s="3"/>
      <c r="J209" s="3"/>
      <c r="K209" s="3"/>
      <c r="L209" s="3">
        <v>1080.0</v>
      </c>
      <c r="M209" s="3"/>
      <c r="N209" s="5"/>
    </row>
    <row r="210" ht="15.75" customHeight="1">
      <c r="A210" s="8" t="s">
        <v>387</v>
      </c>
      <c r="B210" s="3"/>
      <c r="C210" s="3" t="s">
        <v>15</v>
      </c>
      <c r="D210" s="3">
        <v>2022.0</v>
      </c>
      <c r="E210" s="3" t="s">
        <v>69</v>
      </c>
      <c r="F210" s="3" t="s">
        <v>122</v>
      </c>
      <c r="G210" s="11" t="s">
        <v>388</v>
      </c>
      <c r="H210" s="6"/>
      <c r="I210" s="3"/>
      <c r="J210" s="3"/>
      <c r="K210" s="3"/>
      <c r="L210" s="3">
        <v>2220.0</v>
      </c>
      <c r="M210" s="3"/>
      <c r="N210" s="5"/>
    </row>
    <row r="211" ht="15.75" customHeight="1">
      <c r="A211" s="8" t="s">
        <v>387</v>
      </c>
      <c r="B211" s="3"/>
      <c r="C211" s="3" t="s">
        <v>15</v>
      </c>
      <c r="D211" s="3">
        <v>2022.0</v>
      </c>
      <c r="E211" s="3" t="s">
        <v>69</v>
      </c>
      <c r="F211" s="3" t="s">
        <v>119</v>
      </c>
      <c r="G211" s="9" t="s">
        <v>389</v>
      </c>
      <c r="H211" s="6"/>
      <c r="I211" s="3"/>
      <c r="J211" s="3"/>
      <c r="K211" s="3"/>
      <c r="L211" s="3">
        <v>2220.0</v>
      </c>
      <c r="M211" s="3"/>
      <c r="N211" s="5"/>
    </row>
    <row r="212" ht="15.75" customHeight="1">
      <c r="A212" s="8" t="s">
        <v>390</v>
      </c>
      <c r="B212" s="3"/>
      <c r="C212" s="3" t="s">
        <v>15</v>
      </c>
      <c r="D212" s="3">
        <v>2022.0</v>
      </c>
      <c r="E212" s="3" t="s">
        <v>69</v>
      </c>
      <c r="F212" s="3" t="s">
        <v>391</v>
      </c>
      <c r="G212" s="11" t="s">
        <v>392</v>
      </c>
      <c r="H212" s="6"/>
      <c r="I212" s="3"/>
      <c r="J212" s="3"/>
      <c r="K212" s="3"/>
      <c r="L212" s="3">
        <v>8020.0</v>
      </c>
      <c r="M212" s="3"/>
      <c r="N212" s="5"/>
    </row>
    <row r="213" ht="15.75" customHeight="1">
      <c r="A213" s="8" t="s">
        <v>393</v>
      </c>
      <c r="B213" s="3"/>
      <c r="C213" s="3" t="s">
        <v>15</v>
      </c>
      <c r="D213" s="3">
        <v>2022.0</v>
      </c>
      <c r="E213" s="3" t="s">
        <v>69</v>
      </c>
      <c r="F213" s="3" t="s">
        <v>17</v>
      </c>
      <c r="G213" s="9" t="s">
        <v>394</v>
      </c>
      <c r="H213" s="6"/>
      <c r="I213" s="3"/>
      <c r="J213" s="3"/>
      <c r="K213" s="3"/>
      <c r="L213" s="3">
        <v>8010.0</v>
      </c>
      <c r="M213" s="3"/>
      <c r="N213" s="5"/>
    </row>
    <row r="214" ht="15.75" customHeight="1">
      <c r="A214" s="8" t="s">
        <v>395</v>
      </c>
      <c r="B214" s="3"/>
      <c r="C214" s="3" t="s">
        <v>15</v>
      </c>
      <c r="D214" s="3">
        <v>2022.0</v>
      </c>
      <c r="E214" s="3" t="s">
        <v>69</v>
      </c>
      <c r="F214" s="3" t="s">
        <v>119</v>
      </c>
      <c r="G214" s="11" t="s">
        <v>396</v>
      </c>
      <c r="H214" s="6"/>
      <c r="I214" s="3"/>
      <c r="J214" s="3"/>
      <c r="K214" s="3"/>
      <c r="L214" s="3">
        <v>1350.0</v>
      </c>
      <c r="M214" s="3"/>
      <c r="N214" s="5"/>
    </row>
    <row r="215" ht="15.75" customHeight="1">
      <c r="A215" s="12" t="s">
        <v>397</v>
      </c>
      <c r="B215" s="5" t="s">
        <v>398</v>
      </c>
      <c r="C215" s="3" t="s">
        <v>15</v>
      </c>
      <c r="D215" s="3">
        <v>2022.0</v>
      </c>
      <c r="E215" s="3" t="s">
        <v>69</v>
      </c>
      <c r="F215" s="3" t="s">
        <v>399</v>
      </c>
      <c r="G215" s="9" t="s">
        <v>400</v>
      </c>
      <c r="H215" s="6"/>
      <c r="I215" s="3"/>
      <c r="J215" s="3"/>
      <c r="K215" s="3"/>
      <c r="L215" s="3">
        <v>6470.0</v>
      </c>
      <c r="M215" s="15" t="s">
        <v>401</v>
      </c>
      <c r="N215" s="16"/>
    </row>
    <row r="216" ht="15.75" customHeight="1">
      <c r="A216" s="12" t="s">
        <v>402</v>
      </c>
      <c r="B216" s="5" t="s">
        <v>403</v>
      </c>
      <c r="C216" s="3" t="s">
        <v>15</v>
      </c>
      <c r="D216" s="3">
        <v>2022.0</v>
      </c>
      <c r="E216" s="3" t="s">
        <v>69</v>
      </c>
      <c r="F216" s="3" t="s">
        <v>399</v>
      </c>
      <c r="G216" s="11" t="s">
        <v>404</v>
      </c>
      <c r="H216" s="6"/>
      <c r="I216" s="3"/>
      <c r="J216" s="3"/>
      <c r="K216" s="3"/>
      <c r="L216" s="3">
        <v>30010.0</v>
      </c>
      <c r="M216" s="15" t="s">
        <v>405</v>
      </c>
      <c r="N216" s="16"/>
    </row>
    <row r="217" ht="15.75" customHeight="1">
      <c r="A217" s="12" t="s">
        <v>406</v>
      </c>
      <c r="B217" s="5" t="s">
        <v>407</v>
      </c>
      <c r="C217" s="3" t="s">
        <v>15</v>
      </c>
      <c r="D217" s="3">
        <v>2022.0</v>
      </c>
      <c r="E217" s="3" t="s">
        <v>69</v>
      </c>
      <c r="F217" s="3" t="s">
        <v>399</v>
      </c>
      <c r="G217" s="9" t="s">
        <v>408</v>
      </c>
      <c r="H217" s="6"/>
      <c r="I217" s="3"/>
      <c r="J217" s="3"/>
      <c r="K217" s="3"/>
      <c r="L217" s="3">
        <v>30810.0</v>
      </c>
      <c r="M217" s="15" t="s">
        <v>409</v>
      </c>
      <c r="N217" s="16"/>
    </row>
    <row r="218" ht="15.75" customHeight="1">
      <c r="A218" s="12" t="s">
        <v>410</v>
      </c>
      <c r="B218" s="5" t="s">
        <v>411</v>
      </c>
      <c r="C218" s="3" t="s">
        <v>15</v>
      </c>
      <c r="D218" s="3">
        <v>2022.0</v>
      </c>
      <c r="E218" s="3" t="s">
        <v>69</v>
      </c>
      <c r="F218" s="3" t="s">
        <v>399</v>
      </c>
      <c r="G218" s="11" t="s">
        <v>412</v>
      </c>
      <c r="H218" s="6"/>
      <c r="I218" s="3"/>
      <c r="J218" s="3"/>
      <c r="K218" s="3"/>
      <c r="L218" s="3">
        <v>30990.0</v>
      </c>
      <c r="M218" s="15" t="s">
        <v>413</v>
      </c>
      <c r="N218" s="16"/>
    </row>
    <row r="219" ht="15.75" customHeight="1">
      <c r="A219" s="12" t="s">
        <v>410</v>
      </c>
      <c r="B219" s="5" t="s">
        <v>411</v>
      </c>
      <c r="C219" s="3" t="s">
        <v>15</v>
      </c>
      <c r="D219" s="3">
        <v>2022.0</v>
      </c>
      <c r="E219" s="3" t="s">
        <v>69</v>
      </c>
      <c r="F219" s="3" t="s">
        <v>399</v>
      </c>
      <c r="G219" s="9" t="s">
        <v>412</v>
      </c>
      <c r="H219" s="6"/>
      <c r="I219" s="3"/>
      <c r="J219" s="3"/>
      <c r="K219" s="3"/>
      <c r="L219" s="3">
        <v>30990.0</v>
      </c>
      <c r="M219" s="15" t="s">
        <v>413</v>
      </c>
      <c r="N219" s="16"/>
    </row>
    <row r="220" ht="15.75" customHeight="1">
      <c r="A220" s="12" t="s">
        <v>414</v>
      </c>
      <c r="B220" s="5" t="s">
        <v>415</v>
      </c>
      <c r="C220" s="3" t="s">
        <v>15</v>
      </c>
      <c r="D220" s="3">
        <v>2022.0</v>
      </c>
      <c r="E220" s="3" t="s">
        <v>69</v>
      </c>
      <c r="F220" s="3" t="s">
        <v>399</v>
      </c>
      <c r="G220" s="11" t="s">
        <v>416</v>
      </c>
      <c r="H220" s="6"/>
      <c r="I220" s="3"/>
      <c r="J220" s="3"/>
      <c r="K220" s="3"/>
      <c r="L220" s="3">
        <v>31670.0</v>
      </c>
      <c r="M220" s="6" t="s">
        <v>417</v>
      </c>
      <c r="N220" s="17"/>
    </row>
    <row r="221" ht="15.75" customHeight="1">
      <c r="A221" s="12" t="s">
        <v>418</v>
      </c>
      <c r="B221" s="5" t="s">
        <v>419</v>
      </c>
      <c r="C221" s="3" t="s">
        <v>15</v>
      </c>
      <c r="D221" s="3">
        <v>2022.0</v>
      </c>
      <c r="E221" s="3" t="s">
        <v>69</v>
      </c>
      <c r="F221" s="3" t="s">
        <v>399</v>
      </c>
      <c r="G221" s="9" t="s">
        <v>420</v>
      </c>
      <c r="H221" s="6"/>
      <c r="I221" s="3"/>
      <c r="J221" s="3"/>
      <c r="K221" s="3"/>
      <c r="L221" s="3">
        <v>38000.0</v>
      </c>
      <c r="M221" s="6" t="s">
        <v>421</v>
      </c>
      <c r="N221" s="17"/>
    </row>
    <row r="222" ht="15.75" customHeight="1">
      <c r="A222" s="12" t="s">
        <v>422</v>
      </c>
      <c r="B222" s="5" t="s">
        <v>423</v>
      </c>
      <c r="C222" s="3" t="s">
        <v>15</v>
      </c>
      <c r="D222" s="3">
        <v>2022.0</v>
      </c>
      <c r="E222" s="3" t="s">
        <v>69</v>
      </c>
      <c r="F222" s="3" t="s">
        <v>399</v>
      </c>
      <c r="G222" s="11" t="s">
        <v>424</v>
      </c>
      <c r="H222" s="6"/>
      <c r="I222" s="3"/>
      <c r="J222" s="3"/>
      <c r="K222" s="3"/>
      <c r="L222" s="3">
        <v>38670.0</v>
      </c>
      <c r="M222" s="6" t="s">
        <v>425</v>
      </c>
      <c r="N222" s="17"/>
    </row>
    <row r="223" ht="15.75" customHeight="1">
      <c r="A223" s="12" t="s">
        <v>426</v>
      </c>
      <c r="B223" s="5" t="s">
        <v>427</v>
      </c>
      <c r="C223" s="3" t="s">
        <v>15</v>
      </c>
      <c r="D223" s="3">
        <v>2022.0</v>
      </c>
      <c r="E223" s="3" t="s">
        <v>69</v>
      </c>
      <c r="F223" s="3" t="s">
        <v>399</v>
      </c>
      <c r="G223" s="9" t="s">
        <v>428</v>
      </c>
      <c r="H223" s="6"/>
      <c r="I223" s="3"/>
      <c r="J223" s="3"/>
      <c r="K223" s="3"/>
      <c r="L223" s="3">
        <v>40040.0</v>
      </c>
      <c r="M223" s="6" t="s">
        <v>429</v>
      </c>
      <c r="N223" s="17"/>
    </row>
    <row r="224" ht="15.75" customHeight="1">
      <c r="A224" s="12" t="s">
        <v>426</v>
      </c>
      <c r="B224" s="5" t="s">
        <v>427</v>
      </c>
      <c r="C224" s="3" t="s">
        <v>15</v>
      </c>
      <c r="D224" s="3">
        <v>2022.0</v>
      </c>
      <c r="E224" s="3" t="s">
        <v>69</v>
      </c>
      <c r="F224" s="3" t="s">
        <v>399</v>
      </c>
      <c r="G224" s="11" t="s">
        <v>428</v>
      </c>
      <c r="H224" s="6"/>
      <c r="I224" s="3"/>
      <c r="J224" s="3"/>
      <c r="K224" s="3"/>
      <c r="L224" s="3">
        <v>40040.0</v>
      </c>
      <c r="M224" s="6" t="s">
        <v>429</v>
      </c>
      <c r="N224" s="17"/>
    </row>
    <row r="225" ht="15.75" customHeight="1">
      <c r="A225" s="12" t="s">
        <v>426</v>
      </c>
      <c r="B225" s="5" t="s">
        <v>427</v>
      </c>
      <c r="C225" s="3" t="s">
        <v>15</v>
      </c>
      <c r="D225" s="3">
        <v>2022.0</v>
      </c>
      <c r="E225" s="3" t="s">
        <v>69</v>
      </c>
      <c r="F225" s="3" t="s">
        <v>399</v>
      </c>
      <c r="G225" s="9" t="s">
        <v>428</v>
      </c>
      <c r="H225" s="6"/>
      <c r="I225" s="3"/>
      <c r="J225" s="3"/>
      <c r="K225" s="3"/>
      <c r="L225" s="3">
        <v>40040.0</v>
      </c>
      <c r="M225" s="6" t="s">
        <v>429</v>
      </c>
      <c r="N225" s="17"/>
    </row>
    <row r="226" ht="15.75" customHeight="1">
      <c r="A226" s="12" t="s">
        <v>430</v>
      </c>
      <c r="B226" s="5" t="s">
        <v>431</v>
      </c>
      <c r="C226" s="3" t="s">
        <v>15</v>
      </c>
      <c r="D226" s="3">
        <v>2022.0</v>
      </c>
      <c r="E226" s="3" t="s">
        <v>69</v>
      </c>
      <c r="F226" s="3" t="s">
        <v>399</v>
      </c>
      <c r="G226" s="11" t="s">
        <v>432</v>
      </c>
      <c r="H226" s="6"/>
      <c r="I226" s="3"/>
      <c r="J226" s="3"/>
      <c r="K226" s="3"/>
      <c r="L226" s="3">
        <v>40200.0</v>
      </c>
      <c r="M226" s="6" t="s">
        <v>433</v>
      </c>
      <c r="N226" s="17"/>
    </row>
    <row r="227" ht="15.75" customHeight="1">
      <c r="A227" s="12" t="s">
        <v>434</v>
      </c>
      <c r="B227" s="5" t="s">
        <v>435</v>
      </c>
      <c r="C227" s="3" t="s">
        <v>15</v>
      </c>
      <c r="D227" s="3">
        <v>2022.0</v>
      </c>
      <c r="E227" s="3" t="s">
        <v>69</v>
      </c>
      <c r="F227" s="3" t="s">
        <v>399</v>
      </c>
      <c r="G227" s="9" t="s">
        <v>436</v>
      </c>
      <c r="H227" s="6"/>
      <c r="I227" s="3"/>
      <c r="J227" s="3"/>
      <c r="K227" s="3"/>
      <c r="L227" s="3">
        <v>45850.0</v>
      </c>
      <c r="M227" s="6" t="s">
        <v>437</v>
      </c>
      <c r="N227" s="17"/>
    </row>
    <row r="228" ht="15.75" customHeight="1">
      <c r="A228" s="12" t="s">
        <v>438</v>
      </c>
      <c r="B228" s="5" t="s">
        <v>439</v>
      </c>
      <c r="C228" s="3" t="s">
        <v>15</v>
      </c>
      <c r="D228" s="3">
        <v>2022.0</v>
      </c>
      <c r="E228" s="3" t="s">
        <v>69</v>
      </c>
      <c r="F228" s="3" t="s">
        <v>399</v>
      </c>
      <c r="G228" s="11" t="s">
        <v>440</v>
      </c>
      <c r="H228" s="6"/>
      <c r="I228" s="3"/>
      <c r="J228" s="3"/>
      <c r="K228" s="3"/>
      <c r="L228" s="3">
        <v>50270.0</v>
      </c>
      <c r="M228" s="6" t="s">
        <v>441</v>
      </c>
      <c r="N228" s="17"/>
    </row>
    <row r="229" ht="15.75" customHeight="1">
      <c r="A229" s="12" t="s">
        <v>442</v>
      </c>
      <c r="B229" s="5" t="s">
        <v>443</v>
      </c>
      <c r="C229" s="3" t="s">
        <v>15</v>
      </c>
      <c r="D229" s="3">
        <v>2022.0</v>
      </c>
      <c r="E229" s="3" t="s">
        <v>69</v>
      </c>
      <c r="F229" s="3" t="s">
        <v>399</v>
      </c>
      <c r="G229" s="9" t="s">
        <v>444</v>
      </c>
      <c r="H229" s="6"/>
      <c r="I229" s="3"/>
      <c r="J229" s="3"/>
      <c r="K229" s="3"/>
      <c r="L229" s="3">
        <v>52730.0</v>
      </c>
      <c r="M229" s="6" t="s">
        <v>445</v>
      </c>
      <c r="N229" s="17"/>
    </row>
    <row r="230" ht="15.75" customHeight="1">
      <c r="A230" s="12" t="s">
        <v>446</v>
      </c>
      <c r="B230" s="5" t="s">
        <v>447</v>
      </c>
      <c r="C230" s="3" t="s">
        <v>15</v>
      </c>
      <c r="D230" s="3">
        <v>2022.0</v>
      </c>
      <c r="E230" s="3" t="s">
        <v>69</v>
      </c>
      <c r="F230" s="3" t="s">
        <v>399</v>
      </c>
      <c r="G230" s="11" t="s">
        <v>448</v>
      </c>
      <c r="H230" s="6"/>
      <c r="I230" s="3"/>
      <c r="J230" s="3"/>
      <c r="K230" s="3"/>
      <c r="L230" s="3">
        <v>18810.0</v>
      </c>
      <c r="M230" s="6" t="s">
        <v>449</v>
      </c>
      <c r="N230" s="17"/>
    </row>
    <row r="231" ht="15.75" customHeight="1">
      <c r="A231" s="12" t="s">
        <v>450</v>
      </c>
      <c r="B231" s="5" t="s">
        <v>451</v>
      </c>
      <c r="C231" s="3" t="s">
        <v>15</v>
      </c>
      <c r="D231" s="3">
        <v>2022.0</v>
      </c>
      <c r="E231" s="3" t="s">
        <v>69</v>
      </c>
      <c r="F231" s="3" t="s">
        <v>399</v>
      </c>
      <c r="G231" s="9" t="s">
        <v>452</v>
      </c>
      <c r="H231" s="6"/>
      <c r="I231" s="3"/>
      <c r="J231" s="3"/>
      <c r="K231" s="3"/>
      <c r="L231" s="3">
        <v>19960.0</v>
      </c>
      <c r="M231" s="6" t="s">
        <v>453</v>
      </c>
      <c r="N231" s="17"/>
    </row>
    <row r="232" ht="15.75" customHeight="1">
      <c r="A232" s="12" t="s">
        <v>454</v>
      </c>
      <c r="B232" s="5" t="s">
        <v>455</v>
      </c>
      <c r="C232" s="3" t="s">
        <v>15</v>
      </c>
      <c r="D232" s="3">
        <v>2022.0</v>
      </c>
      <c r="E232" s="3" t="s">
        <v>69</v>
      </c>
      <c r="F232" s="3" t="s">
        <v>399</v>
      </c>
      <c r="G232" s="11" t="s">
        <v>456</v>
      </c>
      <c r="H232" s="6"/>
      <c r="I232" s="3"/>
      <c r="J232" s="3"/>
      <c r="K232" s="3"/>
      <c r="L232" s="3">
        <v>20730.0</v>
      </c>
      <c r="M232" s="6" t="s">
        <v>457</v>
      </c>
      <c r="N232" s="17"/>
    </row>
    <row r="233" ht="15.75" customHeight="1">
      <c r="A233" s="12" t="s">
        <v>458</v>
      </c>
      <c r="B233" s="5" t="s">
        <v>459</v>
      </c>
      <c r="C233" s="3" t="s">
        <v>15</v>
      </c>
      <c r="D233" s="3">
        <v>2022.0</v>
      </c>
      <c r="E233" s="3" t="s">
        <v>69</v>
      </c>
      <c r="F233" s="3" t="s">
        <v>399</v>
      </c>
      <c r="G233" s="9" t="s">
        <v>460</v>
      </c>
      <c r="H233" s="6"/>
      <c r="I233" s="3"/>
      <c r="J233" s="3"/>
      <c r="K233" s="3"/>
      <c r="L233" s="3">
        <v>23860.0</v>
      </c>
      <c r="M233" s="6" t="s">
        <v>461</v>
      </c>
      <c r="N233" s="17"/>
    </row>
    <row r="234" ht="15.75" customHeight="1">
      <c r="A234" s="12" t="s">
        <v>462</v>
      </c>
      <c r="B234" s="5" t="s">
        <v>463</v>
      </c>
      <c r="C234" s="3" t="s">
        <v>15</v>
      </c>
      <c r="D234" s="3">
        <v>2022.0</v>
      </c>
      <c r="E234" s="3" t="s">
        <v>69</v>
      </c>
      <c r="F234" s="3" t="s">
        <v>399</v>
      </c>
      <c r="G234" s="11" t="s">
        <v>464</v>
      </c>
      <c r="H234" s="6"/>
      <c r="I234" s="3"/>
      <c r="J234" s="3"/>
      <c r="K234" s="3"/>
      <c r="L234" s="3">
        <v>26610.0</v>
      </c>
      <c r="M234" s="6" t="s">
        <v>465</v>
      </c>
      <c r="N234" s="17"/>
    </row>
    <row r="235" ht="15.75" customHeight="1">
      <c r="A235" s="12" t="s">
        <v>466</v>
      </c>
      <c r="B235" s="5" t="s">
        <v>467</v>
      </c>
      <c r="C235" s="3" t="s">
        <v>15</v>
      </c>
      <c r="D235" s="3">
        <v>2022.0</v>
      </c>
      <c r="E235" s="3" t="s">
        <v>69</v>
      </c>
      <c r="F235" s="3" t="s">
        <v>399</v>
      </c>
      <c r="G235" s="9" t="s">
        <v>468</v>
      </c>
      <c r="H235" s="6"/>
      <c r="I235" s="3"/>
      <c r="J235" s="3"/>
      <c r="K235" s="3"/>
      <c r="L235" s="3">
        <v>29160.0</v>
      </c>
      <c r="M235" s="6" t="s">
        <v>469</v>
      </c>
      <c r="N235" s="17"/>
    </row>
    <row r="236" ht="15.75" customHeight="1">
      <c r="A236" s="12" t="s">
        <v>470</v>
      </c>
      <c r="B236" s="5" t="s">
        <v>471</v>
      </c>
      <c r="C236" s="3" t="s">
        <v>15</v>
      </c>
      <c r="D236" s="3">
        <v>2022.0</v>
      </c>
      <c r="E236" s="3" t="s">
        <v>69</v>
      </c>
      <c r="F236" s="3" t="s">
        <v>399</v>
      </c>
      <c r="G236" s="11" t="s">
        <v>472</v>
      </c>
      <c r="H236" s="6"/>
      <c r="I236" s="3"/>
      <c r="J236" s="3"/>
      <c r="K236" s="3"/>
      <c r="L236" s="3">
        <v>33560.0</v>
      </c>
      <c r="M236" s="6" t="s">
        <v>473</v>
      </c>
      <c r="N236" s="17"/>
    </row>
    <row r="237" ht="15.75" customHeight="1">
      <c r="A237" s="12" t="s">
        <v>474</v>
      </c>
      <c r="B237" s="5" t="s">
        <v>475</v>
      </c>
      <c r="C237" s="3" t="s">
        <v>15</v>
      </c>
      <c r="D237" s="3">
        <v>2022.0</v>
      </c>
      <c r="E237" s="3" t="s">
        <v>69</v>
      </c>
      <c r="F237" s="3" t="s">
        <v>399</v>
      </c>
      <c r="G237" s="9" t="s">
        <v>476</v>
      </c>
      <c r="H237" s="6"/>
      <c r="I237" s="3"/>
      <c r="J237" s="3"/>
      <c r="K237" s="3"/>
      <c r="L237" s="3">
        <v>33610.0</v>
      </c>
      <c r="M237" s="6" t="s">
        <v>477</v>
      </c>
      <c r="N237" s="17"/>
    </row>
    <row r="238" ht="15.75" customHeight="1">
      <c r="A238" s="12" t="s">
        <v>478</v>
      </c>
      <c r="B238" s="5" t="s">
        <v>479</v>
      </c>
      <c r="C238" s="3" t="s">
        <v>15</v>
      </c>
      <c r="D238" s="3">
        <v>2022.0</v>
      </c>
      <c r="E238" s="3" t="s">
        <v>69</v>
      </c>
      <c r="F238" s="3" t="s">
        <v>399</v>
      </c>
      <c r="G238" s="11" t="s">
        <v>480</v>
      </c>
      <c r="H238" s="6"/>
      <c r="I238" s="3"/>
      <c r="J238" s="3"/>
      <c r="K238" s="3"/>
      <c r="L238" s="3">
        <v>34530.0</v>
      </c>
      <c r="M238" s="6" t="s">
        <v>481</v>
      </c>
      <c r="N238" s="17"/>
    </row>
    <row r="239" ht="15.75" customHeight="1">
      <c r="A239" s="12" t="s">
        <v>482</v>
      </c>
      <c r="B239" s="5" t="s">
        <v>483</v>
      </c>
      <c r="C239" s="3" t="s">
        <v>15</v>
      </c>
      <c r="D239" s="3">
        <v>2022.0</v>
      </c>
      <c r="E239" s="3" t="s">
        <v>69</v>
      </c>
      <c r="F239" s="3" t="s">
        <v>399</v>
      </c>
      <c r="G239" s="9" t="s">
        <v>484</v>
      </c>
      <c r="H239" s="6"/>
      <c r="I239" s="3"/>
      <c r="J239" s="3"/>
      <c r="K239" s="3"/>
      <c r="L239" s="3">
        <v>35350.0</v>
      </c>
      <c r="M239" s="6" t="s">
        <v>485</v>
      </c>
      <c r="N239" s="17"/>
    </row>
    <row r="240" ht="15.75" customHeight="1">
      <c r="A240" s="12" t="s">
        <v>486</v>
      </c>
      <c r="B240" s="5" t="s">
        <v>487</v>
      </c>
      <c r="C240" s="3" t="s">
        <v>15</v>
      </c>
      <c r="D240" s="3">
        <v>2022.0</v>
      </c>
      <c r="E240" s="3" t="s">
        <v>69</v>
      </c>
      <c r="F240" s="3" t="s">
        <v>399</v>
      </c>
      <c r="G240" s="11" t="s">
        <v>488</v>
      </c>
      <c r="H240" s="6"/>
      <c r="I240" s="3"/>
      <c r="J240" s="3"/>
      <c r="K240" s="3"/>
      <c r="L240" s="3">
        <v>36190.0</v>
      </c>
      <c r="M240" s="6" t="s">
        <v>489</v>
      </c>
      <c r="N240" s="17"/>
    </row>
    <row r="241" ht="15.75" customHeight="1">
      <c r="A241" s="12" t="s">
        <v>490</v>
      </c>
      <c r="B241" s="5" t="s">
        <v>491</v>
      </c>
      <c r="C241" s="3" t="s">
        <v>15</v>
      </c>
      <c r="D241" s="3">
        <v>2022.0</v>
      </c>
      <c r="E241" s="3" t="s">
        <v>69</v>
      </c>
      <c r="F241" s="3" t="s">
        <v>399</v>
      </c>
      <c r="G241" s="9" t="s">
        <v>492</v>
      </c>
      <c r="H241" s="6"/>
      <c r="I241" s="3"/>
      <c r="J241" s="3"/>
      <c r="K241" s="3"/>
      <c r="L241" s="3">
        <v>38930.0</v>
      </c>
      <c r="M241" s="6" t="s">
        <v>493</v>
      </c>
      <c r="N241" s="17"/>
    </row>
    <row r="242" ht="15.75" customHeight="1">
      <c r="A242" s="12" t="s">
        <v>494</v>
      </c>
      <c r="B242" s="5" t="s">
        <v>495</v>
      </c>
      <c r="C242" s="3" t="s">
        <v>15</v>
      </c>
      <c r="D242" s="3">
        <v>2022.0</v>
      </c>
      <c r="E242" s="3" t="s">
        <v>69</v>
      </c>
      <c r="F242" s="3" t="s">
        <v>399</v>
      </c>
      <c r="G242" s="11" t="s">
        <v>496</v>
      </c>
      <c r="H242" s="6"/>
      <c r="I242" s="3"/>
      <c r="J242" s="3"/>
      <c r="K242" s="3"/>
      <c r="L242" s="3">
        <v>40250.0</v>
      </c>
      <c r="M242" s="6" t="s">
        <v>497</v>
      </c>
      <c r="N242" s="17"/>
    </row>
    <row r="243" ht="15.75" customHeight="1">
      <c r="A243" s="12" t="s">
        <v>498</v>
      </c>
      <c r="B243" s="5" t="s">
        <v>499</v>
      </c>
      <c r="C243" s="3" t="s">
        <v>15</v>
      </c>
      <c r="D243" s="3">
        <v>2022.0</v>
      </c>
      <c r="E243" s="3" t="s">
        <v>69</v>
      </c>
      <c r="F243" s="3" t="s">
        <v>399</v>
      </c>
      <c r="G243" s="9" t="s">
        <v>500</v>
      </c>
      <c r="H243" s="6"/>
      <c r="I243" s="3"/>
      <c r="J243" s="3"/>
      <c r="K243" s="3"/>
      <c r="L243" s="3">
        <v>40720.0</v>
      </c>
      <c r="M243" s="6" t="s">
        <v>501</v>
      </c>
      <c r="N243" s="17"/>
    </row>
    <row r="244" ht="15.75" customHeight="1">
      <c r="A244" s="12" t="s">
        <v>498</v>
      </c>
      <c r="B244" s="5" t="s">
        <v>499</v>
      </c>
      <c r="C244" s="3" t="s">
        <v>15</v>
      </c>
      <c r="D244" s="3">
        <v>2022.0</v>
      </c>
      <c r="E244" s="3" t="s">
        <v>69</v>
      </c>
      <c r="F244" s="3" t="s">
        <v>399</v>
      </c>
      <c r="G244" s="11" t="s">
        <v>500</v>
      </c>
      <c r="H244" s="6"/>
      <c r="I244" s="3"/>
      <c r="J244" s="3"/>
      <c r="K244" s="3"/>
      <c r="L244" s="3">
        <v>40720.0</v>
      </c>
      <c r="M244" s="6" t="s">
        <v>501</v>
      </c>
      <c r="N244" s="17"/>
    </row>
    <row r="245" ht="15.75" customHeight="1">
      <c r="A245" s="12" t="s">
        <v>502</v>
      </c>
      <c r="B245" s="5" t="s">
        <v>503</v>
      </c>
      <c r="C245" s="3" t="s">
        <v>15</v>
      </c>
      <c r="D245" s="3">
        <v>2022.0</v>
      </c>
      <c r="E245" s="3" t="s">
        <v>69</v>
      </c>
      <c r="F245" s="3" t="s">
        <v>399</v>
      </c>
      <c r="G245" s="9" t="s">
        <v>504</v>
      </c>
      <c r="H245" s="6"/>
      <c r="I245" s="3"/>
      <c r="J245" s="3"/>
      <c r="K245" s="3"/>
      <c r="L245" s="3">
        <v>44460.0</v>
      </c>
      <c r="M245" s="6" t="s">
        <v>505</v>
      </c>
      <c r="N245" s="17"/>
    </row>
    <row r="246" ht="15.75" customHeight="1">
      <c r="A246" s="12" t="s">
        <v>506</v>
      </c>
      <c r="B246" s="5" t="s">
        <v>507</v>
      </c>
      <c r="C246" s="3" t="s">
        <v>15</v>
      </c>
      <c r="D246" s="3">
        <v>2022.0</v>
      </c>
      <c r="E246" s="3" t="s">
        <v>69</v>
      </c>
      <c r="F246" s="3" t="s">
        <v>399</v>
      </c>
      <c r="G246" s="11" t="s">
        <v>508</v>
      </c>
      <c r="H246" s="6"/>
      <c r="I246" s="3"/>
      <c r="J246" s="3"/>
      <c r="K246" s="3"/>
      <c r="L246" s="3">
        <v>58540.0</v>
      </c>
      <c r="M246" s="6" t="s">
        <v>509</v>
      </c>
      <c r="N246" s="17"/>
    </row>
    <row r="247" ht="15.75" customHeight="1">
      <c r="A247" s="12" t="s">
        <v>510</v>
      </c>
      <c r="B247" s="5" t="s">
        <v>511</v>
      </c>
      <c r="C247" s="3" t="s">
        <v>15</v>
      </c>
      <c r="D247" s="3">
        <v>2022.0</v>
      </c>
      <c r="E247" s="3" t="s">
        <v>69</v>
      </c>
      <c r="F247" s="3" t="s">
        <v>399</v>
      </c>
      <c r="G247" s="9" t="s">
        <v>512</v>
      </c>
      <c r="H247" s="6"/>
      <c r="I247" s="3"/>
      <c r="J247" s="3"/>
      <c r="K247" s="3"/>
      <c r="L247" s="3">
        <v>61170.0</v>
      </c>
      <c r="M247" s="6" t="s">
        <v>513</v>
      </c>
      <c r="N247" s="17"/>
    </row>
    <row r="248" ht="15.75" customHeight="1">
      <c r="A248" s="12" t="s">
        <v>514</v>
      </c>
      <c r="B248" s="5" t="s">
        <v>515</v>
      </c>
      <c r="C248" s="3" t="s">
        <v>15</v>
      </c>
      <c r="D248" s="3">
        <v>2022.0</v>
      </c>
      <c r="E248" s="3" t="s">
        <v>69</v>
      </c>
      <c r="F248" s="3" t="s">
        <v>399</v>
      </c>
      <c r="G248" s="11" t="s">
        <v>516</v>
      </c>
      <c r="H248" s="6"/>
      <c r="I248" s="3"/>
      <c r="J248" s="3"/>
      <c r="K248" s="3"/>
      <c r="L248" s="3">
        <v>75080.0</v>
      </c>
      <c r="M248" s="6" t="s">
        <v>517</v>
      </c>
      <c r="N248" s="17"/>
    </row>
    <row r="249" ht="15.75" customHeight="1">
      <c r="A249" s="12" t="s">
        <v>518</v>
      </c>
      <c r="B249" s="5" t="s">
        <v>519</v>
      </c>
      <c r="C249" s="3" t="s">
        <v>15</v>
      </c>
      <c r="D249" s="3">
        <v>2022.0</v>
      </c>
      <c r="E249" s="3" t="s">
        <v>69</v>
      </c>
      <c r="F249" s="3" t="s">
        <v>399</v>
      </c>
      <c r="G249" s="9" t="s">
        <v>520</v>
      </c>
      <c r="H249" s="6"/>
      <c r="I249" s="3"/>
      <c r="J249" s="3"/>
      <c r="K249" s="3"/>
      <c r="L249" s="3">
        <v>80540.0</v>
      </c>
      <c r="M249" s="6" t="s">
        <v>521</v>
      </c>
      <c r="N249" s="17"/>
    </row>
    <row r="250" ht="15.75" customHeight="1">
      <c r="A250" s="12" t="s">
        <v>522</v>
      </c>
      <c r="B250" s="5" t="s">
        <v>523</v>
      </c>
      <c r="C250" s="3" t="s">
        <v>15</v>
      </c>
      <c r="D250" s="3">
        <v>2022.0</v>
      </c>
      <c r="E250" s="3" t="s">
        <v>69</v>
      </c>
      <c r="F250" s="3" t="s">
        <v>399</v>
      </c>
      <c r="G250" s="11" t="s">
        <v>524</v>
      </c>
      <c r="H250" s="6"/>
      <c r="I250" s="3"/>
      <c r="J250" s="3"/>
      <c r="K250" s="3"/>
      <c r="L250" s="3">
        <v>89120.0</v>
      </c>
      <c r="M250" s="6" t="s">
        <v>525</v>
      </c>
      <c r="N250" s="17"/>
    </row>
    <row r="251" ht="15.75" customHeight="1">
      <c r="A251" s="12" t="s">
        <v>526</v>
      </c>
      <c r="B251" s="5" t="s">
        <v>527</v>
      </c>
      <c r="C251" s="3" t="s">
        <v>15</v>
      </c>
      <c r="D251" s="3">
        <v>2022.0</v>
      </c>
      <c r="E251" s="3" t="s">
        <v>69</v>
      </c>
      <c r="F251" s="3" t="s">
        <v>399</v>
      </c>
      <c r="G251" s="9" t="s">
        <v>528</v>
      </c>
      <c r="H251" s="6"/>
      <c r="I251" s="3"/>
      <c r="J251" s="3"/>
      <c r="K251" s="3"/>
      <c r="L251" s="3">
        <v>92150.0</v>
      </c>
      <c r="M251" s="6" t="s">
        <v>529</v>
      </c>
      <c r="N251" s="17"/>
    </row>
    <row r="252" ht="15.75" customHeight="1">
      <c r="A252" s="12" t="s">
        <v>530</v>
      </c>
      <c r="B252" s="5" t="s">
        <v>531</v>
      </c>
      <c r="C252" s="3" t="s">
        <v>15</v>
      </c>
      <c r="D252" s="3">
        <v>2022.0</v>
      </c>
      <c r="E252" s="3" t="s">
        <v>69</v>
      </c>
      <c r="F252" s="3" t="s">
        <v>399</v>
      </c>
      <c r="G252" s="11" t="s">
        <v>532</v>
      </c>
      <c r="H252" s="6"/>
      <c r="I252" s="3"/>
      <c r="J252" s="3"/>
      <c r="K252" s="3"/>
      <c r="L252" s="3">
        <v>94590.0</v>
      </c>
      <c r="M252" s="6" t="s">
        <v>533</v>
      </c>
      <c r="N252" s="17"/>
    </row>
    <row r="253" ht="15.75" customHeight="1">
      <c r="A253" s="12" t="s">
        <v>534</v>
      </c>
      <c r="B253" s="5" t="s">
        <v>535</v>
      </c>
      <c r="C253" s="3" t="s">
        <v>15</v>
      </c>
      <c r="D253" s="3">
        <v>2022.0</v>
      </c>
      <c r="E253" s="3" t="s">
        <v>69</v>
      </c>
      <c r="F253" s="3" t="s">
        <v>399</v>
      </c>
      <c r="G253" s="9" t="s">
        <v>536</v>
      </c>
      <c r="H253" s="6"/>
      <c r="I253" s="3"/>
      <c r="J253" s="3"/>
      <c r="K253" s="3"/>
      <c r="L253" s="3">
        <v>96810.0</v>
      </c>
      <c r="M253" s="6" t="s">
        <v>537</v>
      </c>
      <c r="N253" s="17"/>
    </row>
    <row r="254" ht="15.75" customHeight="1">
      <c r="A254" s="12" t="s">
        <v>538</v>
      </c>
      <c r="B254" s="5" t="s">
        <v>539</v>
      </c>
      <c r="C254" s="3" t="s">
        <v>15</v>
      </c>
      <c r="D254" s="3">
        <v>2022.0</v>
      </c>
      <c r="E254" s="3" t="s">
        <v>69</v>
      </c>
      <c r="F254" s="3" t="s">
        <v>399</v>
      </c>
      <c r="G254" s="11" t="s">
        <v>540</v>
      </c>
      <c r="H254" s="6"/>
      <c r="I254" s="3"/>
      <c r="J254" s="3"/>
      <c r="K254" s="3"/>
      <c r="L254" s="3">
        <v>107990.0</v>
      </c>
      <c r="M254" s="6" t="s">
        <v>541</v>
      </c>
      <c r="N254" s="17"/>
    </row>
    <row r="255" ht="15.75" customHeight="1">
      <c r="A255" s="12" t="s">
        <v>542</v>
      </c>
      <c r="B255" s="5" t="s">
        <v>543</v>
      </c>
      <c r="C255" s="3" t="s">
        <v>15</v>
      </c>
      <c r="D255" s="3">
        <v>2022.0</v>
      </c>
      <c r="E255" s="3" t="s">
        <v>69</v>
      </c>
      <c r="F255" s="3" t="s">
        <v>399</v>
      </c>
      <c r="G255" s="9" t="s">
        <v>544</v>
      </c>
      <c r="H255" s="6"/>
      <c r="I255" s="3"/>
      <c r="J255" s="3"/>
      <c r="K255" s="3"/>
      <c r="L255" s="3">
        <v>1990.0</v>
      </c>
      <c r="M255" s="6" t="s">
        <v>545</v>
      </c>
      <c r="N255" s="17"/>
    </row>
    <row r="256" ht="15.75" customHeight="1">
      <c r="A256" s="12" t="s">
        <v>546</v>
      </c>
      <c r="B256" s="5" t="s">
        <v>547</v>
      </c>
      <c r="C256" s="3" t="s">
        <v>15</v>
      </c>
      <c r="D256" s="3">
        <v>2022.0</v>
      </c>
      <c r="E256" s="3" t="s">
        <v>69</v>
      </c>
      <c r="F256" s="3" t="s">
        <v>399</v>
      </c>
      <c r="G256" s="11" t="s">
        <v>548</v>
      </c>
      <c r="H256" s="6"/>
      <c r="I256" s="3"/>
      <c r="J256" s="3"/>
      <c r="K256" s="3"/>
      <c r="L256" s="3">
        <v>28170.0</v>
      </c>
      <c r="M256" s="6" t="s">
        <v>549</v>
      </c>
      <c r="N256" s="17"/>
    </row>
    <row r="257" ht="15.75" customHeight="1">
      <c r="A257" s="12" t="s">
        <v>550</v>
      </c>
      <c r="B257" s="5" t="s">
        <v>551</v>
      </c>
      <c r="C257" s="3" t="s">
        <v>15</v>
      </c>
      <c r="D257" s="3">
        <v>2022.0</v>
      </c>
      <c r="E257" s="3" t="s">
        <v>69</v>
      </c>
      <c r="F257" s="3" t="s">
        <v>399</v>
      </c>
      <c r="G257" s="9" t="s">
        <v>552</v>
      </c>
      <c r="H257" s="6"/>
      <c r="I257" s="3"/>
      <c r="J257" s="3"/>
      <c r="K257" s="3"/>
      <c r="L257" s="3">
        <v>38620.0</v>
      </c>
      <c r="M257" s="6" t="s">
        <v>553</v>
      </c>
      <c r="N257" s="17"/>
    </row>
    <row r="258" ht="15.75" customHeight="1">
      <c r="A258" s="12" t="s">
        <v>554</v>
      </c>
      <c r="B258" s="5" t="s">
        <v>555</v>
      </c>
      <c r="C258" s="3" t="s">
        <v>15</v>
      </c>
      <c r="D258" s="3">
        <v>2022.0</v>
      </c>
      <c r="E258" s="3" t="s">
        <v>69</v>
      </c>
      <c r="F258" s="3" t="s">
        <v>399</v>
      </c>
      <c r="G258" s="11" t="s">
        <v>556</v>
      </c>
      <c r="H258" s="6"/>
      <c r="I258" s="3"/>
      <c r="J258" s="3"/>
      <c r="K258" s="3"/>
      <c r="L258" s="3">
        <v>40630.0</v>
      </c>
      <c r="M258" s="6" t="s">
        <v>557</v>
      </c>
      <c r="N258" s="17"/>
    </row>
    <row r="259" ht="15.75" customHeight="1">
      <c r="A259" s="12" t="s">
        <v>558</v>
      </c>
      <c r="B259" s="5" t="s">
        <v>559</v>
      </c>
      <c r="C259" s="3" t="s">
        <v>15</v>
      </c>
      <c r="D259" s="3">
        <v>2022.0</v>
      </c>
      <c r="E259" s="3" t="s">
        <v>69</v>
      </c>
      <c r="F259" s="3" t="s">
        <v>399</v>
      </c>
      <c r="G259" s="9" t="s">
        <v>560</v>
      </c>
      <c r="H259" s="6"/>
      <c r="I259" s="3"/>
      <c r="J259" s="3"/>
      <c r="K259" s="3"/>
      <c r="L259" s="3">
        <v>44440.0</v>
      </c>
      <c r="M259" s="6" t="s">
        <v>561</v>
      </c>
      <c r="N259" s="17"/>
    </row>
    <row r="260" ht="15.75" customHeight="1">
      <c r="A260" s="12" t="s">
        <v>562</v>
      </c>
      <c r="B260" s="5" t="s">
        <v>563</v>
      </c>
      <c r="C260" s="3" t="s">
        <v>15</v>
      </c>
      <c r="D260" s="3">
        <v>2022.0</v>
      </c>
      <c r="E260" s="3" t="s">
        <v>69</v>
      </c>
      <c r="F260" s="3" t="s">
        <v>399</v>
      </c>
      <c r="G260" s="11" t="s">
        <v>564</v>
      </c>
      <c r="H260" s="6"/>
      <c r="I260" s="3"/>
      <c r="J260" s="3"/>
      <c r="K260" s="3"/>
      <c r="L260" s="3">
        <v>44780.0</v>
      </c>
      <c r="M260" s="6" t="s">
        <v>565</v>
      </c>
      <c r="N260" s="17"/>
    </row>
    <row r="261" ht="15.75" customHeight="1">
      <c r="A261" s="12" t="s">
        <v>566</v>
      </c>
      <c r="B261" s="5" t="s">
        <v>567</v>
      </c>
      <c r="C261" s="3" t="s">
        <v>15</v>
      </c>
      <c r="D261" s="3">
        <v>2022.0</v>
      </c>
      <c r="E261" s="3" t="s">
        <v>69</v>
      </c>
      <c r="F261" s="3" t="s">
        <v>399</v>
      </c>
      <c r="G261" s="9" t="s">
        <v>568</v>
      </c>
      <c r="H261" s="6"/>
      <c r="I261" s="3"/>
      <c r="J261" s="3"/>
      <c r="K261" s="3"/>
      <c r="L261" s="3" t="s">
        <v>569</v>
      </c>
      <c r="M261" s="6" t="s">
        <v>570</v>
      </c>
      <c r="N261" s="17"/>
    </row>
    <row r="262" ht="15.75" customHeight="1">
      <c r="A262" s="12" t="s">
        <v>571</v>
      </c>
      <c r="B262" s="5" t="s">
        <v>572</v>
      </c>
      <c r="C262" s="3" t="s">
        <v>15</v>
      </c>
      <c r="D262" s="3">
        <v>2022.0</v>
      </c>
      <c r="E262" s="3" t="s">
        <v>69</v>
      </c>
      <c r="F262" s="3" t="s">
        <v>399</v>
      </c>
      <c r="G262" s="11" t="s">
        <v>573</v>
      </c>
      <c r="H262" s="6"/>
      <c r="I262" s="3"/>
      <c r="J262" s="3"/>
      <c r="K262" s="3"/>
      <c r="L262" s="3" t="s">
        <v>574</v>
      </c>
      <c r="M262" s="6" t="s">
        <v>575</v>
      </c>
      <c r="N262" s="17"/>
    </row>
    <row r="263" ht="15.75" customHeight="1">
      <c r="A263" s="12" t="s">
        <v>576</v>
      </c>
      <c r="B263" s="5" t="s">
        <v>577</v>
      </c>
      <c r="C263" s="3" t="s">
        <v>15</v>
      </c>
      <c r="D263" s="3">
        <v>2022.0</v>
      </c>
      <c r="E263" s="3" t="s">
        <v>69</v>
      </c>
      <c r="F263" s="3" t="s">
        <v>399</v>
      </c>
      <c r="G263" s="9" t="s">
        <v>578</v>
      </c>
      <c r="H263" s="6"/>
      <c r="I263" s="3"/>
      <c r="J263" s="3"/>
      <c r="K263" s="3"/>
      <c r="L263" s="3" t="s">
        <v>579</v>
      </c>
      <c r="M263" s="6" t="s">
        <v>580</v>
      </c>
      <c r="N263" s="17"/>
    </row>
    <row r="264" ht="15.75" customHeight="1">
      <c r="A264" s="12" t="s">
        <v>581</v>
      </c>
      <c r="B264" s="5" t="s">
        <v>582</v>
      </c>
      <c r="C264" s="3" t="s">
        <v>15</v>
      </c>
      <c r="D264" s="3">
        <v>2022.0</v>
      </c>
      <c r="E264" s="3" t="s">
        <v>69</v>
      </c>
      <c r="F264" s="3" t="s">
        <v>399</v>
      </c>
      <c r="G264" s="11" t="s">
        <v>583</v>
      </c>
      <c r="H264" s="6"/>
      <c r="I264" s="3"/>
      <c r="J264" s="3"/>
      <c r="K264" s="3"/>
      <c r="L264" s="3" t="s">
        <v>584</v>
      </c>
      <c r="M264" s="6" t="s">
        <v>585</v>
      </c>
      <c r="N264" s="17"/>
    </row>
    <row r="265" ht="15.75" customHeight="1">
      <c r="A265" s="12" t="s">
        <v>586</v>
      </c>
      <c r="B265" s="5" t="s">
        <v>587</v>
      </c>
      <c r="C265" s="3" t="s">
        <v>15</v>
      </c>
      <c r="D265" s="3">
        <v>2022.0</v>
      </c>
      <c r="E265" s="3" t="s">
        <v>69</v>
      </c>
      <c r="F265" s="18" t="s">
        <v>399</v>
      </c>
      <c r="G265" s="9" t="s">
        <v>588</v>
      </c>
      <c r="H265" s="6"/>
      <c r="I265" s="18"/>
      <c r="J265" s="18"/>
      <c r="K265" s="18"/>
      <c r="L265" s="3" t="s">
        <v>589</v>
      </c>
      <c r="M265" s="6" t="s">
        <v>590</v>
      </c>
      <c r="N265" s="17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25"/>
    <col customWidth="1" min="3" max="4" width="7.63"/>
    <col customWidth="1" min="5" max="5" width="8.38"/>
    <col customWidth="1" min="6" max="6" width="7.63"/>
    <col customWidth="1" min="7" max="7" width="21.25"/>
    <col customWidth="1" min="8" max="26" width="7.63"/>
  </cols>
  <sheetData>
    <row r="1">
      <c r="B1" s="19" t="s">
        <v>0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</row>
    <row r="2">
      <c r="B2" s="19" t="s">
        <v>591</v>
      </c>
      <c r="C2" s="19" t="s">
        <v>15</v>
      </c>
      <c r="D2" s="19">
        <v>2022.0</v>
      </c>
      <c r="E2" s="19" t="s">
        <v>16</v>
      </c>
      <c r="F2" s="19" t="s">
        <v>48</v>
      </c>
      <c r="G2" s="19" t="s">
        <v>592</v>
      </c>
      <c r="I2" s="19">
        <v>16.73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38"/>
    <col customWidth="1" min="14" max="14" width="21.88"/>
    <col customWidth="1" min="15" max="15" width="31.25"/>
  </cols>
  <sheetData>
    <row r="2">
      <c r="A2" s="20" t="s">
        <v>18</v>
      </c>
      <c r="C2" s="19">
        <f>IFERROR(__xludf.DUMMYFUNCTION("split(A2,"","")"),54.91674227)</f>
        <v>54.91674227</v>
      </c>
      <c r="D2" s="19">
        <f>IFERROR(__xludf.DUMMYFUNCTION("""COMPUTED_VALUE"""),-114.2007578)</f>
        <v>-114.2007578</v>
      </c>
    </row>
    <row r="3">
      <c r="A3" s="20" t="s">
        <v>21</v>
      </c>
      <c r="C3" s="19">
        <f>IFERROR(__xludf.DUMMYFUNCTION("split(A3,"","")"),54.01977498)</f>
        <v>54.01977498</v>
      </c>
      <c r="D3" s="19">
        <f>IFERROR(__xludf.DUMMYFUNCTION("""COMPUTED_VALUE"""),-113.1468341)</f>
        <v>-113.1468341</v>
      </c>
    </row>
    <row r="4">
      <c r="A4" s="20" t="s">
        <v>24</v>
      </c>
      <c r="C4" s="19">
        <f>IFERROR(__xludf.DUMMYFUNCTION("split(A4,"","")"),54.39969454)</f>
        <v>54.39969454</v>
      </c>
      <c r="D4" s="19">
        <f>IFERROR(__xludf.DUMMYFUNCTION("""COMPUTED_VALUE"""),-112.5527756)</f>
        <v>-112.5527756</v>
      </c>
    </row>
    <row r="5">
      <c r="A5" s="20" t="s">
        <v>28</v>
      </c>
      <c r="C5" s="19">
        <f>IFERROR(__xludf.DUMMYFUNCTION("split(A5,"","")"),54.08983231)</f>
        <v>54.08983231</v>
      </c>
      <c r="D5" s="19">
        <f>IFERROR(__xludf.DUMMYFUNCTION("""COMPUTED_VALUE"""),-112.4690653)</f>
        <v>-112.4690653</v>
      </c>
    </row>
    <row r="6">
      <c r="A6" s="20" t="s">
        <v>31</v>
      </c>
      <c r="C6" s="19">
        <f>IFERROR(__xludf.DUMMYFUNCTION("split(A6,"","")"),55.847652)</f>
        <v>55.847652</v>
      </c>
      <c r="D6" s="19">
        <f>IFERROR(__xludf.DUMMYFUNCTION("""COMPUTED_VALUE"""),-110.682268)</f>
        <v>-110.682268</v>
      </c>
    </row>
    <row r="7">
      <c r="A7" s="20" t="s">
        <v>34</v>
      </c>
      <c r="C7" s="19">
        <f>IFERROR(__xludf.DUMMYFUNCTION("split(A7,"","")"),55.853507)</f>
        <v>55.853507</v>
      </c>
      <c r="D7" s="19">
        <f>IFERROR(__xludf.DUMMYFUNCTION("""COMPUTED_VALUE"""),-110.706307)</f>
        <v>-110.706307</v>
      </c>
    </row>
    <row r="8">
      <c r="A8" s="20" t="s">
        <v>36</v>
      </c>
      <c r="C8" s="19">
        <f>IFERROR(__xludf.DUMMYFUNCTION("split(A8,"","")"),54.332344)</f>
        <v>54.332344</v>
      </c>
      <c r="D8" s="19">
        <f>IFERROR(__xludf.DUMMYFUNCTION("""COMPUTED_VALUE"""),-111.202619)</f>
        <v>-111.202619</v>
      </c>
    </row>
    <row r="9">
      <c r="A9" s="20" t="s">
        <v>38</v>
      </c>
      <c r="C9" s="19">
        <f>IFERROR(__xludf.DUMMYFUNCTION("split(A9,"","")"),54.326252)</f>
        <v>54.326252</v>
      </c>
      <c r="D9" s="19">
        <f>IFERROR(__xludf.DUMMYFUNCTION("""COMPUTED_VALUE"""),-111.196286)</f>
        <v>-111.196286</v>
      </c>
    </row>
    <row r="10">
      <c r="A10" s="20" t="s">
        <v>40</v>
      </c>
      <c r="C10" s="19">
        <f>IFERROR(__xludf.DUMMYFUNCTION("split(A10,"","")"),56.422892)</f>
        <v>56.422892</v>
      </c>
      <c r="D10" s="19">
        <f>IFERROR(__xludf.DUMMYFUNCTION("""COMPUTED_VALUE"""),-111.23064)</f>
        <v>-111.23064</v>
      </c>
    </row>
    <row r="11">
      <c r="A11" s="20" t="s">
        <v>42</v>
      </c>
      <c r="C11" s="19">
        <f>IFERROR(__xludf.DUMMYFUNCTION("split(A11,"","")"),56.181509)</f>
        <v>56.181509</v>
      </c>
      <c r="D11" s="19">
        <f>IFERROR(__xludf.DUMMYFUNCTION("""COMPUTED_VALUE"""),-110.81343)</f>
        <v>-110.81343</v>
      </c>
    </row>
    <row r="12">
      <c r="A12" s="20" t="s">
        <v>44</v>
      </c>
      <c r="C12" s="19">
        <f>IFERROR(__xludf.DUMMYFUNCTION("split(A12,"","")"),56.427476)</f>
        <v>56.427476</v>
      </c>
      <c r="D12" s="19">
        <f>IFERROR(__xludf.DUMMYFUNCTION("""COMPUTED_VALUE"""),-111.302316)</f>
        <v>-111.302316</v>
      </c>
    </row>
    <row r="13">
      <c r="A13" s="20" t="s">
        <v>46</v>
      </c>
      <c r="C13" s="19">
        <f>IFERROR(__xludf.DUMMYFUNCTION("split(A13,"","")"),56.278329)</f>
        <v>56.278329</v>
      </c>
      <c r="D13" s="19">
        <f>IFERROR(__xludf.DUMMYFUNCTION("""COMPUTED_VALUE"""),-110.838935)</f>
        <v>-110.838935</v>
      </c>
    </row>
    <row r="14">
      <c r="A14" s="20" t="s">
        <v>49</v>
      </c>
      <c r="C14" s="19">
        <f>IFERROR(__xludf.DUMMYFUNCTION("split(A14,"","")"),54.71093184)</f>
        <v>54.71093184</v>
      </c>
      <c r="D14" s="19">
        <f>IFERROR(__xludf.DUMMYFUNCTION("""COMPUTED_VALUE"""),-114.0820797)</f>
        <v>-114.0820797</v>
      </c>
    </row>
    <row r="15">
      <c r="A15" s="20" t="s">
        <v>52</v>
      </c>
      <c r="C15" s="19">
        <f>IFERROR(__xludf.DUMMYFUNCTION("split(A15,"","")"),53.98856264)</f>
        <v>53.98856264</v>
      </c>
      <c r="D15" s="19">
        <f>IFERROR(__xludf.DUMMYFUNCTION("""COMPUTED_VALUE"""),-113.0801042)</f>
        <v>-113.0801042</v>
      </c>
    </row>
    <row r="16">
      <c r="A16" s="20" t="s">
        <v>54</v>
      </c>
      <c r="C16" s="19">
        <f>IFERROR(__xludf.DUMMYFUNCTION("split(A16,"","")"),53.98116456)</f>
        <v>53.98116456</v>
      </c>
      <c r="D16" s="19">
        <f>IFERROR(__xludf.DUMMYFUNCTION("""COMPUTED_VALUE"""),-113.0773751)</f>
        <v>-113.0773751</v>
      </c>
    </row>
    <row r="17">
      <c r="A17" s="20" t="s">
        <v>56</v>
      </c>
      <c r="C17" s="19">
        <f>IFERROR(__xludf.DUMMYFUNCTION("split(A17,"","")"),56.89266946)</f>
        <v>56.89266946</v>
      </c>
      <c r="D17" s="19">
        <f>IFERROR(__xludf.DUMMYFUNCTION("""COMPUTED_VALUE"""),-114.5378726)</f>
        <v>-114.5378726</v>
      </c>
    </row>
    <row r="18">
      <c r="A18" s="20" t="s">
        <v>59</v>
      </c>
      <c r="C18" s="19">
        <f>IFERROR(__xludf.DUMMYFUNCTION("split(A18,"","")"),54.90401607)</f>
        <v>54.90401607</v>
      </c>
      <c r="D18" s="19">
        <f>IFERROR(__xludf.DUMMYFUNCTION("""COMPUTED_VALUE"""),-114.1757129)</f>
        <v>-114.1757129</v>
      </c>
    </row>
    <row r="19">
      <c r="A19" s="20" t="s">
        <v>63</v>
      </c>
      <c r="C19" s="19">
        <f>IFERROR(__xludf.DUMMYFUNCTION("split(A19,"","")"),54.40141321)</f>
        <v>54.40141321</v>
      </c>
      <c r="D19" s="19">
        <f>IFERROR(__xludf.DUMMYFUNCTION("""COMPUTED_VALUE"""),-113.8307322)</f>
        <v>-113.8307322</v>
      </c>
    </row>
    <row r="20">
      <c r="A20" s="20" t="s">
        <v>66</v>
      </c>
      <c r="C20" s="19">
        <f>IFERROR(__xludf.DUMMYFUNCTION("split(A20,"","")"),54.87268033)</f>
        <v>54.87268033</v>
      </c>
      <c r="D20" s="19">
        <f>IFERROR(__xludf.DUMMYFUNCTION("""COMPUTED_VALUE"""),-114.1395191)</f>
        <v>-114.1395191</v>
      </c>
    </row>
    <row r="21">
      <c r="A21" s="20" t="s">
        <v>71</v>
      </c>
      <c r="C21" s="19">
        <f>IFERROR(__xludf.DUMMYFUNCTION("split(A21,"","")"),43.94641332)</f>
        <v>43.94641332</v>
      </c>
      <c r="D21" s="19">
        <f>IFERROR(__xludf.DUMMYFUNCTION("""COMPUTED_VALUE"""),-78.66462613)</f>
        <v>-78.66462613</v>
      </c>
    </row>
    <row r="22">
      <c r="A22" s="20" t="s">
        <v>74</v>
      </c>
      <c r="C22" s="19">
        <f>IFERROR(__xludf.DUMMYFUNCTION("split(A22,"","")"),43.94682594)</f>
        <v>43.94682594</v>
      </c>
      <c r="D22" s="19">
        <f>IFERROR(__xludf.DUMMYFUNCTION("""COMPUTED_VALUE"""),-78.66624947)</f>
        <v>-78.66624947</v>
      </c>
    </row>
    <row r="23">
      <c r="A23" s="20" t="s">
        <v>77</v>
      </c>
      <c r="C23" s="19">
        <f>IFERROR(__xludf.DUMMYFUNCTION("split(A23,"","")"),43.94972252)</f>
        <v>43.94972252</v>
      </c>
      <c r="D23" s="19">
        <f>IFERROR(__xludf.DUMMYFUNCTION("""COMPUTED_VALUE"""),-78.68175307)</f>
        <v>-78.68175307</v>
      </c>
    </row>
    <row r="24">
      <c r="A24" s="20" t="s">
        <v>80</v>
      </c>
      <c r="C24" s="19">
        <f>IFERROR(__xludf.DUMMYFUNCTION("split(A24,"","")"),43.94532066)</f>
        <v>43.94532066</v>
      </c>
      <c r="D24" s="19">
        <f>IFERROR(__xludf.DUMMYFUNCTION("""COMPUTED_VALUE"""),-78.73164364)</f>
        <v>-78.73164364</v>
      </c>
    </row>
    <row r="25">
      <c r="A25" s="20" t="s">
        <v>83</v>
      </c>
      <c r="C25" s="19">
        <f>IFERROR(__xludf.DUMMYFUNCTION("split(A25,"","")"),43.93430551)</f>
        <v>43.93430551</v>
      </c>
      <c r="D25" s="19">
        <f>IFERROR(__xludf.DUMMYFUNCTION("""COMPUTED_VALUE"""),-78.80793771)</f>
        <v>-78.80793771</v>
      </c>
    </row>
    <row r="26">
      <c r="A26" s="20" t="s">
        <v>86</v>
      </c>
      <c r="C26" s="19">
        <f>IFERROR(__xludf.DUMMYFUNCTION("split(A26,"","")"),43.9353103)</f>
        <v>43.9353103</v>
      </c>
      <c r="D26" s="19">
        <f>IFERROR(__xludf.DUMMYFUNCTION("""COMPUTED_VALUE"""),-78.87347451)</f>
        <v>-78.87347451</v>
      </c>
    </row>
    <row r="27">
      <c r="A27" s="20" t="s">
        <v>89</v>
      </c>
      <c r="C27" s="19">
        <f>IFERROR(__xludf.DUMMYFUNCTION("split(A27,"","")"),43.92751632)</f>
        <v>43.92751632</v>
      </c>
      <c r="D27" s="19">
        <f>IFERROR(__xludf.DUMMYFUNCTION("""COMPUTED_VALUE"""),-78.9870146)</f>
        <v>-78.9870146</v>
      </c>
    </row>
    <row r="28">
      <c r="A28" s="20" t="s">
        <v>92</v>
      </c>
      <c r="C28" s="19">
        <f>IFERROR(__xludf.DUMMYFUNCTION("split(A28,"","")"),43.86112534)</f>
        <v>43.86112534</v>
      </c>
      <c r="D28" s="19">
        <f>IFERROR(__xludf.DUMMYFUNCTION("""COMPUTED_VALUE"""),-79.14632013)</f>
        <v>-79.14632013</v>
      </c>
    </row>
    <row r="29">
      <c r="A29" s="20" t="s">
        <v>95</v>
      </c>
      <c r="C29" s="19">
        <f>IFERROR(__xludf.DUMMYFUNCTION("split(A29,"","")"),43.83841431)</f>
        <v>43.83841431</v>
      </c>
      <c r="D29" s="19">
        <f>IFERROR(__xludf.DUMMYFUNCTION("""COMPUTED_VALUE"""),-79.20201421)</f>
        <v>-79.20201421</v>
      </c>
    </row>
    <row r="30">
      <c r="A30" s="20" t="s">
        <v>98</v>
      </c>
      <c r="C30" s="19">
        <f>IFERROR(__xludf.DUMMYFUNCTION("split(A30,"","")"),43.83805419)</f>
        <v>43.83805419</v>
      </c>
      <c r="D30" s="19">
        <f>IFERROR(__xludf.DUMMYFUNCTION("""COMPUTED_VALUE"""),-79.20288415)</f>
        <v>-79.20288415</v>
      </c>
    </row>
    <row r="31">
      <c r="A31" s="20" t="s">
        <v>101</v>
      </c>
      <c r="C31" s="19">
        <f>IFERROR(__xludf.DUMMYFUNCTION("split(A31,"","")"),43.83301728)</f>
        <v>43.83301728</v>
      </c>
      <c r="D31" s="19">
        <f>IFERROR(__xludf.DUMMYFUNCTION("""COMPUTED_VALUE"""),-79.21350538)</f>
        <v>-79.21350538</v>
      </c>
    </row>
    <row r="32">
      <c r="A32" s="20" t="s">
        <v>104</v>
      </c>
      <c r="C32" s="19">
        <f>IFERROR(__xludf.DUMMYFUNCTION("split(A32,"","")"),43.82974177)</f>
        <v>43.82974177</v>
      </c>
      <c r="D32" s="19">
        <f>IFERROR(__xludf.DUMMYFUNCTION("""COMPUTED_VALUE"""),-79.22183582)</f>
        <v>-79.22183582</v>
      </c>
    </row>
    <row r="33">
      <c r="A33" s="20" t="s">
        <v>107</v>
      </c>
      <c r="C33" s="19">
        <f>IFERROR(__xludf.DUMMYFUNCTION("split(A33,"","")"),43.82399694)</f>
        <v>43.82399694</v>
      </c>
      <c r="D33" s="19">
        <f>IFERROR(__xludf.DUMMYFUNCTION("""COMPUTED_VALUE"""),-79.24142644)</f>
        <v>-79.24142644</v>
      </c>
    </row>
    <row r="34">
      <c r="A34" s="20" t="s">
        <v>110</v>
      </c>
      <c r="C34" s="19">
        <f>IFERROR(__xludf.DUMMYFUNCTION("split(A34,"","")"),43.8113955)</f>
        <v>43.8113955</v>
      </c>
      <c r="D34" s="19">
        <f>IFERROR(__xludf.DUMMYFUNCTION("""COMPUTED_VALUE"""),-79.29858118)</f>
        <v>-79.29858118</v>
      </c>
    </row>
    <row r="35">
      <c r="A35" s="20" t="s">
        <v>113</v>
      </c>
      <c r="C35" s="19">
        <f>IFERROR(__xludf.DUMMYFUNCTION("split(A35,"","")"),43.81060252)</f>
        <v>43.81060252</v>
      </c>
      <c r="D35" s="19">
        <f>IFERROR(__xludf.DUMMYFUNCTION("""COMPUTED_VALUE"""),-79.30149924)</f>
        <v>-79.30149924</v>
      </c>
    </row>
    <row r="36">
      <c r="A36" s="20" t="s">
        <v>115</v>
      </c>
      <c r="C36" s="19">
        <f>IFERROR(__xludf.DUMMYFUNCTION("split(A36,"","")"),43.8063502)</f>
        <v>43.8063502</v>
      </c>
      <c r="D36" s="19">
        <f>IFERROR(__xludf.DUMMYFUNCTION("""COMPUTED_VALUE"""),-79.32021443)</f>
        <v>-79.32021443</v>
      </c>
    </row>
    <row r="37">
      <c r="A37" s="20" t="s">
        <v>117</v>
      </c>
      <c r="C37" s="19">
        <f>IFERROR(__xludf.DUMMYFUNCTION("split(A37,"","")"),43.80500021)</f>
        <v>43.80500021</v>
      </c>
      <c r="D37" s="19">
        <f>IFERROR(__xludf.DUMMYFUNCTION("""COMPUTED_VALUE"""),-79.32618339)</f>
        <v>-79.32618339</v>
      </c>
    </row>
    <row r="38">
      <c r="A38" s="20" t="s">
        <v>120</v>
      </c>
      <c r="C38" s="19">
        <f>IFERROR(__xludf.DUMMYFUNCTION("split(A38,"","")"),43.77762058)</f>
        <v>43.77762058</v>
      </c>
      <c r="D38" s="19">
        <f>IFERROR(__xludf.DUMMYFUNCTION("""COMPUTED_VALUE"""),-79.44380673)</f>
        <v>-79.44380673</v>
      </c>
    </row>
    <row r="39">
      <c r="A39" s="20" t="s">
        <v>123</v>
      </c>
      <c r="C39" s="19">
        <f>IFERROR(__xludf.DUMMYFUNCTION("split(A39,"","")"),43.66402797)</f>
        <v>43.66402797</v>
      </c>
      <c r="D39" s="19">
        <f>IFERROR(__xludf.DUMMYFUNCTION("""COMPUTED_VALUE"""),-79.5878966)</f>
        <v>-79.5878966</v>
      </c>
    </row>
    <row r="40">
      <c r="A40" s="20" t="s">
        <v>125</v>
      </c>
      <c r="C40" s="19">
        <f>IFERROR(__xludf.DUMMYFUNCTION("split(A40,"","")"),43.60709107)</f>
        <v>43.60709107</v>
      </c>
      <c r="D40" s="19">
        <f>IFERROR(__xludf.DUMMYFUNCTION("""COMPUTED_VALUE"""),-79.61021655)</f>
        <v>-79.61021655</v>
      </c>
    </row>
    <row r="41">
      <c r="A41" s="20" t="s">
        <v>127</v>
      </c>
      <c r="C41" s="19">
        <f>IFERROR(__xludf.DUMMYFUNCTION("split(A41,"","")"),43.59446215)</f>
        <v>43.59446215</v>
      </c>
      <c r="D41" s="19">
        <f>IFERROR(__xludf.DUMMYFUNCTION("""COMPUTED_VALUE"""),-79.59213734)</f>
        <v>-79.59213734</v>
      </c>
    </row>
    <row r="42">
      <c r="A42" s="20" t="s">
        <v>130</v>
      </c>
      <c r="C42" s="19">
        <f>IFERROR(__xludf.DUMMYFUNCTION("split(A42,"","")"),43.59033705)</f>
        <v>43.59033705</v>
      </c>
      <c r="D42" s="19">
        <f>IFERROR(__xludf.DUMMYFUNCTION("""COMPUTED_VALUE"""),-79.58905044)</f>
        <v>-79.58905044</v>
      </c>
    </row>
    <row r="43">
      <c r="A43" s="20" t="s">
        <v>130</v>
      </c>
      <c r="C43" s="19">
        <f>IFERROR(__xludf.DUMMYFUNCTION("split(A43,"","")"),43.59033705)</f>
        <v>43.59033705</v>
      </c>
      <c r="D43" s="19">
        <f>IFERROR(__xludf.DUMMYFUNCTION("""COMPUTED_VALUE"""),-79.58905044)</f>
        <v>-79.58905044</v>
      </c>
    </row>
    <row r="44">
      <c r="A44" s="20" t="s">
        <v>130</v>
      </c>
      <c r="C44" s="19">
        <f>IFERROR(__xludf.DUMMYFUNCTION("split(A44,"","")"),43.59033705)</f>
        <v>43.59033705</v>
      </c>
      <c r="D44" s="19">
        <f>IFERROR(__xludf.DUMMYFUNCTION("""COMPUTED_VALUE"""),-79.58905044)</f>
        <v>-79.58905044</v>
      </c>
    </row>
    <row r="45">
      <c r="A45" s="20" t="s">
        <v>132</v>
      </c>
      <c r="C45" s="19">
        <f>IFERROR(__xludf.DUMMYFUNCTION("split(A45,"","")"),43.58873521)</f>
        <v>43.58873521</v>
      </c>
      <c r="D45" s="19">
        <f>IFERROR(__xludf.DUMMYFUNCTION("""COMPUTED_VALUE"""),-79.5876557)</f>
        <v>-79.5876557</v>
      </c>
    </row>
    <row r="46">
      <c r="A46" s="20" t="s">
        <v>134</v>
      </c>
      <c r="C46" s="19">
        <f>IFERROR(__xludf.DUMMYFUNCTION("split(A46,"","")"),43.58865007)</f>
        <v>43.58865007</v>
      </c>
      <c r="D46" s="19">
        <f>IFERROR(__xludf.DUMMYFUNCTION("""COMPUTED_VALUE"""),-79.58753087)</f>
        <v>-79.58753087</v>
      </c>
    </row>
    <row r="47">
      <c r="A47" s="20" t="s">
        <v>134</v>
      </c>
      <c r="C47" s="19">
        <f>IFERROR(__xludf.DUMMYFUNCTION("split(A47,"","")"),43.58865007)</f>
        <v>43.58865007</v>
      </c>
      <c r="D47" s="19">
        <f>IFERROR(__xludf.DUMMYFUNCTION("""COMPUTED_VALUE"""),-79.58753087)</f>
        <v>-79.58753087</v>
      </c>
    </row>
    <row r="48">
      <c r="A48" s="20" t="s">
        <v>136</v>
      </c>
      <c r="C48" s="19">
        <f>IFERROR(__xludf.DUMMYFUNCTION("split(A48,"","")"),43.58059131)</f>
        <v>43.58059131</v>
      </c>
      <c r="D48" s="19">
        <f>IFERROR(__xludf.DUMMYFUNCTION("""COMPUTED_VALUE"""),-79.59022626)</f>
        <v>-79.59022626</v>
      </c>
    </row>
    <row r="49">
      <c r="A49" s="20" t="s">
        <v>138</v>
      </c>
      <c r="C49" s="19">
        <f>IFERROR(__xludf.DUMMYFUNCTION("split(A49,"","")"),43.5624852)</f>
        <v>43.5624852</v>
      </c>
      <c r="D49" s="19">
        <f>IFERROR(__xludf.DUMMYFUNCTION("""COMPUTED_VALUE"""),-79.60630384)</f>
        <v>-79.60630384</v>
      </c>
    </row>
    <row r="50">
      <c r="A50" s="20" t="s">
        <v>140</v>
      </c>
      <c r="C50" s="19">
        <f>IFERROR(__xludf.DUMMYFUNCTION("split(A50,"","")"),43.54303755)</f>
        <v>43.54303755</v>
      </c>
      <c r="D50" s="19">
        <f>IFERROR(__xludf.DUMMYFUNCTION("""COMPUTED_VALUE"""),-79.61921753)</f>
        <v>-79.61921753</v>
      </c>
    </row>
    <row r="51">
      <c r="A51" s="20" t="s">
        <v>142</v>
      </c>
      <c r="C51" s="19">
        <f>IFERROR(__xludf.DUMMYFUNCTION("split(A51,"","")"),43.51354648)</f>
        <v>43.51354648</v>
      </c>
      <c r="D51" s="19">
        <f>IFERROR(__xludf.DUMMYFUNCTION("""COMPUTED_VALUE"""),-79.63721197)</f>
        <v>-79.63721197</v>
      </c>
    </row>
    <row r="52">
      <c r="A52" s="20" t="s">
        <v>144</v>
      </c>
      <c r="C52" s="19">
        <f>IFERROR(__xludf.DUMMYFUNCTION("split(A52,"","")"),43.51343682)</f>
        <v>43.51343682</v>
      </c>
      <c r="D52" s="19">
        <f>IFERROR(__xludf.DUMMYFUNCTION("""COMPUTED_VALUE"""),-79.63728044)</f>
        <v>-79.63728044</v>
      </c>
    </row>
    <row r="53">
      <c r="A53" s="20" t="s">
        <v>146</v>
      </c>
      <c r="C53" s="19">
        <f>IFERROR(__xludf.DUMMYFUNCTION("split(A53,"","")"),43.51332657)</f>
        <v>43.51332657</v>
      </c>
      <c r="D53" s="19">
        <f>IFERROR(__xludf.DUMMYFUNCTION("""COMPUTED_VALUE"""),-79.6373533)</f>
        <v>-79.6373533</v>
      </c>
    </row>
    <row r="54">
      <c r="A54" s="20" t="s">
        <v>148</v>
      </c>
      <c r="C54" s="19">
        <f>IFERROR(__xludf.DUMMYFUNCTION("split(A54,"","")"),43.5124403)</f>
        <v>43.5124403</v>
      </c>
      <c r="D54" s="19">
        <f>IFERROR(__xludf.DUMMYFUNCTION("""COMPUTED_VALUE"""),-79.63789872)</f>
        <v>-79.63789872</v>
      </c>
    </row>
    <row r="55">
      <c r="A55" s="20" t="s">
        <v>151</v>
      </c>
      <c r="C55" s="19">
        <f>IFERROR(__xludf.DUMMYFUNCTION("split(A55,"","")"),43.51189341)</f>
        <v>43.51189341</v>
      </c>
      <c r="D55" s="19">
        <f>IFERROR(__xludf.DUMMYFUNCTION("""COMPUTED_VALUE"""),-79.63821093)</f>
        <v>-79.63821093</v>
      </c>
    </row>
    <row r="56">
      <c r="A56" s="20" t="s">
        <v>151</v>
      </c>
      <c r="C56" s="19">
        <f>IFERROR(__xludf.DUMMYFUNCTION("split(A56,"","")"),43.51189341)</f>
        <v>43.51189341</v>
      </c>
      <c r="D56" s="19">
        <f>IFERROR(__xludf.DUMMYFUNCTION("""COMPUTED_VALUE"""),-79.63821093)</f>
        <v>-79.63821093</v>
      </c>
    </row>
    <row r="57">
      <c r="A57" s="20" t="s">
        <v>153</v>
      </c>
      <c r="C57" s="19">
        <f>IFERROR(__xludf.DUMMYFUNCTION("split(A57,"","")"),43.51139589)</f>
        <v>43.51139589</v>
      </c>
      <c r="D57" s="19">
        <f>IFERROR(__xludf.DUMMYFUNCTION("""COMPUTED_VALUE"""),-79.63852126)</f>
        <v>-79.63852126</v>
      </c>
    </row>
    <row r="58">
      <c r="A58" s="20" t="s">
        <v>155</v>
      </c>
      <c r="C58" s="19">
        <f>IFERROR(__xludf.DUMMYFUNCTION("split(A58,"","")"),43.50868017)</f>
        <v>43.50868017</v>
      </c>
      <c r="D58" s="19">
        <f>IFERROR(__xludf.DUMMYFUNCTION("""COMPUTED_VALUE"""),-79.6401785)</f>
        <v>-79.6401785</v>
      </c>
    </row>
    <row r="59">
      <c r="A59" s="20" t="s">
        <v>157</v>
      </c>
      <c r="C59" s="19">
        <f>IFERROR(__xludf.DUMMYFUNCTION("split(A59,"","")"),43.50070652)</f>
        <v>43.50070652</v>
      </c>
      <c r="D59" s="19">
        <f>IFERROR(__xludf.DUMMYFUNCTION("""COMPUTED_VALUE"""),-79.64572077)</f>
        <v>-79.64572077</v>
      </c>
    </row>
    <row r="60">
      <c r="A60" s="20" t="s">
        <v>159</v>
      </c>
      <c r="C60" s="19">
        <f>IFERROR(__xludf.DUMMYFUNCTION("split(A60,"","")"),43.50052934)</f>
        <v>43.50052934</v>
      </c>
      <c r="D60" s="19">
        <f>IFERROR(__xludf.DUMMYFUNCTION("""COMPUTED_VALUE"""),-79.64586151)</f>
        <v>-79.64586151</v>
      </c>
    </row>
    <row r="61">
      <c r="A61" s="20" t="s">
        <v>161</v>
      </c>
      <c r="C61" s="19">
        <f>IFERROR(__xludf.DUMMYFUNCTION("split(A61,"","")"),43.49626461)</f>
        <v>43.49626461</v>
      </c>
      <c r="D61" s="19">
        <f>IFERROR(__xludf.DUMMYFUNCTION("""COMPUTED_VALUE"""),-79.64921286)</f>
        <v>-79.64921286</v>
      </c>
    </row>
    <row r="62">
      <c r="A62" s="20" t="s">
        <v>163</v>
      </c>
      <c r="C62" s="19">
        <f>IFERROR(__xludf.DUMMYFUNCTION("split(A62,"","")"),43.49426367)</f>
        <v>43.49426367</v>
      </c>
      <c r="D62" s="19">
        <f>IFERROR(__xludf.DUMMYFUNCTION("""COMPUTED_VALUE"""),-79.65080275)</f>
        <v>-79.65080275</v>
      </c>
    </row>
    <row r="63">
      <c r="A63" s="20" t="s">
        <v>165</v>
      </c>
      <c r="C63" s="19">
        <f>IFERROR(__xludf.DUMMYFUNCTION("split(A63,"","")"),43.48607005)</f>
        <v>43.48607005</v>
      </c>
      <c r="D63" s="19">
        <f>IFERROR(__xludf.DUMMYFUNCTION("""COMPUTED_VALUE"""),-79.6572635)</f>
        <v>-79.6572635</v>
      </c>
    </row>
    <row r="64">
      <c r="A64" s="20" t="s">
        <v>167</v>
      </c>
      <c r="C64" s="19">
        <f>IFERROR(__xludf.DUMMYFUNCTION("split(A64,"","")"),43.48554733)</f>
        <v>43.48554733</v>
      </c>
      <c r="D64" s="19">
        <f>IFERROR(__xludf.DUMMYFUNCTION("""COMPUTED_VALUE"""),-79.65767378)</f>
        <v>-79.65767378</v>
      </c>
    </row>
    <row r="65">
      <c r="A65" s="20" t="s">
        <v>167</v>
      </c>
      <c r="C65" s="19">
        <f>IFERROR(__xludf.DUMMYFUNCTION("split(A65,"","")"),43.48554733)</f>
        <v>43.48554733</v>
      </c>
      <c r="D65" s="19">
        <f>IFERROR(__xludf.DUMMYFUNCTION("""COMPUTED_VALUE"""),-79.65767378)</f>
        <v>-79.65767378</v>
      </c>
    </row>
    <row r="66">
      <c r="A66" s="20" t="s">
        <v>169</v>
      </c>
      <c r="C66" s="19">
        <f>IFERROR(__xludf.DUMMYFUNCTION("split(A66,"","")"),43.45847266)</f>
        <v>43.45847266</v>
      </c>
      <c r="D66" s="19">
        <f>IFERROR(__xludf.DUMMYFUNCTION("""COMPUTED_VALUE"""),-79.67992078)</f>
        <v>-79.67992078</v>
      </c>
    </row>
    <row r="67">
      <c r="A67" s="20" t="s">
        <v>171</v>
      </c>
      <c r="C67" s="19">
        <f>IFERROR(__xludf.DUMMYFUNCTION("split(A67,"","")"),43.45672766)</f>
        <v>43.45672766</v>
      </c>
      <c r="D67" s="19">
        <f>IFERROR(__xludf.DUMMYFUNCTION("""COMPUTED_VALUE"""),-79.68178583)</f>
        <v>-79.68178583</v>
      </c>
    </row>
    <row r="68">
      <c r="A68" s="20" t="s">
        <v>173</v>
      </c>
      <c r="C68" s="19">
        <f>IFERROR(__xludf.DUMMYFUNCTION("split(A68,"","")"),43.45653263)</f>
        <v>43.45653263</v>
      </c>
      <c r="D68" s="19">
        <f>IFERROR(__xludf.DUMMYFUNCTION("""COMPUTED_VALUE"""),-79.68195474)</f>
        <v>-79.68195474</v>
      </c>
    </row>
    <row r="69">
      <c r="A69" s="20" t="s">
        <v>175</v>
      </c>
      <c r="C69" s="19">
        <f>IFERROR(__xludf.DUMMYFUNCTION("split(A69,"","")"),43.4564315)</f>
        <v>43.4564315</v>
      </c>
      <c r="D69" s="19">
        <f>IFERROR(__xludf.DUMMYFUNCTION("""COMPUTED_VALUE"""),-79.68204459)</f>
        <v>-79.68204459</v>
      </c>
    </row>
    <row r="70">
      <c r="A70" s="20" t="s">
        <v>177</v>
      </c>
      <c r="C70" s="19">
        <f>IFERROR(__xludf.DUMMYFUNCTION("split(A70,"","")"),43.45523621)</f>
        <v>43.45523621</v>
      </c>
      <c r="D70" s="19">
        <f>IFERROR(__xludf.DUMMYFUNCTION("""COMPUTED_VALUE"""),-79.68327255)</f>
        <v>-79.68327255</v>
      </c>
    </row>
    <row r="71">
      <c r="A71" s="20" t="s">
        <v>179</v>
      </c>
      <c r="C71" s="19">
        <f>IFERROR(__xludf.DUMMYFUNCTION("split(A71,"","")"),43.45394382)</f>
        <v>43.45394382</v>
      </c>
      <c r="D71" s="19">
        <f>IFERROR(__xludf.DUMMYFUNCTION("""COMPUTED_VALUE"""),-79.68458476)</f>
        <v>-79.68458476</v>
      </c>
    </row>
    <row r="72">
      <c r="A72" s="20" t="s">
        <v>181</v>
      </c>
      <c r="C72" s="19">
        <f>IFERROR(__xludf.DUMMYFUNCTION("split(A72,"","")"),43.45182118)</f>
        <v>43.45182118</v>
      </c>
      <c r="D72" s="19">
        <f>IFERROR(__xludf.DUMMYFUNCTION("""COMPUTED_VALUE"""),-79.68672808)</f>
        <v>-79.68672808</v>
      </c>
    </row>
    <row r="73">
      <c r="A73" s="20" t="s">
        <v>183</v>
      </c>
      <c r="C73" s="19">
        <f>IFERROR(__xludf.DUMMYFUNCTION("split(A73,"","")"),43.43699114)</f>
        <v>43.43699114</v>
      </c>
      <c r="D73" s="19">
        <f>IFERROR(__xludf.DUMMYFUNCTION("""COMPUTED_VALUE"""),-79.70138702)</f>
        <v>-79.70138702</v>
      </c>
    </row>
    <row r="74">
      <c r="A74" s="20" t="s">
        <v>185</v>
      </c>
      <c r="C74" s="19">
        <f>IFERROR(__xludf.DUMMYFUNCTION("split(A74,"","")"),43.42442599)</f>
        <v>43.42442599</v>
      </c>
      <c r="D74" s="19">
        <f>IFERROR(__xludf.DUMMYFUNCTION("""COMPUTED_VALUE"""),-79.71449146)</f>
        <v>-79.71449146</v>
      </c>
    </row>
    <row r="75">
      <c r="A75" s="20" t="s">
        <v>187</v>
      </c>
      <c r="C75" s="19">
        <f>IFERROR(__xludf.DUMMYFUNCTION("split(A75,"","")"),43.42238416)</f>
        <v>43.42238416</v>
      </c>
      <c r="D75" s="19">
        <f>IFERROR(__xludf.DUMMYFUNCTION("""COMPUTED_VALUE"""),-79.7166325)</f>
        <v>-79.7166325</v>
      </c>
    </row>
    <row r="76">
      <c r="A76" s="20" t="s">
        <v>190</v>
      </c>
      <c r="C76" s="19">
        <f>IFERROR(__xludf.DUMMYFUNCTION("split(A76,"","")"),43.41317315)</f>
        <v>43.41317315</v>
      </c>
      <c r="D76" s="19">
        <f>IFERROR(__xludf.DUMMYFUNCTION("""COMPUTED_VALUE"""),-79.72620401)</f>
        <v>-79.72620401</v>
      </c>
    </row>
    <row r="77">
      <c r="A77" s="20" t="s">
        <v>192</v>
      </c>
      <c r="C77" s="19">
        <f>IFERROR(__xludf.DUMMYFUNCTION("split(A77,"","")"),43.40283844)</f>
        <v>43.40283844</v>
      </c>
      <c r="D77" s="19">
        <f>IFERROR(__xludf.DUMMYFUNCTION("""COMPUTED_VALUE"""),-79.73712566)</f>
        <v>-79.73712566</v>
      </c>
    </row>
    <row r="78">
      <c r="A78" s="20" t="s">
        <v>194</v>
      </c>
      <c r="C78" s="19">
        <f>IFERROR(__xludf.DUMMYFUNCTION("split(A78,"","")"),43.39919626)</f>
        <v>43.39919626</v>
      </c>
      <c r="D78" s="19">
        <f>IFERROR(__xludf.DUMMYFUNCTION("""COMPUTED_VALUE"""),-79.73984607)</f>
        <v>-79.73984607</v>
      </c>
    </row>
    <row r="79">
      <c r="A79" s="20" t="s">
        <v>196</v>
      </c>
      <c r="C79" s="19">
        <f>IFERROR(__xludf.DUMMYFUNCTION("split(A79,"","")"),43.97503183)</f>
        <v>43.97503183</v>
      </c>
      <c r="D79" s="19">
        <f>IFERROR(__xludf.DUMMYFUNCTION("""COMPUTED_VALUE"""),-78.40046414)</f>
        <v>-78.40046414</v>
      </c>
    </row>
    <row r="80">
      <c r="A80" s="20" t="s">
        <v>198</v>
      </c>
      <c r="C80" s="19">
        <f>IFERROR(__xludf.DUMMYFUNCTION("split(A80,"","")"),44.96933015)</f>
        <v>44.96933015</v>
      </c>
      <c r="D80" s="19">
        <f>IFERROR(__xludf.DUMMYFUNCTION("""COMPUTED_VALUE"""),-75.07907806)</f>
        <v>-75.07907806</v>
      </c>
    </row>
    <row r="81">
      <c r="A81" s="20" t="s">
        <v>200</v>
      </c>
      <c r="C81" s="19">
        <f>IFERROR(__xludf.DUMMYFUNCTION("split(A81,"","")"),44.95707643)</f>
        <v>44.95707643</v>
      </c>
      <c r="D81" s="19">
        <f>IFERROR(__xludf.DUMMYFUNCTION("""COMPUTED_VALUE"""),-75.10837169)</f>
        <v>-75.10837169</v>
      </c>
    </row>
    <row r="82">
      <c r="A82" s="20" t="s">
        <v>203</v>
      </c>
      <c r="C82" s="19">
        <f>IFERROR(__xludf.DUMMYFUNCTION("split(A82,"","")"),44.95353999)</f>
        <v>44.95353999</v>
      </c>
      <c r="D82" s="19">
        <f>IFERROR(__xludf.DUMMYFUNCTION("""COMPUTED_VALUE"""),-75.11852617)</f>
        <v>-75.11852617</v>
      </c>
    </row>
    <row r="83">
      <c r="A83" s="20" t="s">
        <v>205</v>
      </c>
      <c r="C83" s="19">
        <f>IFERROR(__xludf.DUMMYFUNCTION("split(A83,"","")"),44.91799271)</f>
        <v>44.91799271</v>
      </c>
      <c r="D83" s="19">
        <f>IFERROR(__xludf.DUMMYFUNCTION("""COMPUTED_VALUE"""),-75.20692254)</f>
        <v>-75.20692254</v>
      </c>
    </row>
    <row r="84">
      <c r="A84" s="20" t="s">
        <v>207</v>
      </c>
      <c r="C84" s="19">
        <f>IFERROR(__xludf.DUMMYFUNCTION("split(A84,"","")"),44.89030355)</f>
        <v>44.89030355</v>
      </c>
      <c r="D84" s="19">
        <f>IFERROR(__xludf.DUMMYFUNCTION("""COMPUTED_VALUE"""),-75.27231208)</f>
        <v>-75.27231208</v>
      </c>
    </row>
    <row r="85">
      <c r="A85" s="20" t="s">
        <v>209</v>
      </c>
      <c r="C85" s="19">
        <f>IFERROR(__xludf.DUMMYFUNCTION("split(A85,"","")"),44.88359639)</f>
        <v>44.88359639</v>
      </c>
      <c r="D85" s="19">
        <f>IFERROR(__xludf.DUMMYFUNCTION("""COMPUTED_VALUE"""),-75.28740643)</f>
        <v>-75.28740643</v>
      </c>
    </row>
    <row r="86">
      <c r="A86" s="20" t="s">
        <v>211</v>
      </c>
      <c r="C86" s="19">
        <f>IFERROR(__xludf.DUMMYFUNCTION("split(A86,"","")"),44.87303723)</f>
        <v>44.87303723</v>
      </c>
      <c r="D86" s="19">
        <f>IFERROR(__xludf.DUMMYFUNCTION("""COMPUTED_VALUE"""),-75.30678471)</f>
        <v>-75.30678471</v>
      </c>
    </row>
    <row r="87">
      <c r="A87" s="20" t="s">
        <v>213</v>
      </c>
      <c r="C87" s="19">
        <f>IFERROR(__xludf.DUMMYFUNCTION("split(A87,"","")"),44.84640733)</f>
        <v>44.84640733</v>
      </c>
      <c r="D87" s="19">
        <f>IFERROR(__xludf.DUMMYFUNCTION("""COMPUTED_VALUE"""),-75.35123038)</f>
        <v>-75.35123038</v>
      </c>
    </row>
    <row r="88">
      <c r="A88" s="20" t="s">
        <v>213</v>
      </c>
      <c r="C88" s="19">
        <f>IFERROR(__xludf.DUMMYFUNCTION("split(A88,"","")"),44.84640733)</f>
        <v>44.84640733</v>
      </c>
      <c r="D88" s="19">
        <f>IFERROR(__xludf.DUMMYFUNCTION("""COMPUTED_VALUE"""),-75.35123038)</f>
        <v>-75.35123038</v>
      </c>
    </row>
    <row r="89">
      <c r="A89" s="20" t="s">
        <v>215</v>
      </c>
      <c r="C89" s="19">
        <f>IFERROR(__xludf.DUMMYFUNCTION("split(A89,"","")"),44.81220635)</f>
        <v>44.81220635</v>
      </c>
      <c r="D89" s="19">
        <f>IFERROR(__xludf.DUMMYFUNCTION("""COMPUTED_VALUE"""),-75.4058443)</f>
        <v>-75.4058443</v>
      </c>
    </row>
    <row r="90">
      <c r="A90" s="20" t="s">
        <v>217</v>
      </c>
      <c r="C90" s="19">
        <f>IFERROR(__xludf.DUMMYFUNCTION("split(A90,"","")"),44.80994623)</f>
        <v>44.80994623</v>
      </c>
      <c r="D90" s="19">
        <f>IFERROR(__xludf.DUMMYFUNCTION("""COMPUTED_VALUE"""),-75.40943716)</f>
        <v>-75.40943716</v>
      </c>
    </row>
    <row r="91">
      <c r="A91" s="20" t="s">
        <v>219</v>
      </c>
      <c r="C91" s="19">
        <f>IFERROR(__xludf.DUMMYFUNCTION("split(A91,"","")"),44.79344928)</f>
        <v>44.79344928</v>
      </c>
      <c r="D91" s="19">
        <f>IFERROR(__xludf.DUMMYFUNCTION("""COMPUTED_VALUE"""),-75.43659073)</f>
        <v>-75.43659073</v>
      </c>
    </row>
    <row r="92">
      <c r="A92" s="20" t="s">
        <v>221</v>
      </c>
      <c r="C92" s="19">
        <f>IFERROR(__xludf.DUMMYFUNCTION("split(A92,"","")"),44.76023451)</f>
        <v>44.76023451</v>
      </c>
      <c r="D92" s="19">
        <f>IFERROR(__xludf.DUMMYFUNCTION("""COMPUTED_VALUE"""),-75.47773992)</f>
        <v>-75.47773992</v>
      </c>
    </row>
    <row r="93">
      <c r="A93" s="20" t="s">
        <v>221</v>
      </c>
      <c r="C93" s="19">
        <f>IFERROR(__xludf.DUMMYFUNCTION("split(A93,"","")"),44.76023451)</f>
        <v>44.76023451</v>
      </c>
      <c r="D93" s="19">
        <f>IFERROR(__xludf.DUMMYFUNCTION("""COMPUTED_VALUE"""),-75.47773992)</f>
        <v>-75.47773992</v>
      </c>
    </row>
    <row r="94">
      <c r="A94" s="20" t="s">
        <v>223</v>
      </c>
      <c r="C94" s="19">
        <f>IFERROR(__xludf.DUMMYFUNCTION("split(A94,"","")"),44.75414715)</f>
        <v>44.75414715</v>
      </c>
      <c r="D94" s="19">
        <f>IFERROR(__xludf.DUMMYFUNCTION("""COMPUTED_VALUE"""),-75.48487029)</f>
        <v>-75.48487029</v>
      </c>
    </row>
    <row r="95">
      <c r="A95" s="20" t="s">
        <v>225</v>
      </c>
      <c r="C95" s="19">
        <f>IFERROR(__xludf.DUMMYFUNCTION("split(A95,"","")"),44.72230506)</f>
        <v>44.72230506</v>
      </c>
      <c r="D95" s="19">
        <f>IFERROR(__xludf.DUMMYFUNCTION("""COMPUTED_VALUE"""),-75.53878174)</f>
        <v>-75.53878174</v>
      </c>
    </row>
    <row r="96">
      <c r="A96" s="20" t="s">
        <v>227</v>
      </c>
      <c r="C96" s="19">
        <f>IFERROR(__xludf.DUMMYFUNCTION("split(A96,"","")"),44.68340779)</f>
        <v>44.68340779</v>
      </c>
      <c r="D96" s="19">
        <f>IFERROR(__xludf.DUMMYFUNCTION("""COMPUTED_VALUE"""),-75.58785836)</f>
        <v>-75.58785836</v>
      </c>
    </row>
    <row r="97">
      <c r="A97" s="20" t="s">
        <v>229</v>
      </c>
      <c r="C97" s="19">
        <f>IFERROR(__xludf.DUMMYFUNCTION("split(A97,"","")"),44.64932649)</f>
        <v>44.64932649</v>
      </c>
      <c r="D97" s="19">
        <f>IFERROR(__xludf.DUMMYFUNCTION("""COMPUTED_VALUE"""),-75.61203744)</f>
        <v>-75.61203744</v>
      </c>
    </row>
    <row r="98">
      <c r="A98" s="20" t="s">
        <v>231</v>
      </c>
      <c r="C98" s="19">
        <f>IFERROR(__xludf.DUMMYFUNCTION("split(A98,"","")"),44.63367295)</f>
        <v>44.63367295</v>
      </c>
      <c r="D98" s="19">
        <f>IFERROR(__xludf.DUMMYFUNCTION("""COMPUTED_VALUE"""),-75.64166095)</f>
        <v>-75.64166095</v>
      </c>
    </row>
    <row r="99">
      <c r="A99" s="20" t="s">
        <v>234</v>
      </c>
      <c r="C99" s="19">
        <f>IFERROR(__xludf.DUMMYFUNCTION("split(A99,"","")"),44.33455801)</f>
        <v>44.33455801</v>
      </c>
      <c r="D99" s="19">
        <f>IFERROR(__xludf.DUMMYFUNCTION("""COMPUTED_VALUE"""),-76.36877627)</f>
        <v>-76.36877627</v>
      </c>
    </row>
    <row r="100">
      <c r="A100" s="20" t="s">
        <v>236</v>
      </c>
      <c r="C100" s="19">
        <f>IFERROR(__xludf.DUMMYFUNCTION("split(A100,"","")"),44.29881269)</f>
        <v>44.29881269</v>
      </c>
      <c r="D100" s="19">
        <f>IFERROR(__xludf.DUMMYFUNCTION("""COMPUTED_VALUE"""),-76.48450461)</f>
        <v>-76.48450461</v>
      </c>
    </row>
    <row r="101">
      <c r="A101" s="20" t="s">
        <v>593</v>
      </c>
      <c r="C101" s="19" t="str">
        <f>IFERROR(__xludf.DUMMYFUNCTION("split(A101,"","")"),"N 45° 00' 04.581""")</f>
        <v>N 45° 00' 04.581"</v>
      </c>
      <c r="D101" s="19" t="str">
        <f>IFERROR(__xludf.DUMMYFUNCTION("""COMPUTED_VALUE""")," W 75° 01' 23.447""")</f>
        <v> W 75° 01' 23.447"</v>
      </c>
      <c r="F101" s="19">
        <f>IFERROR(__xludf.DUMMYFUNCTION("split(C101,""N, , °, ',"""")"")"),45.0)</f>
        <v>45</v>
      </c>
      <c r="G101" s="19">
        <f>IFERROR(__xludf.DUMMYFUNCTION("""COMPUTED_VALUE"""),0.0)</f>
        <v>0</v>
      </c>
      <c r="H101" s="19">
        <f>IFERROR(__xludf.DUMMYFUNCTION("""COMPUTED_VALUE"""),4.581)</f>
        <v>4.581</v>
      </c>
      <c r="I101" s="19">
        <f t="shared" ref="I101:I140" si="1">F101+G101/60+H101/3600</f>
        <v>45.0012725</v>
      </c>
      <c r="J101" s="21"/>
      <c r="K101" s="21">
        <f>IFERROR(__xludf.DUMMYFUNCTION("split(D101,""W, , °, ',"""")"")"),75.0)</f>
        <v>75</v>
      </c>
      <c r="L101" s="19">
        <f>IFERROR(__xludf.DUMMYFUNCTION("""COMPUTED_VALUE"""),1.0)</f>
        <v>1</v>
      </c>
      <c r="M101" s="19">
        <f>IFERROR(__xludf.DUMMYFUNCTION("""COMPUTED_VALUE"""),23.447)</f>
        <v>23.447</v>
      </c>
      <c r="N101" s="19">
        <f t="shared" ref="N101:N140" si="2">K101+L101/60+M101/3600</f>
        <v>75.02317972</v>
      </c>
      <c r="O101" s="19" t="str">
        <f t="shared" ref="O101:O140" si="3">CONCATENATE(trunc(I101,8),", ","-",trunc(N101,8))</f>
        <v>45.0012725, -75.02317972</v>
      </c>
    </row>
    <row r="102">
      <c r="A102" s="20" t="s">
        <v>594</v>
      </c>
      <c r="C102" s="19" t="str">
        <f>IFERROR(__xludf.DUMMYFUNCTION("split(A102,"","")"),"N 45° 00' 14.677""")</f>
        <v>N 45° 00' 14.677"</v>
      </c>
      <c r="D102" s="19" t="str">
        <f>IFERROR(__xludf.DUMMYFUNCTION("""COMPUTED_VALUE""")," W 75° 01' 46.609""")</f>
        <v> W 75° 01' 46.609"</v>
      </c>
      <c r="F102" s="19">
        <f>IFERROR(__xludf.DUMMYFUNCTION("split(C102,""N, , °, ',"""")"")"),45.0)</f>
        <v>45</v>
      </c>
      <c r="G102" s="19">
        <f>IFERROR(__xludf.DUMMYFUNCTION("""COMPUTED_VALUE"""),0.0)</f>
        <v>0</v>
      </c>
      <c r="H102" s="19">
        <f>IFERROR(__xludf.DUMMYFUNCTION("""COMPUTED_VALUE"""),14.677)</f>
        <v>14.677</v>
      </c>
      <c r="I102" s="19">
        <f t="shared" si="1"/>
        <v>45.00407694</v>
      </c>
      <c r="J102" s="21"/>
      <c r="K102" s="21">
        <f>IFERROR(__xludf.DUMMYFUNCTION("split(D102,""W, , °, ',"""")"")"),75.0)</f>
        <v>75</v>
      </c>
      <c r="L102" s="19">
        <f>IFERROR(__xludf.DUMMYFUNCTION("""COMPUTED_VALUE"""),1.0)</f>
        <v>1</v>
      </c>
      <c r="M102" s="19">
        <f>IFERROR(__xludf.DUMMYFUNCTION("""COMPUTED_VALUE"""),46.609)</f>
        <v>46.609</v>
      </c>
      <c r="N102" s="19">
        <f t="shared" si="2"/>
        <v>75.02961361</v>
      </c>
      <c r="O102" s="19" t="str">
        <f t="shared" si="3"/>
        <v>45.00407694, -75.02961361</v>
      </c>
    </row>
    <row r="103">
      <c r="A103" s="20" t="s">
        <v>594</v>
      </c>
      <c r="C103" s="19" t="str">
        <f>IFERROR(__xludf.DUMMYFUNCTION("split(A103,"","")"),"N 45° 00' 14.677""")</f>
        <v>N 45° 00' 14.677"</v>
      </c>
      <c r="D103" s="19" t="str">
        <f>IFERROR(__xludf.DUMMYFUNCTION("""COMPUTED_VALUE""")," W 75° 01' 46.609""")</f>
        <v> W 75° 01' 46.609"</v>
      </c>
      <c r="F103" s="19">
        <f>IFERROR(__xludf.DUMMYFUNCTION("split(C103,""N, , °, ',"""")"")"),45.0)</f>
        <v>45</v>
      </c>
      <c r="G103" s="19">
        <f>IFERROR(__xludf.DUMMYFUNCTION("""COMPUTED_VALUE"""),0.0)</f>
        <v>0</v>
      </c>
      <c r="H103" s="19">
        <f>IFERROR(__xludf.DUMMYFUNCTION("""COMPUTED_VALUE"""),14.677)</f>
        <v>14.677</v>
      </c>
      <c r="I103" s="19">
        <f t="shared" si="1"/>
        <v>45.00407694</v>
      </c>
      <c r="J103" s="21"/>
      <c r="K103" s="21">
        <f>IFERROR(__xludf.DUMMYFUNCTION("split(D103,""W, , °, ',"""")"")"),75.0)</f>
        <v>75</v>
      </c>
      <c r="L103" s="19">
        <f>IFERROR(__xludf.DUMMYFUNCTION("""COMPUTED_VALUE"""),1.0)</f>
        <v>1</v>
      </c>
      <c r="M103" s="19">
        <f>IFERROR(__xludf.DUMMYFUNCTION("""COMPUTED_VALUE"""),46.609)</f>
        <v>46.609</v>
      </c>
      <c r="N103" s="19">
        <f t="shared" si="2"/>
        <v>75.02961361</v>
      </c>
      <c r="O103" s="19" t="str">
        <f t="shared" si="3"/>
        <v>45.00407694, -75.02961361</v>
      </c>
    </row>
    <row r="104">
      <c r="A104" s="20" t="s">
        <v>595</v>
      </c>
      <c r="C104" s="19" t="str">
        <f>IFERROR(__xludf.DUMMYFUNCTION("split(A104,"","")"),"N 45° 00' 20.149""")</f>
        <v>N 45° 00' 20.149"</v>
      </c>
      <c r="D104" s="19" t="str">
        <f>IFERROR(__xludf.DUMMYFUNCTION("""COMPUTED_VALUE""")," W 75° 02' 02.801""")</f>
        <v> W 75° 02' 02.801"</v>
      </c>
      <c r="F104" s="19">
        <f>IFERROR(__xludf.DUMMYFUNCTION("split(C104,""N, , °, ',"""")"")"),45.0)</f>
        <v>45</v>
      </c>
      <c r="G104" s="19">
        <f>IFERROR(__xludf.DUMMYFUNCTION("""COMPUTED_VALUE"""),0.0)</f>
        <v>0</v>
      </c>
      <c r="H104" s="19">
        <f>IFERROR(__xludf.DUMMYFUNCTION("""COMPUTED_VALUE"""),20.149)</f>
        <v>20.149</v>
      </c>
      <c r="I104" s="19">
        <f t="shared" si="1"/>
        <v>45.00559694</v>
      </c>
      <c r="J104" s="21"/>
      <c r="K104" s="21">
        <f>IFERROR(__xludf.DUMMYFUNCTION("split(D104,""W, , °, ',"""")"")"),75.0)</f>
        <v>75</v>
      </c>
      <c r="L104" s="19">
        <f>IFERROR(__xludf.DUMMYFUNCTION("""COMPUTED_VALUE"""),2.0)</f>
        <v>2</v>
      </c>
      <c r="M104" s="19">
        <f>IFERROR(__xludf.DUMMYFUNCTION("""COMPUTED_VALUE"""),2.801)</f>
        <v>2.801</v>
      </c>
      <c r="N104" s="19">
        <f t="shared" si="2"/>
        <v>75.03411139</v>
      </c>
      <c r="O104" s="19" t="str">
        <f t="shared" si="3"/>
        <v>45.00559694, -75.03411138</v>
      </c>
    </row>
    <row r="105">
      <c r="A105" s="20" t="s">
        <v>596</v>
      </c>
      <c r="C105" s="19" t="str">
        <f>IFERROR(__xludf.DUMMYFUNCTION("split(A105,"","")"),"N 45° 00' 22.793""")</f>
        <v>N 45° 00' 22.793"</v>
      </c>
      <c r="D105" s="19" t="str">
        <f>IFERROR(__xludf.DUMMYFUNCTION("""COMPUTED_VALUE""")," W 75° 02' 16.745""")</f>
        <v> W 75° 02' 16.745"</v>
      </c>
      <c r="F105" s="19">
        <f>IFERROR(__xludf.DUMMYFUNCTION("split(C105,""N, , °, ',"""")"")"),45.0)</f>
        <v>45</v>
      </c>
      <c r="G105" s="19">
        <f>IFERROR(__xludf.DUMMYFUNCTION("""COMPUTED_VALUE"""),0.0)</f>
        <v>0</v>
      </c>
      <c r="H105" s="19">
        <f>IFERROR(__xludf.DUMMYFUNCTION("""COMPUTED_VALUE"""),22.793)</f>
        <v>22.793</v>
      </c>
      <c r="I105" s="19">
        <f t="shared" si="1"/>
        <v>45.00633139</v>
      </c>
      <c r="J105" s="21"/>
      <c r="K105" s="21">
        <f>IFERROR(__xludf.DUMMYFUNCTION("split(D105,""W, , °, ',"""")"")"),75.0)</f>
        <v>75</v>
      </c>
      <c r="L105" s="19">
        <f>IFERROR(__xludf.DUMMYFUNCTION("""COMPUTED_VALUE"""),2.0)</f>
        <v>2</v>
      </c>
      <c r="M105" s="19">
        <f>IFERROR(__xludf.DUMMYFUNCTION("""COMPUTED_VALUE"""),16.745)</f>
        <v>16.745</v>
      </c>
      <c r="N105" s="19">
        <f t="shared" si="2"/>
        <v>75.03798472</v>
      </c>
      <c r="O105" s="19" t="str">
        <f t="shared" si="3"/>
        <v>45.00633138, -75.03798472</v>
      </c>
    </row>
    <row r="106">
      <c r="A106" s="20" t="s">
        <v>596</v>
      </c>
      <c r="C106" s="19" t="str">
        <f>IFERROR(__xludf.DUMMYFUNCTION("split(A106,"","")"),"N 45° 00' 22.793""")</f>
        <v>N 45° 00' 22.793"</v>
      </c>
      <c r="D106" s="19" t="str">
        <f>IFERROR(__xludf.DUMMYFUNCTION("""COMPUTED_VALUE""")," W 75° 02' 16.745""")</f>
        <v> W 75° 02' 16.745"</v>
      </c>
      <c r="F106" s="19">
        <f>IFERROR(__xludf.DUMMYFUNCTION("split(C106,""N, , °, ',"""")"")"),45.0)</f>
        <v>45</v>
      </c>
      <c r="G106" s="19">
        <f>IFERROR(__xludf.DUMMYFUNCTION("""COMPUTED_VALUE"""),0.0)</f>
        <v>0</v>
      </c>
      <c r="H106" s="19">
        <f>IFERROR(__xludf.DUMMYFUNCTION("""COMPUTED_VALUE"""),22.793)</f>
        <v>22.793</v>
      </c>
      <c r="I106" s="19">
        <f t="shared" si="1"/>
        <v>45.00633139</v>
      </c>
      <c r="J106" s="21"/>
      <c r="K106" s="21">
        <f>IFERROR(__xludf.DUMMYFUNCTION("split(D106,""W, , °, ',"""")"")"),75.0)</f>
        <v>75</v>
      </c>
      <c r="L106" s="19">
        <f>IFERROR(__xludf.DUMMYFUNCTION("""COMPUTED_VALUE"""),2.0)</f>
        <v>2</v>
      </c>
      <c r="M106" s="19">
        <f>IFERROR(__xludf.DUMMYFUNCTION("""COMPUTED_VALUE"""),16.745)</f>
        <v>16.745</v>
      </c>
      <c r="N106" s="19">
        <f t="shared" si="2"/>
        <v>75.03798472</v>
      </c>
      <c r="O106" s="19" t="str">
        <f t="shared" si="3"/>
        <v>45.00633138, -75.03798472</v>
      </c>
    </row>
    <row r="107">
      <c r="A107" s="20" t="s">
        <v>597</v>
      </c>
      <c r="C107" s="19" t="str">
        <f>IFERROR(__xludf.DUMMYFUNCTION("split(A107,"","")"),"N 45° 00' 25.332""")</f>
        <v>N 45° 00' 25.332"</v>
      </c>
      <c r="D107" s="19" t="str">
        <f>IFERROR(__xludf.DUMMYFUNCTION("""COMPUTED_VALUE""")," W 75° 02' 27.665""")</f>
        <v> W 75° 02' 27.665"</v>
      </c>
      <c r="F107" s="19">
        <f>IFERROR(__xludf.DUMMYFUNCTION("split(C107,""N, , °, ',"""")"")"),45.0)</f>
        <v>45</v>
      </c>
      <c r="G107" s="19">
        <f>IFERROR(__xludf.DUMMYFUNCTION("""COMPUTED_VALUE"""),0.0)</f>
        <v>0</v>
      </c>
      <c r="H107" s="19">
        <f>IFERROR(__xludf.DUMMYFUNCTION("""COMPUTED_VALUE"""),25.332)</f>
        <v>25.332</v>
      </c>
      <c r="I107" s="19">
        <f t="shared" si="1"/>
        <v>45.00703667</v>
      </c>
      <c r="J107" s="21"/>
      <c r="K107" s="21">
        <f>IFERROR(__xludf.DUMMYFUNCTION("split(D107,""W, , °, ',"""")"")"),75.0)</f>
        <v>75</v>
      </c>
      <c r="L107" s="19">
        <f>IFERROR(__xludf.DUMMYFUNCTION("""COMPUTED_VALUE"""),2.0)</f>
        <v>2</v>
      </c>
      <c r="M107" s="19">
        <f>IFERROR(__xludf.DUMMYFUNCTION("""COMPUTED_VALUE"""),27.665)</f>
        <v>27.665</v>
      </c>
      <c r="N107" s="19">
        <f t="shared" si="2"/>
        <v>75.04101806</v>
      </c>
      <c r="O107" s="19" t="str">
        <f t="shared" si="3"/>
        <v>45.00703666, -75.04101805</v>
      </c>
    </row>
    <row r="108">
      <c r="A108" s="20" t="s">
        <v>598</v>
      </c>
      <c r="C108" s="19" t="str">
        <f>IFERROR(__xludf.DUMMYFUNCTION("split(A108,"","")"),"N 45° 00' 27.051""")</f>
        <v>N 45° 00' 27.051"</v>
      </c>
      <c r="D108" s="19" t="str">
        <f>IFERROR(__xludf.DUMMYFUNCTION("""COMPUTED_VALUE""")," W 75° 02' 34.145""")</f>
        <v> W 75° 02' 34.145"</v>
      </c>
      <c r="F108" s="19">
        <f>IFERROR(__xludf.DUMMYFUNCTION("split(C108,""N, , °, ',"""")"")"),45.0)</f>
        <v>45</v>
      </c>
      <c r="G108" s="19">
        <f>IFERROR(__xludf.DUMMYFUNCTION("""COMPUTED_VALUE"""),0.0)</f>
        <v>0</v>
      </c>
      <c r="H108" s="19">
        <f>IFERROR(__xludf.DUMMYFUNCTION("""COMPUTED_VALUE"""),27.051)</f>
        <v>27.051</v>
      </c>
      <c r="I108" s="19">
        <f t="shared" si="1"/>
        <v>45.00751417</v>
      </c>
      <c r="J108" s="21"/>
      <c r="K108" s="21">
        <f>IFERROR(__xludf.DUMMYFUNCTION("split(D108,""W, , °, ',"""")"")"),75.0)</f>
        <v>75</v>
      </c>
      <c r="L108" s="19">
        <f>IFERROR(__xludf.DUMMYFUNCTION("""COMPUTED_VALUE"""),2.0)</f>
        <v>2</v>
      </c>
      <c r="M108" s="19">
        <f>IFERROR(__xludf.DUMMYFUNCTION("""COMPUTED_VALUE"""),34.145)</f>
        <v>34.145</v>
      </c>
      <c r="N108" s="19">
        <f t="shared" si="2"/>
        <v>75.04281806</v>
      </c>
      <c r="O108" s="19" t="str">
        <f t="shared" si="3"/>
        <v>45.00751416, -75.04281805</v>
      </c>
    </row>
    <row r="109">
      <c r="A109" s="20" t="s">
        <v>599</v>
      </c>
      <c r="C109" s="19" t="str">
        <f>IFERROR(__xludf.DUMMYFUNCTION("split(A109,"","")"),"N 45° 00' 28.040""")</f>
        <v>N 45° 00' 28.040"</v>
      </c>
      <c r="D109" s="19" t="str">
        <f>IFERROR(__xludf.DUMMYFUNCTION("""COMPUTED_VALUE""")," W 75° 02' 38.060""")</f>
        <v> W 75° 02' 38.060"</v>
      </c>
      <c r="F109" s="19">
        <f>IFERROR(__xludf.DUMMYFUNCTION("split(C109,""N, , °, ',"""")"")"),45.0)</f>
        <v>45</v>
      </c>
      <c r="G109" s="19">
        <f>IFERROR(__xludf.DUMMYFUNCTION("""COMPUTED_VALUE"""),0.0)</f>
        <v>0</v>
      </c>
      <c r="H109" s="19">
        <f>IFERROR(__xludf.DUMMYFUNCTION("""COMPUTED_VALUE"""),28.04)</f>
        <v>28.04</v>
      </c>
      <c r="I109" s="19">
        <f t="shared" si="1"/>
        <v>45.00778889</v>
      </c>
      <c r="J109" s="21"/>
      <c r="K109" s="21">
        <f>IFERROR(__xludf.DUMMYFUNCTION("split(D109,""W, , °, ',"""")"")"),75.0)</f>
        <v>75</v>
      </c>
      <c r="L109" s="19">
        <f>IFERROR(__xludf.DUMMYFUNCTION("""COMPUTED_VALUE"""),2.0)</f>
        <v>2</v>
      </c>
      <c r="M109" s="19">
        <f>IFERROR(__xludf.DUMMYFUNCTION("""COMPUTED_VALUE"""),38.06)</f>
        <v>38.06</v>
      </c>
      <c r="N109" s="19">
        <f t="shared" si="2"/>
        <v>75.04390556</v>
      </c>
      <c r="O109" s="19" t="str">
        <f t="shared" si="3"/>
        <v>45.00778888, -75.04390555</v>
      </c>
    </row>
    <row r="110">
      <c r="A110" s="20" t="s">
        <v>600</v>
      </c>
      <c r="C110" s="19" t="str">
        <f>IFERROR(__xludf.DUMMYFUNCTION("split(A110,"","")"),"N 45° 00' 37.759""")</f>
        <v>N 45° 00' 37.759"</v>
      </c>
      <c r="D110" s="19" t="str">
        <f>IFERROR(__xludf.DUMMYFUNCTION("""COMPUTED_VALUE""")," W 75° 03' 00.798""")</f>
        <v> W 75° 03' 00.798"</v>
      </c>
      <c r="F110" s="19">
        <f>IFERROR(__xludf.DUMMYFUNCTION("split(C110,""N, , °, ',"""")"")"),45.0)</f>
        <v>45</v>
      </c>
      <c r="G110" s="19">
        <f>IFERROR(__xludf.DUMMYFUNCTION("""COMPUTED_VALUE"""),0.0)</f>
        <v>0</v>
      </c>
      <c r="H110" s="19">
        <f>IFERROR(__xludf.DUMMYFUNCTION("""COMPUTED_VALUE"""),37.759)</f>
        <v>37.759</v>
      </c>
      <c r="I110" s="19">
        <f t="shared" si="1"/>
        <v>45.01048861</v>
      </c>
      <c r="J110" s="21"/>
      <c r="K110" s="21">
        <f>IFERROR(__xludf.DUMMYFUNCTION("split(D110,""W, , °, ',"""")"")"),75.0)</f>
        <v>75</v>
      </c>
      <c r="L110" s="19">
        <f>IFERROR(__xludf.DUMMYFUNCTION("""COMPUTED_VALUE"""),3.0)</f>
        <v>3</v>
      </c>
      <c r="M110" s="19">
        <f>IFERROR(__xludf.DUMMYFUNCTION("""COMPUTED_VALUE"""),0.798)</f>
        <v>0.798</v>
      </c>
      <c r="N110" s="19">
        <f t="shared" si="2"/>
        <v>75.05022167</v>
      </c>
      <c r="O110" s="19" t="str">
        <f t="shared" si="3"/>
        <v>45.01048861, -75.05022166</v>
      </c>
    </row>
    <row r="111">
      <c r="A111" s="20" t="s">
        <v>601</v>
      </c>
      <c r="C111" s="19" t="str">
        <f>IFERROR(__xludf.DUMMYFUNCTION("split(A111,"","")"),"N 45° 00' 41.190""")</f>
        <v>N 45° 00' 41.190"</v>
      </c>
      <c r="D111" s="19" t="str">
        <f>IFERROR(__xludf.DUMMYFUNCTION("""COMPUTED_VALUE""")," W 75° 03' 07.978""")</f>
        <v> W 75° 03' 07.978"</v>
      </c>
      <c r="F111" s="19">
        <f>IFERROR(__xludf.DUMMYFUNCTION("split(C111,""N, , °, ',"""")"")"),45.0)</f>
        <v>45</v>
      </c>
      <c r="G111" s="19">
        <f>IFERROR(__xludf.DUMMYFUNCTION("""COMPUTED_VALUE"""),0.0)</f>
        <v>0</v>
      </c>
      <c r="H111" s="19">
        <f>IFERROR(__xludf.DUMMYFUNCTION("""COMPUTED_VALUE"""),41.19)</f>
        <v>41.19</v>
      </c>
      <c r="I111" s="19">
        <f t="shared" si="1"/>
        <v>45.01144167</v>
      </c>
      <c r="J111" s="21"/>
      <c r="K111" s="21">
        <f>IFERROR(__xludf.DUMMYFUNCTION("split(D111,""W, , °, ',"""")"")"),75.0)</f>
        <v>75</v>
      </c>
      <c r="L111" s="19">
        <f>IFERROR(__xludf.DUMMYFUNCTION("""COMPUTED_VALUE"""),3.0)</f>
        <v>3</v>
      </c>
      <c r="M111" s="19">
        <f>IFERROR(__xludf.DUMMYFUNCTION("""COMPUTED_VALUE"""),7.978)</f>
        <v>7.978</v>
      </c>
      <c r="N111" s="19">
        <f t="shared" si="2"/>
        <v>75.05221611</v>
      </c>
      <c r="O111" s="19" t="str">
        <f t="shared" si="3"/>
        <v>45.01144166, -75.05221611</v>
      </c>
    </row>
    <row r="112">
      <c r="A112" s="20" t="s">
        <v>601</v>
      </c>
      <c r="C112" s="19" t="str">
        <f>IFERROR(__xludf.DUMMYFUNCTION("split(A112,"","")"),"N 45° 00' 41.190""")</f>
        <v>N 45° 00' 41.190"</v>
      </c>
      <c r="D112" s="19" t="str">
        <f>IFERROR(__xludf.DUMMYFUNCTION("""COMPUTED_VALUE""")," W 75° 03' 07.978""")</f>
        <v> W 75° 03' 07.978"</v>
      </c>
      <c r="F112" s="19">
        <f>IFERROR(__xludf.DUMMYFUNCTION("split(C112,""N, , °, ',"""")"")"),45.0)</f>
        <v>45</v>
      </c>
      <c r="G112" s="19">
        <f>IFERROR(__xludf.DUMMYFUNCTION("""COMPUTED_VALUE"""),0.0)</f>
        <v>0</v>
      </c>
      <c r="H112" s="19">
        <f>IFERROR(__xludf.DUMMYFUNCTION("""COMPUTED_VALUE"""),41.19)</f>
        <v>41.19</v>
      </c>
      <c r="I112" s="19">
        <f t="shared" si="1"/>
        <v>45.01144167</v>
      </c>
      <c r="J112" s="21"/>
      <c r="K112" s="21">
        <f>IFERROR(__xludf.DUMMYFUNCTION("split(D112,""W, , °, ',"""")"")"),75.0)</f>
        <v>75</v>
      </c>
      <c r="L112" s="19">
        <f>IFERROR(__xludf.DUMMYFUNCTION("""COMPUTED_VALUE"""),3.0)</f>
        <v>3</v>
      </c>
      <c r="M112" s="19">
        <f>IFERROR(__xludf.DUMMYFUNCTION("""COMPUTED_VALUE"""),7.978)</f>
        <v>7.978</v>
      </c>
      <c r="N112" s="19">
        <f t="shared" si="2"/>
        <v>75.05221611</v>
      </c>
      <c r="O112" s="19" t="str">
        <f t="shared" si="3"/>
        <v>45.01144166, -75.05221611</v>
      </c>
    </row>
    <row r="113">
      <c r="A113" s="20" t="s">
        <v>601</v>
      </c>
      <c r="C113" s="19" t="str">
        <f>IFERROR(__xludf.DUMMYFUNCTION("split(A113,"","")"),"N 45° 00' 41.190""")</f>
        <v>N 45° 00' 41.190"</v>
      </c>
      <c r="D113" s="19" t="str">
        <f>IFERROR(__xludf.DUMMYFUNCTION("""COMPUTED_VALUE""")," W 75° 03' 07.978""")</f>
        <v> W 75° 03' 07.978"</v>
      </c>
      <c r="F113" s="19">
        <f>IFERROR(__xludf.DUMMYFUNCTION("split(C113,""N, , °, ',"""")"")"),45.0)</f>
        <v>45</v>
      </c>
      <c r="G113" s="19">
        <f>IFERROR(__xludf.DUMMYFUNCTION("""COMPUTED_VALUE"""),0.0)</f>
        <v>0</v>
      </c>
      <c r="H113" s="19">
        <f>IFERROR(__xludf.DUMMYFUNCTION("""COMPUTED_VALUE"""),41.19)</f>
        <v>41.19</v>
      </c>
      <c r="I113" s="19">
        <f t="shared" si="1"/>
        <v>45.01144167</v>
      </c>
      <c r="J113" s="21"/>
      <c r="K113" s="21">
        <f>IFERROR(__xludf.DUMMYFUNCTION("split(D113,""W, , °, ',"""")"")"),75.0)</f>
        <v>75</v>
      </c>
      <c r="L113" s="19">
        <f>IFERROR(__xludf.DUMMYFUNCTION("""COMPUTED_VALUE"""),3.0)</f>
        <v>3</v>
      </c>
      <c r="M113" s="19">
        <f>IFERROR(__xludf.DUMMYFUNCTION("""COMPUTED_VALUE"""),7.978)</f>
        <v>7.978</v>
      </c>
      <c r="N113" s="19">
        <f t="shared" si="2"/>
        <v>75.05221611</v>
      </c>
      <c r="O113" s="19" t="str">
        <f t="shared" si="3"/>
        <v>45.01144166, -75.05221611</v>
      </c>
    </row>
    <row r="114">
      <c r="A114" s="20" t="s">
        <v>602</v>
      </c>
      <c r="C114" s="19" t="str">
        <f>IFERROR(__xludf.DUMMYFUNCTION("split(A114,"","")"),"N 45° 00' 46.420""")</f>
        <v>N 45° 00' 46.420"</v>
      </c>
      <c r="D114" s="19" t="str">
        <f>IFERROR(__xludf.DUMMYFUNCTION("""COMPUTED_VALUE""")," W 75° 03' 19.014""")</f>
        <v> W 75° 03' 19.014"</v>
      </c>
      <c r="F114" s="19">
        <f>IFERROR(__xludf.DUMMYFUNCTION("split(C114,""N, , °, ',"""")"")"),45.0)</f>
        <v>45</v>
      </c>
      <c r="G114" s="19">
        <f>IFERROR(__xludf.DUMMYFUNCTION("""COMPUTED_VALUE"""),0.0)</f>
        <v>0</v>
      </c>
      <c r="H114" s="19">
        <f>IFERROR(__xludf.DUMMYFUNCTION("""COMPUTED_VALUE"""),46.42)</f>
        <v>46.42</v>
      </c>
      <c r="I114" s="19">
        <f t="shared" si="1"/>
        <v>45.01289444</v>
      </c>
      <c r="J114" s="21"/>
      <c r="K114" s="21">
        <f>IFERROR(__xludf.DUMMYFUNCTION("split(D114,""W, , °, ',"""")"")"),75.0)</f>
        <v>75</v>
      </c>
      <c r="L114" s="19">
        <f>IFERROR(__xludf.DUMMYFUNCTION("""COMPUTED_VALUE"""),3.0)</f>
        <v>3</v>
      </c>
      <c r="M114" s="19">
        <f>IFERROR(__xludf.DUMMYFUNCTION("""COMPUTED_VALUE"""),19.014)</f>
        <v>19.014</v>
      </c>
      <c r="N114" s="19">
        <f t="shared" si="2"/>
        <v>75.05528167</v>
      </c>
      <c r="O114" s="19" t="str">
        <f t="shared" si="3"/>
        <v>45.01289444, -75.05528166</v>
      </c>
    </row>
    <row r="115">
      <c r="A115" s="20" t="s">
        <v>603</v>
      </c>
      <c r="C115" s="19" t="str">
        <f>IFERROR(__xludf.DUMMYFUNCTION("split(A115,"","")"),"N 45° 00' 46.678""")</f>
        <v>N 45° 00' 46.678"</v>
      </c>
      <c r="D115" s="19" t="str">
        <f>IFERROR(__xludf.DUMMYFUNCTION("""COMPUTED_VALUE""")," W 75° 03' 19.591""")</f>
        <v> W 75° 03' 19.591"</v>
      </c>
      <c r="F115" s="19">
        <f>IFERROR(__xludf.DUMMYFUNCTION("split(C115,""N, , °, ',"""")"")"),45.0)</f>
        <v>45</v>
      </c>
      <c r="G115" s="19">
        <f>IFERROR(__xludf.DUMMYFUNCTION("""COMPUTED_VALUE"""),0.0)</f>
        <v>0</v>
      </c>
      <c r="H115" s="19">
        <f>IFERROR(__xludf.DUMMYFUNCTION("""COMPUTED_VALUE"""),46.678)</f>
        <v>46.678</v>
      </c>
      <c r="I115" s="19">
        <f t="shared" si="1"/>
        <v>45.01296611</v>
      </c>
      <c r="J115" s="21"/>
      <c r="K115" s="21">
        <f>IFERROR(__xludf.DUMMYFUNCTION("split(D115,""W, , °, ',"""")"")"),75.0)</f>
        <v>75</v>
      </c>
      <c r="L115" s="19">
        <f>IFERROR(__xludf.DUMMYFUNCTION("""COMPUTED_VALUE"""),3.0)</f>
        <v>3</v>
      </c>
      <c r="M115" s="19">
        <f>IFERROR(__xludf.DUMMYFUNCTION("""COMPUTED_VALUE"""),19.591)</f>
        <v>19.591</v>
      </c>
      <c r="N115" s="19">
        <f t="shared" si="2"/>
        <v>75.05544194</v>
      </c>
      <c r="O115" s="19" t="str">
        <f t="shared" si="3"/>
        <v>45.01296611, -75.05544194</v>
      </c>
    </row>
    <row r="116">
      <c r="A116" s="20" t="s">
        <v>603</v>
      </c>
      <c r="C116" s="19" t="str">
        <f>IFERROR(__xludf.DUMMYFUNCTION("split(A116,"","")"),"N 45° 00' 46.678""")</f>
        <v>N 45° 00' 46.678"</v>
      </c>
      <c r="D116" s="19" t="str">
        <f>IFERROR(__xludf.DUMMYFUNCTION("""COMPUTED_VALUE""")," W 75° 03' 19.591""")</f>
        <v> W 75° 03' 19.591"</v>
      </c>
      <c r="F116" s="19">
        <f>IFERROR(__xludf.DUMMYFUNCTION("split(C116,""N, , °, ',"""")"")"),45.0)</f>
        <v>45</v>
      </c>
      <c r="G116" s="19">
        <f>IFERROR(__xludf.DUMMYFUNCTION("""COMPUTED_VALUE"""),0.0)</f>
        <v>0</v>
      </c>
      <c r="H116" s="19">
        <f>IFERROR(__xludf.DUMMYFUNCTION("""COMPUTED_VALUE"""),46.678)</f>
        <v>46.678</v>
      </c>
      <c r="I116" s="19">
        <f t="shared" si="1"/>
        <v>45.01296611</v>
      </c>
      <c r="J116" s="21"/>
      <c r="K116" s="21">
        <f>IFERROR(__xludf.DUMMYFUNCTION("split(D116,""W, , °, ',"""")"")"),75.0)</f>
        <v>75</v>
      </c>
      <c r="L116" s="19">
        <f>IFERROR(__xludf.DUMMYFUNCTION("""COMPUTED_VALUE"""),3.0)</f>
        <v>3</v>
      </c>
      <c r="M116" s="19">
        <f>IFERROR(__xludf.DUMMYFUNCTION("""COMPUTED_VALUE"""),19.591)</f>
        <v>19.591</v>
      </c>
      <c r="N116" s="19">
        <f t="shared" si="2"/>
        <v>75.05544194</v>
      </c>
      <c r="O116" s="19" t="str">
        <f t="shared" si="3"/>
        <v>45.01296611, -75.05544194</v>
      </c>
    </row>
    <row r="117">
      <c r="A117" s="20" t="s">
        <v>604</v>
      </c>
      <c r="C117" s="19" t="str">
        <f>IFERROR(__xludf.DUMMYFUNCTION("split(A117,"","")"),"N 45° 00' 47.980""")</f>
        <v>N 45° 00' 47.980"</v>
      </c>
      <c r="D117" s="19" t="str">
        <f>IFERROR(__xludf.DUMMYFUNCTION("""COMPUTED_VALUE""")," W 75° 03' 22.385""")</f>
        <v> W 75° 03' 22.385"</v>
      </c>
      <c r="F117" s="19">
        <f>IFERROR(__xludf.DUMMYFUNCTION("split(C117,""N, , °, ',"""")"")"),45.0)</f>
        <v>45</v>
      </c>
      <c r="G117" s="19">
        <f>IFERROR(__xludf.DUMMYFUNCTION("""COMPUTED_VALUE"""),0.0)</f>
        <v>0</v>
      </c>
      <c r="H117" s="19">
        <f>IFERROR(__xludf.DUMMYFUNCTION("""COMPUTED_VALUE"""),47.98)</f>
        <v>47.98</v>
      </c>
      <c r="I117" s="19">
        <f t="shared" si="1"/>
        <v>45.01332778</v>
      </c>
      <c r="J117" s="21"/>
      <c r="K117" s="21">
        <f>IFERROR(__xludf.DUMMYFUNCTION("split(D117,""W, , °, ',"""")"")"),75.0)</f>
        <v>75</v>
      </c>
      <c r="L117" s="19">
        <f>IFERROR(__xludf.DUMMYFUNCTION("""COMPUTED_VALUE"""),3.0)</f>
        <v>3</v>
      </c>
      <c r="M117" s="19">
        <f>IFERROR(__xludf.DUMMYFUNCTION("""COMPUTED_VALUE"""),22.385)</f>
        <v>22.385</v>
      </c>
      <c r="N117" s="19">
        <f t="shared" si="2"/>
        <v>75.05621806</v>
      </c>
      <c r="O117" s="19" t="str">
        <f t="shared" si="3"/>
        <v>45.01332777, -75.05621805</v>
      </c>
    </row>
    <row r="118">
      <c r="A118" s="20" t="s">
        <v>605</v>
      </c>
      <c r="C118" s="19" t="str">
        <f>IFERROR(__xludf.DUMMYFUNCTION("split(A118,"","")"),"N 45° 00' 52.343""")</f>
        <v>N 45° 00' 52.343"</v>
      </c>
      <c r="D118" s="19" t="str">
        <f>IFERROR(__xludf.DUMMYFUNCTION("""COMPUTED_VALUE""")," W 75° 03' 32.147""")</f>
        <v> W 75° 03' 32.147"</v>
      </c>
      <c r="F118" s="19">
        <f>IFERROR(__xludf.DUMMYFUNCTION("split(C118,""N, , °, ',"""")"")"),45.0)</f>
        <v>45</v>
      </c>
      <c r="G118" s="19">
        <f>IFERROR(__xludf.DUMMYFUNCTION("""COMPUTED_VALUE"""),0.0)</f>
        <v>0</v>
      </c>
      <c r="H118" s="19">
        <f>IFERROR(__xludf.DUMMYFUNCTION("""COMPUTED_VALUE"""),52.343)</f>
        <v>52.343</v>
      </c>
      <c r="I118" s="19">
        <f t="shared" si="1"/>
        <v>45.01453972</v>
      </c>
      <c r="J118" s="21"/>
      <c r="K118" s="21">
        <f>IFERROR(__xludf.DUMMYFUNCTION("split(D118,""W, , °, ',"""")"")"),75.0)</f>
        <v>75</v>
      </c>
      <c r="L118" s="19">
        <f>IFERROR(__xludf.DUMMYFUNCTION("""COMPUTED_VALUE"""),3.0)</f>
        <v>3</v>
      </c>
      <c r="M118" s="19">
        <f>IFERROR(__xludf.DUMMYFUNCTION("""COMPUTED_VALUE"""),32.147)</f>
        <v>32.147</v>
      </c>
      <c r="N118" s="19">
        <f t="shared" si="2"/>
        <v>75.05892972</v>
      </c>
      <c r="O118" s="19" t="str">
        <f t="shared" si="3"/>
        <v>45.01453972, -75.05892972</v>
      </c>
    </row>
    <row r="119">
      <c r="A119" s="20" t="s">
        <v>606</v>
      </c>
      <c r="C119" s="19" t="str">
        <f>IFERROR(__xludf.DUMMYFUNCTION("split(A119,"","")"),"N 45° 01' 36.046""")</f>
        <v>N 45° 01' 36.046"</v>
      </c>
      <c r="D119" s="19" t="str">
        <f>IFERROR(__xludf.DUMMYFUNCTION("""COMPUTED_VALUE""")," W 75° 05' 09.711""")</f>
        <v> W 75° 05' 09.711"</v>
      </c>
      <c r="F119" s="19">
        <f>IFERROR(__xludf.DUMMYFUNCTION("split(C119,""N, , °, ',"""")"")"),45.0)</f>
        <v>45</v>
      </c>
      <c r="G119" s="19">
        <f>IFERROR(__xludf.DUMMYFUNCTION("""COMPUTED_VALUE"""),1.0)</f>
        <v>1</v>
      </c>
      <c r="H119" s="19">
        <f>IFERROR(__xludf.DUMMYFUNCTION("""COMPUTED_VALUE"""),36.046)</f>
        <v>36.046</v>
      </c>
      <c r="I119" s="19">
        <f t="shared" si="1"/>
        <v>45.02667944</v>
      </c>
      <c r="J119" s="21"/>
      <c r="K119" s="21">
        <f>IFERROR(__xludf.DUMMYFUNCTION("split(D119,""W, , °, ',"""")"")"),75.0)</f>
        <v>75</v>
      </c>
      <c r="L119" s="19">
        <f>IFERROR(__xludf.DUMMYFUNCTION("""COMPUTED_VALUE"""),5.0)</f>
        <v>5</v>
      </c>
      <c r="M119" s="19">
        <f>IFERROR(__xludf.DUMMYFUNCTION("""COMPUTED_VALUE"""),9.711)</f>
        <v>9.711</v>
      </c>
      <c r="N119" s="19">
        <f t="shared" si="2"/>
        <v>75.08603083</v>
      </c>
      <c r="O119" s="19" t="str">
        <f t="shared" si="3"/>
        <v>45.02667944, -75.08603083</v>
      </c>
    </row>
    <row r="120">
      <c r="A120" s="20" t="s">
        <v>607</v>
      </c>
      <c r="C120" s="19" t="str">
        <f>IFERROR(__xludf.DUMMYFUNCTION("split(A120,"","")"),"N 45° 01' 36.330""")</f>
        <v>N 45° 01' 36.330"</v>
      </c>
      <c r="D120" s="19" t="str">
        <f>IFERROR(__xludf.DUMMYFUNCTION("""COMPUTED_VALUE""")," W 75° 05' 10.257""")</f>
        <v> W 75° 05' 10.257"</v>
      </c>
      <c r="F120" s="19">
        <f>IFERROR(__xludf.DUMMYFUNCTION("split(C120,""N, , °, ',"""")"")"),45.0)</f>
        <v>45</v>
      </c>
      <c r="G120" s="19">
        <f>IFERROR(__xludf.DUMMYFUNCTION("""COMPUTED_VALUE"""),1.0)</f>
        <v>1</v>
      </c>
      <c r="H120" s="19">
        <f>IFERROR(__xludf.DUMMYFUNCTION("""COMPUTED_VALUE"""),36.33)</f>
        <v>36.33</v>
      </c>
      <c r="I120" s="19">
        <f t="shared" si="1"/>
        <v>45.02675833</v>
      </c>
      <c r="J120" s="21"/>
      <c r="K120" s="21">
        <f>IFERROR(__xludf.DUMMYFUNCTION("split(D120,""W, , °, ',"""")"")"),75.0)</f>
        <v>75</v>
      </c>
      <c r="L120" s="19">
        <f>IFERROR(__xludf.DUMMYFUNCTION("""COMPUTED_VALUE"""),5.0)</f>
        <v>5</v>
      </c>
      <c r="M120" s="19">
        <f>IFERROR(__xludf.DUMMYFUNCTION("""COMPUTED_VALUE"""),10.257)</f>
        <v>10.257</v>
      </c>
      <c r="N120" s="19">
        <f t="shared" si="2"/>
        <v>75.0861825</v>
      </c>
      <c r="O120" s="19" t="str">
        <f t="shared" si="3"/>
        <v>45.02675833, -75.0861825</v>
      </c>
    </row>
    <row r="121">
      <c r="A121" s="20" t="s">
        <v>608</v>
      </c>
      <c r="C121" s="19" t="str">
        <f>IFERROR(__xludf.DUMMYFUNCTION("split(A121,"","")"),"N 45° 01' 37.422""")</f>
        <v>N 45° 01' 37.422"</v>
      </c>
      <c r="D121" s="19" t="str">
        <f>IFERROR(__xludf.DUMMYFUNCTION("""COMPUTED_VALUE""")," W 75° 05' 12.334""")</f>
        <v> W 75° 05' 12.334"</v>
      </c>
      <c r="F121" s="19">
        <f>IFERROR(__xludf.DUMMYFUNCTION("split(C121,""N, , °, ',"""")"")"),45.0)</f>
        <v>45</v>
      </c>
      <c r="G121" s="19">
        <f>IFERROR(__xludf.DUMMYFUNCTION("""COMPUTED_VALUE"""),1.0)</f>
        <v>1</v>
      </c>
      <c r="H121" s="19">
        <f>IFERROR(__xludf.DUMMYFUNCTION("""COMPUTED_VALUE"""),37.422)</f>
        <v>37.422</v>
      </c>
      <c r="I121" s="19">
        <f t="shared" si="1"/>
        <v>45.02706167</v>
      </c>
      <c r="J121" s="21"/>
      <c r="K121" s="21">
        <f>IFERROR(__xludf.DUMMYFUNCTION("split(D121,""W, , °, ',"""")"")"),75.0)</f>
        <v>75</v>
      </c>
      <c r="L121" s="19">
        <f>IFERROR(__xludf.DUMMYFUNCTION("""COMPUTED_VALUE"""),5.0)</f>
        <v>5</v>
      </c>
      <c r="M121" s="19">
        <f>IFERROR(__xludf.DUMMYFUNCTION("""COMPUTED_VALUE"""),12.334)</f>
        <v>12.334</v>
      </c>
      <c r="N121" s="19">
        <f t="shared" si="2"/>
        <v>75.08675944</v>
      </c>
      <c r="O121" s="19" t="str">
        <f t="shared" si="3"/>
        <v>45.02706166, -75.08675944</v>
      </c>
    </row>
    <row r="122">
      <c r="A122" s="20" t="s">
        <v>609</v>
      </c>
      <c r="C122" s="19" t="str">
        <f>IFERROR(__xludf.DUMMYFUNCTION("split(A122,"","")"),"N 45° 01' 37.705""")</f>
        <v>N 45° 01' 37.705"</v>
      </c>
      <c r="D122" s="19" t="str">
        <f>IFERROR(__xludf.DUMMYFUNCTION("""COMPUTED_VALUE""")," W 75° 05' 12.882""")</f>
        <v> W 75° 05' 12.882"</v>
      </c>
      <c r="F122" s="19">
        <f>IFERROR(__xludf.DUMMYFUNCTION("split(C122,""N, , °, ',"""")"")"),45.0)</f>
        <v>45</v>
      </c>
      <c r="G122" s="19">
        <f>IFERROR(__xludf.DUMMYFUNCTION("""COMPUTED_VALUE"""),1.0)</f>
        <v>1</v>
      </c>
      <c r="H122" s="19">
        <f>IFERROR(__xludf.DUMMYFUNCTION("""COMPUTED_VALUE"""),37.705)</f>
        <v>37.705</v>
      </c>
      <c r="I122" s="19">
        <f t="shared" si="1"/>
        <v>45.02714028</v>
      </c>
      <c r="J122" s="21"/>
      <c r="K122" s="21">
        <f>IFERROR(__xludf.DUMMYFUNCTION("split(D122,""W, , °, ',"""")"")"),75.0)</f>
        <v>75</v>
      </c>
      <c r="L122" s="19">
        <f>IFERROR(__xludf.DUMMYFUNCTION("""COMPUTED_VALUE"""),5.0)</f>
        <v>5</v>
      </c>
      <c r="M122" s="19">
        <f>IFERROR(__xludf.DUMMYFUNCTION("""COMPUTED_VALUE"""),12.882)</f>
        <v>12.882</v>
      </c>
      <c r="N122" s="19">
        <f t="shared" si="2"/>
        <v>75.08691167</v>
      </c>
      <c r="O122" s="19" t="str">
        <f t="shared" si="3"/>
        <v>45.02714027, -75.08691166</v>
      </c>
    </row>
    <row r="123">
      <c r="A123" s="20" t="s">
        <v>610</v>
      </c>
      <c r="C123" s="19" t="str">
        <f>IFERROR(__xludf.DUMMYFUNCTION("split(A123,"","")"),"N 45° 01' 38.269""")</f>
        <v>N 45° 01' 38.269"</v>
      </c>
      <c r="D123" s="19" t="str">
        <f>IFERROR(__xludf.DUMMYFUNCTION("""COMPUTED_VALUE""")," W 75° 05' 13.972""")</f>
        <v> W 75° 05' 13.972"</v>
      </c>
      <c r="F123" s="19">
        <f>IFERROR(__xludf.DUMMYFUNCTION("split(C123,""N, , °, ',"""")"")"),45.0)</f>
        <v>45</v>
      </c>
      <c r="G123" s="19">
        <f>IFERROR(__xludf.DUMMYFUNCTION("""COMPUTED_VALUE"""),1.0)</f>
        <v>1</v>
      </c>
      <c r="H123" s="19">
        <f>IFERROR(__xludf.DUMMYFUNCTION("""COMPUTED_VALUE"""),38.269)</f>
        <v>38.269</v>
      </c>
      <c r="I123" s="19">
        <f t="shared" si="1"/>
        <v>45.02729694</v>
      </c>
      <c r="J123" s="21"/>
      <c r="K123" s="21">
        <f>IFERROR(__xludf.DUMMYFUNCTION("split(D123,""W, , °, ',"""")"")"),75.0)</f>
        <v>75</v>
      </c>
      <c r="L123" s="19">
        <f>IFERROR(__xludf.DUMMYFUNCTION("""COMPUTED_VALUE"""),5.0)</f>
        <v>5</v>
      </c>
      <c r="M123" s="19">
        <f>IFERROR(__xludf.DUMMYFUNCTION("""COMPUTED_VALUE"""),13.972)</f>
        <v>13.972</v>
      </c>
      <c r="N123" s="19">
        <f t="shared" si="2"/>
        <v>75.08721444</v>
      </c>
      <c r="O123" s="19" t="str">
        <f t="shared" si="3"/>
        <v>45.02729694, -75.08721444</v>
      </c>
    </row>
    <row r="124">
      <c r="A124" s="20" t="s">
        <v>610</v>
      </c>
      <c r="C124" s="19" t="str">
        <f>IFERROR(__xludf.DUMMYFUNCTION("split(A124,"","")"),"N 45° 01' 38.269""")</f>
        <v>N 45° 01' 38.269"</v>
      </c>
      <c r="D124" s="19" t="str">
        <f>IFERROR(__xludf.DUMMYFUNCTION("""COMPUTED_VALUE""")," W 75° 05' 13.972""")</f>
        <v> W 75° 05' 13.972"</v>
      </c>
      <c r="F124" s="19">
        <f>IFERROR(__xludf.DUMMYFUNCTION("split(C124,""N, , °, ',"""")"")"),45.0)</f>
        <v>45</v>
      </c>
      <c r="G124" s="19">
        <f>IFERROR(__xludf.DUMMYFUNCTION("""COMPUTED_VALUE"""),1.0)</f>
        <v>1</v>
      </c>
      <c r="H124" s="19">
        <f>IFERROR(__xludf.DUMMYFUNCTION("""COMPUTED_VALUE"""),38.269)</f>
        <v>38.269</v>
      </c>
      <c r="I124" s="19">
        <f t="shared" si="1"/>
        <v>45.02729694</v>
      </c>
      <c r="J124" s="21"/>
      <c r="K124" s="21">
        <f>IFERROR(__xludf.DUMMYFUNCTION("split(D124,""W, , °, ',"""")"")"),75.0)</f>
        <v>75</v>
      </c>
      <c r="L124" s="19">
        <f>IFERROR(__xludf.DUMMYFUNCTION("""COMPUTED_VALUE"""),5.0)</f>
        <v>5</v>
      </c>
      <c r="M124" s="19">
        <f>IFERROR(__xludf.DUMMYFUNCTION("""COMPUTED_VALUE"""),13.972)</f>
        <v>13.972</v>
      </c>
      <c r="N124" s="19">
        <f t="shared" si="2"/>
        <v>75.08721444</v>
      </c>
      <c r="O124" s="19" t="str">
        <f t="shared" si="3"/>
        <v>45.02729694, -75.08721444</v>
      </c>
    </row>
    <row r="125">
      <c r="A125" s="20" t="s">
        <v>610</v>
      </c>
      <c r="C125" s="19" t="str">
        <f>IFERROR(__xludf.DUMMYFUNCTION("split(A125,"","")"),"N 45° 01' 38.269""")</f>
        <v>N 45° 01' 38.269"</v>
      </c>
      <c r="D125" s="19" t="str">
        <f>IFERROR(__xludf.DUMMYFUNCTION("""COMPUTED_VALUE""")," W 75° 05' 13.972""")</f>
        <v> W 75° 05' 13.972"</v>
      </c>
      <c r="F125" s="19">
        <f>IFERROR(__xludf.DUMMYFUNCTION("split(C125,""N, , °, ',"""")"")"),45.0)</f>
        <v>45</v>
      </c>
      <c r="G125" s="19">
        <f>IFERROR(__xludf.DUMMYFUNCTION("""COMPUTED_VALUE"""),1.0)</f>
        <v>1</v>
      </c>
      <c r="H125" s="19">
        <f>IFERROR(__xludf.DUMMYFUNCTION("""COMPUTED_VALUE"""),38.269)</f>
        <v>38.269</v>
      </c>
      <c r="I125" s="19">
        <f t="shared" si="1"/>
        <v>45.02729694</v>
      </c>
      <c r="J125" s="21"/>
      <c r="K125" s="21">
        <f>IFERROR(__xludf.DUMMYFUNCTION("split(D125,""W, , °, ',"""")"")"),75.0)</f>
        <v>75</v>
      </c>
      <c r="L125" s="19">
        <f>IFERROR(__xludf.DUMMYFUNCTION("""COMPUTED_VALUE"""),5.0)</f>
        <v>5</v>
      </c>
      <c r="M125" s="19">
        <f>IFERROR(__xludf.DUMMYFUNCTION("""COMPUTED_VALUE"""),13.972)</f>
        <v>13.972</v>
      </c>
      <c r="N125" s="19">
        <f t="shared" si="2"/>
        <v>75.08721444</v>
      </c>
      <c r="O125" s="19" t="str">
        <f t="shared" si="3"/>
        <v>45.02729694, -75.08721444</v>
      </c>
    </row>
    <row r="126">
      <c r="A126" s="20" t="s">
        <v>611</v>
      </c>
      <c r="C126" s="19" t="str">
        <f>IFERROR(__xludf.DUMMYFUNCTION("split(A126,"","")"),"N 45° 01' 40.396""")</f>
        <v>N 45° 01' 40.396"</v>
      </c>
      <c r="D126" s="19" t="str">
        <f>IFERROR(__xludf.DUMMYFUNCTION("""COMPUTED_VALUE""")," W 75° 05' 18.080""")</f>
        <v> W 75° 05' 18.080"</v>
      </c>
      <c r="F126" s="19">
        <f>IFERROR(__xludf.DUMMYFUNCTION("split(C126,""N, , °, ',"""")"")"),45.0)</f>
        <v>45</v>
      </c>
      <c r="G126" s="19">
        <f>IFERROR(__xludf.DUMMYFUNCTION("""COMPUTED_VALUE"""),1.0)</f>
        <v>1</v>
      </c>
      <c r="H126" s="19">
        <f>IFERROR(__xludf.DUMMYFUNCTION("""COMPUTED_VALUE"""),40.396)</f>
        <v>40.396</v>
      </c>
      <c r="I126" s="19">
        <f t="shared" si="1"/>
        <v>45.02788778</v>
      </c>
      <c r="J126" s="21"/>
      <c r="K126" s="21">
        <f>IFERROR(__xludf.DUMMYFUNCTION("split(D126,""W, , °, ',"""")"")"),75.0)</f>
        <v>75</v>
      </c>
      <c r="L126" s="19">
        <f>IFERROR(__xludf.DUMMYFUNCTION("""COMPUTED_VALUE"""),5.0)</f>
        <v>5</v>
      </c>
      <c r="M126" s="19">
        <f>IFERROR(__xludf.DUMMYFUNCTION("""COMPUTED_VALUE"""),18.08)</f>
        <v>18.08</v>
      </c>
      <c r="N126" s="19">
        <f t="shared" si="2"/>
        <v>75.08835556</v>
      </c>
      <c r="O126" s="19" t="str">
        <f t="shared" si="3"/>
        <v>45.02788777, -75.08835555</v>
      </c>
    </row>
    <row r="127">
      <c r="A127" s="20" t="s">
        <v>611</v>
      </c>
      <c r="C127" s="19" t="str">
        <f>IFERROR(__xludf.DUMMYFUNCTION("split(A127,"","")"),"N 45° 01' 40.396""")</f>
        <v>N 45° 01' 40.396"</v>
      </c>
      <c r="D127" s="19" t="str">
        <f>IFERROR(__xludf.DUMMYFUNCTION("""COMPUTED_VALUE""")," W 75° 05' 18.080""")</f>
        <v> W 75° 05' 18.080"</v>
      </c>
      <c r="F127" s="19">
        <f>IFERROR(__xludf.DUMMYFUNCTION("split(C127,""N, , °, ',"""")"")"),45.0)</f>
        <v>45</v>
      </c>
      <c r="G127" s="19">
        <f>IFERROR(__xludf.DUMMYFUNCTION("""COMPUTED_VALUE"""),1.0)</f>
        <v>1</v>
      </c>
      <c r="H127" s="19">
        <f>IFERROR(__xludf.DUMMYFUNCTION("""COMPUTED_VALUE"""),40.396)</f>
        <v>40.396</v>
      </c>
      <c r="I127" s="19">
        <f t="shared" si="1"/>
        <v>45.02788778</v>
      </c>
      <c r="J127" s="21"/>
      <c r="K127" s="21">
        <f>IFERROR(__xludf.DUMMYFUNCTION("split(D127,""W, , °, ',"""")"")"),75.0)</f>
        <v>75</v>
      </c>
      <c r="L127" s="19">
        <f>IFERROR(__xludf.DUMMYFUNCTION("""COMPUTED_VALUE"""),5.0)</f>
        <v>5</v>
      </c>
      <c r="M127" s="19">
        <f>IFERROR(__xludf.DUMMYFUNCTION("""COMPUTED_VALUE"""),18.08)</f>
        <v>18.08</v>
      </c>
      <c r="N127" s="19">
        <f t="shared" si="2"/>
        <v>75.08835556</v>
      </c>
      <c r="O127" s="19" t="str">
        <f t="shared" si="3"/>
        <v>45.02788777, -75.08835555</v>
      </c>
    </row>
    <row r="128">
      <c r="A128" s="20" t="s">
        <v>611</v>
      </c>
      <c r="C128" s="19" t="str">
        <f>IFERROR(__xludf.DUMMYFUNCTION("split(A128,"","")"),"N 45° 01' 40.396""")</f>
        <v>N 45° 01' 40.396"</v>
      </c>
      <c r="D128" s="19" t="str">
        <f>IFERROR(__xludf.DUMMYFUNCTION("""COMPUTED_VALUE""")," W 75° 05' 18.080""")</f>
        <v> W 75° 05' 18.080"</v>
      </c>
      <c r="F128" s="19">
        <f>IFERROR(__xludf.DUMMYFUNCTION("split(C128,""N, , °, ',"""")"")"),45.0)</f>
        <v>45</v>
      </c>
      <c r="G128" s="19">
        <f>IFERROR(__xludf.DUMMYFUNCTION("""COMPUTED_VALUE"""),1.0)</f>
        <v>1</v>
      </c>
      <c r="H128" s="19">
        <f>IFERROR(__xludf.DUMMYFUNCTION("""COMPUTED_VALUE"""),40.396)</f>
        <v>40.396</v>
      </c>
      <c r="I128" s="19">
        <f t="shared" si="1"/>
        <v>45.02788778</v>
      </c>
      <c r="J128" s="21"/>
      <c r="K128" s="21">
        <f>IFERROR(__xludf.DUMMYFUNCTION("split(D128,""W, , °, ',"""")"")"),75.0)</f>
        <v>75</v>
      </c>
      <c r="L128" s="19">
        <f>IFERROR(__xludf.DUMMYFUNCTION("""COMPUTED_VALUE"""),5.0)</f>
        <v>5</v>
      </c>
      <c r="M128" s="19">
        <f>IFERROR(__xludf.DUMMYFUNCTION("""COMPUTED_VALUE"""),18.08)</f>
        <v>18.08</v>
      </c>
      <c r="N128" s="19">
        <f t="shared" si="2"/>
        <v>75.08835556</v>
      </c>
      <c r="O128" s="19" t="str">
        <f t="shared" si="3"/>
        <v>45.02788777, -75.08835555</v>
      </c>
    </row>
    <row r="129">
      <c r="A129" s="20" t="s">
        <v>611</v>
      </c>
      <c r="C129" s="19" t="str">
        <f>IFERROR(__xludf.DUMMYFUNCTION("split(A129,"","")"),"N 45° 01' 40.396""")</f>
        <v>N 45° 01' 40.396"</v>
      </c>
      <c r="D129" s="19" t="str">
        <f>IFERROR(__xludf.DUMMYFUNCTION("""COMPUTED_VALUE""")," W 75° 05' 18.080""")</f>
        <v> W 75° 05' 18.080"</v>
      </c>
      <c r="F129" s="19">
        <f>IFERROR(__xludf.DUMMYFUNCTION("split(C129,""N, , °, ',"""")"")"),45.0)</f>
        <v>45</v>
      </c>
      <c r="G129" s="19">
        <f>IFERROR(__xludf.DUMMYFUNCTION("""COMPUTED_VALUE"""),1.0)</f>
        <v>1</v>
      </c>
      <c r="H129" s="19">
        <f>IFERROR(__xludf.DUMMYFUNCTION("""COMPUTED_VALUE"""),40.396)</f>
        <v>40.396</v>
      </c>
      <c r="I129" s="19">
        <f t="shared" si="1"/>
        <v>45.02788778</v>
      </c>
      <c r="J129" s="21"/>
      <c r="K129" s="21">
        <f>IFERROR(__xludf.DUMMYFUNCTION("split(D129,""W, , °, ',"""")"")"),75.0)</f>
        <v>75</v>
      </c>
      <c r="L129" s="19">
        <f>IFERROR(__xludf.DUMMYFUNCTION("""COMPUTED_VALUE"""),5.0)</f>
        <v>5</v>
      </c>
      <c r="M129" s="19">
        <f>IFERROR(__xludf.DUMMYFUNCTION("""COMPUTED_VALUE"""),18.08)</f>
        <v>18.08</v>
      </c>
      <c r="N129" s="19">
        <f t="shared" si="2"/>
        <v>75.08835556</v>
      </c>
      <c r="O129" s="19" t="str">
        <f t="shared" si="3"/>
        <v>45.02788777, -75.08835555</v>
      </c>
    </row>
    <row r="130">
      <c r="A130" s="20" t="s">
        <v>612</v>
      </c>
      <c r="C130" s="19" t="str">
        <f>IFERROR(__xludf.DUMMYFUNCTION("split(A130,"","")"),"N 45° 01' 41.172""")</f>
        <v>N 45° 01' 41.172"</v>
      </c>
      <c r="D130" s="19" t="str">
        <f>IFERROR(__xludf.DUMMYFUNCTION("""COMPUTED_VALUE""")," W 75° 05' 19.554""")</f>
        <v> W 75° 05' 19.554"</v>
      </c>
      <c r="F130" s="19">
        <f>IFERROR(__xludf.DUMMYFUNCTION("split(C130,""N, , °, ',"""")"")"),45.0)</f>
        <v>45</v>
      </c>
      <c r="G130" s="19">
        <f>IFERROR(__xludf.DUMMYFUNCTION("""COMPUTED_VALUE"""),1.0)</f>
        <v>1</v>
      </c>
      <c r="H130" s="19">
        <f>IFERROR(__xludf.DUMMYFUNCTION("""COMPUTED_VALUE"""),41.172)</f>
        <v>41.172</v>
      </c>
      <c r="I130" s="19">
        <f t="shared" si="1"/>
        <v>45.02810333</v>
      </c>
      <c r="J130" s="21"/>
      <c r="K130" s="21">
        <f>IFERROR(__xludf.DUMMYFUNCTION("split(D130,""W, , °, ',"""")"")"),75.0)</f>
        <v>75</v>
      </c>
      <c r="L130" s="19">
        <f>IFERROR(__xludf.DUMMYFUNCTION("""COMPUTED_VALUE"""),5.0)</f>
        <v>5</v>
      </c>
      <c r="M130" s="19">
        <f>IFERROR(__xludf.DUMMYFUNCTION("""COMPUTED_VALUE"""),19.554)</f>
        <v>19.554</v>
      </c>
      <c r="N130" s="19">
        <f t="shared" si="2"/>
        <v>75.088765</v>
      </c>
      <c r="O130" s="19" t="str">
        <f t="shared" si="3"/>
        <v>45.02810333, -75.088765</v>
      </c>
    </row>
    <row r="131">
      <c r="A131" s="20" t="s">
        <v>613</v>
      </c>
      <c r="C131" s="19" t="str">
        <f>IFERROR(__xludf.DUMMYFUNCTION("split(A131,"","")"),"N 45° 01' 42.589""")</f>
        <v>N 45° 01' 42.589"</v>
      </c>
      <c r="D131" s="19" t="str">
        <f>IFERROR(__xludf.DUMMYFUNCTION("""COMPUTED_VALUE""")," W 75° 05' 22.338""")</f>
        <v> W 75° 05' 22.338"</v>
      </c>
      <c r="F131" s="19">
        <f>IFERROR(__xludf.DUMMYFUNCTION("split(C131,""N, , °, ',"""")"")"),45.0)</f>
        <v>45</v>
      </c>
      <c r="G131" s="19">
        <f>IFERROR(__xludf.DUMMYFUNCTION("""COMPUTED_VALUE"""),1.0)</f>
        <v>1</v>
      </c>
      <c r="H131" s="19">
        <f>IFERROR(__xludf.DUMMYFUNCTION("""COMPUTED_VALUE"""),42.589)</f>
        <v>42.589</v>
      </c>
      <c r="I131" s="19">
        <f t="shared" si="1"/>
        <v>45.02849694</v>
      </c>
      <c r="J131" s="21"/>
      <c r="K131" s="21">
        <f>IFERROR(__xludf.DUMMYFUNCTION("split(D131,""W, , °, ',"""")"")"),75.0)</f>
        <v>75</v>
      </c>
      <c r="L131" s="19">
        <f>IFERROR(__xludf.DUMMYFUNCTION("""COMPUTED_VALUE"""),5.0)</f>
        <v>5</v>
      </c>
      <c r="M131" s="19">
        <f>IFERROR(__xludf.DUMMYFUNCTION("""COMPUTED_VALUE"""),22.338)</f>
        <v>22.338</v>
      </c>
      <c r="N131" s="19">
        <f t="shared" si="2"/>
        <v>75.08953833</v>
      </c>
      <c r="O131" s="19" t="str">
        <f t="shared" si="3"/>
        <v>45.02849694, -75.08953833</v>
      </c>
    </row>
    <row r="132">
      <c r="A132" s="20" t="s">
        <v>614</v>
      </c>
      <c r="C132" s="19" t="str">
        <f>IFERROR(__xludf.DUMMYFUNCTION("split(A132,"","")"),"N 45° 01' 56.878""")</f>
        <v>N 45° 01' 56.878"</v>
      </c>
      <c r="D132" s="19" t="str">
        <f>IFERROR(__xludf.DUMMYFUNCTION("""COMPUTED_VALUE""")," W 75° 05' 51.501""")</f>
        <v> W 75° 05' 51.501"</v>
      </c>
      <c r="F132" s="19">
        <f>IFERROR(__xludf.DUMMYFUNCTION("split(C132,""N, , °, ',"""")"")"),45.0)</f>
        <v>45</v>
      </c>
      <c r="G132" s="19">
        <f>IFERROR(__xludf.DUMMYFUNCTION("""COMPUTED_VALUE"""),1.0)</f>
        <v>1</v>
      </c>
      <c r="H132" s="19">
        <f>IFERROR(__xludf.DUMMYFUNCTION("""COMPUTED_VALUE"""),56.878)</f>
        <v>56.878</v>
      </c>
      <c r="I132" s="19">
        <f t="shared" si="1"/>
        <v>45.03246611</v>
      </c>
      <c r="J132" s="21"/>
      <c r="K132" s="21">
        <f>IFERROR(__xludf.DUMMYFUNCTION("split(D132,""W, , °, ',"""")"")"),75.0)</f>
        <v>75</v>
      </c>
      <c r="L132" s="19">
        <f>IFERROR(__xludf.DUMMYFUNCTION("""COMPUTED_VALUE"""),5.0)</f>
        <v>5</v>
      </c>
      <c r="M132" s="19">
        <f>IFERROR(__xludf.DUMMYFUNCTION("""COMPUTED_VALUE"""),51.501)</f>
        <v>51.501</v>
      </c>
      <c r="N132" s="19">
        <f t="shared" si="2"/>
        <v>75.09763917</v>
      </c>
      <c r="O132" s="19" t="str">
        <f t="shared" si="3"/>
        <v>45.03246611, -75.09763916</v>
      </c>
    </row>
    <row r="133">
      <c r="A133" s="20" t="s">
        <v>614</v>
      </c>
      <c r="C133" s="19" t="str">
        <f>IFERROR(__xludf.DUMMYFUNCTION("split(A133,"","")"),"N 45° 01' 56.878""")</f>
        <v>N 45° 01' 56.878"</v>
      </c>
      <c r="D133" s="19" t="str">
        <f>IFERROR(__xludf.DUMMYFUNCTION("""COMPUTED_VALUE""")," W 75° 05' 51.501""")</f>
        <v> W 75° 05' 51.501"</v>
      </c>
      <c r="F133" s="19">
        <f>IFERROR(__xludf.DUMMYFUNCTION("split(C133,""N, , °, ',"""")"")"),45.0)</f>
        <v>45</v>
      </c>
      <c r="G133" s="19">
        <f>IFERROR(__xludf.DUMMYFUNCTION("""COMPUTED_VALUE"""),1.0)</f>
        <v>1</v>
      </c>
      <c r="H133" s="19">
        <f>IFERROR(__xludf.DUMMYFUNCTION("""COMPUTED_VALUE"""),56.878)</f>
        <v>56.878</v>
      </c>
      <c r="I133" s="19">
        <f t="shared" si="1"/>
        <v>45.03246611</v>
      </c>
      <c r="J133" s="21"/>
      <c r="K133" s="21">
        <f>IFERROR(__xludf.DUMMYFUNCTION("split(D133,""W, , °, ',"""")"")"),75.0)</f>
        <v>75</v>
      </c>
      <c r="L133" s="19">
        <f>IFERROR(__xludf.DUMMYFUNCTION("""COMPUTED_VALUE"""),5.0)</f>
        <v>5</v>
      </c>
      <c r="M133" s="19">
        <f>IFERROR(__xludf.DUMMYFUNCTION("""COMPUTED_VALUE"""),51.501)</f>
        <v>51.501</v>
      </c>
      <c r="N133" s="19">
        <f t="shared" si="2"/>
        <v>75.09763917</v>
      </c>
      <c r="O133" s="19" t="str">
        <f t="shared" si="3"/>
        <v>45.03246611, -75.09763916</v>
      </c>
    </row>
    <row r="134">
      <c r="A134" s="20" t="s">
        <v>614</v>
      </c>
      <c r="C134" s="19" t="str">
        <f>IFERROR(__xludf.DUMMYFUNCTION("split(A134,"","")"),"N 45° 01' 56.878""")</f>
        <v>N 45° 01' 56.878"</v>
      </c>
      <c r="D134" s="19" t="str">
        <f>IFERROR(__xludf.DUMMYFUNCTION("""COMPUTED_VALUE""")," W 75° 05' 51.501""")</f>
        <v> W 75° 05' 51.501"</v>
      </c>
      <c r="F134" s="19">
        <f>IFERROR(__xludf.DUMMYFUNCTION("split(C134,""N, , °, ',"""")"")"),45.0)</f>
        <v>45</v>
      </c>
      <c r="G134" s="19">
        <f>IFERROR(__xludf.DUMMYFUNCTION("""COMPUTED_VALUE"""),1.0)</f>
        <v>1</v>
      </c>
      <c r="H134" s="19">
        <f>IFERROR(__xludf.DUMMYFUNCTION("""COMPUTED_VALUE"""),56.878)</f>
        <v>56.878</v>
      </c>
      <c r="I134" s="19">
        <f t="shared" si="1"/>
        <v>45.03246611</v>
      </c>
      <c r="J134" s="21"/>
      <c r="K134" s="21">
        <f>IFERROR(__xludf.DUMMYFUNCTION("split(D134,""W, , °, ',"""")"")"),75.0)</f>
        <v>75</v>
      </c>
      <c r="L134" s="19">
        <f>IFERROR(__xludf.DUMMYFUNCTION("""COMPUTED_VALUE"""),5.0)</f>
        <v>5</v>
      </c>
      <c r="M134" s="19">
        <f>IFERROR(__xludf.DUMMYFUNCTION("""COMPUTED_VALUE"""),51.501)</f>
        <v>51.501</v>
      </c>
      <c r="N134" s="19">
        <f t="shared" si="2"/>
        <v>75.09763917</v>
      </c>
      <c r="O134" s="19" t="str">
        <f t="shared" si="3"/>
        <v>45.03246611, -75.09763916</v>
      </c>
    </row>
    <row r="135">
      <c r="A135" s="20" t="s">
        <v>615</v>
      </c>
      <c r="C135" s="19" t="str">
        <f>IFERROR(__xludf.DUMMYFUNCTION("split(A135,"","")"),"N 45° 01' 57.451""")</f>
        <v>N 45° 01' 57.451"</v>
      </c>
      <c r="D135" s="19" t="str">
        <f>IFERROR(__xludf.DUMMYFUNCTION("""COMPUTED_VALUE""")," W 75° 05' 52.608""")</f>
        <v> W 75° 05' 52.608"</v>
      </c>
      <c r="F135" s="19">
        <f>IFERROR(__xludf.DUMMYFUNCTION("split(C135,""N, , °, ',"""")"")"),45.0)</f>
        <v>45</v>
      </c>
      <c r="G135" s="19">
        <f>IFERROR(__xludf.DUMMYFUNCTION("""COMPUTED_VALUE"""),1.0)</f>
        <v>1</v>
      </c>
      <c r="H135" s="19">
        <f>IFERROR(__xludf.DUMMYFUNCTION("""COMPUTED_VALUE"""),57.451)</f>
        <v>57.451</v>
      </c>
      <c r="I135" s="19">
        <f t="shared" si="1"/>
        <v>45.03262528</v>
      </c>
      <c r="J135" s="21"/>
      <c r="K135" s="21">
        <f>IFERROR(__xludf.DUMMYFUNCTION("split(D135,""W, , °, ',"""")"")"),75.0)</f>
        <v>75</v>
      </c>
      <c r="L135" s="19">
        <f>IFERROR(__xludf.DUMMYFUNCTION("""COMPUTED_VALUE"""),5.0)</f>
        <v>5</v>
      </c>
      <c r="M135" s="19">
        <f>IFERROR(__xludf.DUMMYFUNCTION("""COMPUTED_VALUE"""),52.608)</f>
        <v>52.608</v>
      </c>
      <c r="N135" s="19">
        <f t="shared" si="2"/>
        <v>75.09794667</v>
      </c>
      <c r="O135" s="19" t="str">
        <f t="shared" si="3"/>
        <v>45.03262527, -75.09794666</v>
      </c>
    </row>
    <row r="136">
      <c r="A136" s="20" t="s">
        <v>615</v>
      </c>
      <c r="C136" s="19" t="str">
        <f>IFERROR(__xludf.DUMMYFUNCTION("split(A136,"","")"),"N 45° 01' 57.451""")</f>
        <v>N 45° 01' 57.451"</v>
      </c>
      <c r="D136" s="19" t="str">
        <f>IFERROR(__xludf.DUMMYFUNCTION("""COMPUTED_VALUE""")," W 75° 05' 52.608""")</f>
        <v> W 75° 05' 52.608"</v>
      </c>
      <c r="F136" s="19">
        <f>IFERROR(__xludf.DUMMYFUNCTION("split(C136,""N, , °, ',"""")"")"),45.0)</f>
        <v>45</v>
      </c>
      <c r="G136" s="19">
        <f>IFERROR(__xludf.DUMMYFUNCTION("""COMPUTED_VALUE"""),1.0)</f>
        <v>1</v>
      </c>
      <c r="H136" s="19">
        <f>IFERROR(__xludf.DUMMYFUNCTION("""COMPUTED_VALUE"""),57.451)</f>
        <v>57.451</v>
      </c>
      <c r="I136" s="19">
        <f t="shared" si="1"/>
        <v>45.03262528</v>
      </c>
      <c r="J136" s="21"/>
      <c r="K136" s="21">
        <f>IFERROR(__xludf.DUMMYFUNCTION("split(D136,""W, , °, ',"""")"")"),75.0)</f>
        <v>75</v>
      </c>
      <c r="L136" s="19">
        <f>IFERROR(__xludf.DUMMYFUNCTION("""COMPUTED_VALUE"""),5.0)</f>
        <v>5</v>
      </c>
      <c r="M136" s="19">
        <f>IFERROR(__xludf.DUMMYFUNCTION("""COMPUTED_VALUE"""),52.608)</f>
        <v>52.608</v>
      </c>
      <c r="N136" s="19">
        <f t="shared" si="2"/>
        <v>75.09794667</v>
      </c>
      <c r="O136" s="19" t="str">
        <f t="shared" si="3"/>
        <v>45.03262527, -75.09794666</v>
      </c>
    </row>
    <row r="137">
      <c r="A137" s="20" t="s">
        <v>616</v>
      </c>
      <c r="C137" s="19" t="str">
        <f>IFERROR(__xludf.DUMMYFUNCTION("split(A137,"","")"),"N 45° 02' 04.230""")</f>
        <v>N 45° 02' 04.230"</v>
      </c>
      <c r="D137" s="19" t="str">
        <f>IFERROR(__xludf.DUMMYFUNCTION("""COMPUTED_VALUE""")," W 75° 06' 07.798""")</f>
        <v> W 75° 06' 07.798"</v>
      </c>
      <c r="F137" s="19">
        <f>IFERROR(__xludf.DUMMYFUNCTION("split(C137,""N, , °, ',"""")"")"),45.0)</f>
        <v>45</v>
      </c>
      <c r="G137" s="19">
        <f>IFERROR(__xludf.DUMMYFUNCTION("""COMPUTED_VALUE"""),2.0)</f>
        <v>2</v>
      </c>
      <c r="H137" s="19">
        <f>IFERROR(__xludf.DUMMYFUNCTION("""COMPUTED_VALUE"""),4.23)</f>
        <v>4.23</v>
      </c>
      <c r="I137" s="19">
        <f t="shared" si="1"/>
        <v>45.03450833</v>
      </c>
      <c r="J137" s="21"/>
      <c r="K137" s="21">
        <f>IFERROR(__xludf.DUMMYFUNCTION("split(D137,""W, , °, ',"""")"")"),75.0)</f>
        <v>75</v>
      </c>
      <c r="L137" s="19">
        <f>IFERROR(__xludf.DUMMYFUNCTION("""COMPUTED_VALUE"""),6.0)</f>
        <v>6</v>
      </c>
      <c r="M137" s="19">
        <f>IFERROR(__xludf.DUMMYFUNCTION("""COMPUTED_VALUE"""),7.798)</f>
        <v>7.798</v>
      </c>
      <c r="N137" s="19">
        <f t="shared" si="2"/>
        <v>75.10216611</v>
      </c>
      <c r="O137" s="19" t="str">
        <f t="shared" si="3"/>
        <v>45.03450833, -75.10216611</v>
      </c>
    </row>
    <row r="138">
      <c r="A138" s="20" t="s">
        <v>617</v>
      </c>
      <c r="C138" s="19" t="str">
        <f>IFERROR(__xludf.DUMMYFUNCTION("split(A138,"","")"),"N 45° 02' 10.581""")</f>
        <v>N 45° 02' 10.581"</v>
      </c>
      <c r="D138" s="19" t="str">
        <f>IFERROR(__xludf.DUMMYFUNCTION("""COMPUTED_VALUE""")," W 75° 06' 22.986""")</f>
        <v> W 75° 06' 22.986"</v>
      </c>
      <c r="F138" s="19">
        <f>IFERROR(__xludf.DUMMYFUNCTION("split(C138,""N, , °, ',"""")"")"),45.0)</f>
        <v>45</v>
      </c>
      <c r="G138" s="19">
        <f>IFERROR(__xludf.DUMMYFUNCTION("""COMPUTED_VALUE"""),2.0)</f>
        <v>2</v>
      </c>
      <c r="H138" s="19">
        <f>IFERROR(__xludf.DUMMYFUNCTION("""COMPUTED_VALUE"""),10.581)</f>
        <v>10.581</v>
      </c>
      <c r="I138" s="19">
        <f t="shared" si="1"/>
        <v>45.0362725</v>
      </c>
      <c r="J138" s="21"/>
      <c r="K138" s="21">
        <f>IFERROR(__xludf.DUMMYFUNCTION("split(D138,""W, , °, ',"""")"")"),75.0)</f>
        <v>75</v>
      </c>
      <c r="L138" s="19">
        <f>IFERROR(__xludf.DUMMYFUNCTION("""COMPUTED_VALUE"""),6.0)</f>
        <v>6</v>
      </c>
      <c r="M138" s="19">
        <f>IFERROR(__xludf.DUMMYFUNCTION("""COMPUTED_VALUE"""),22.986)</f>
        <v>22.986</v>
      </c>
      <c r="N138" s="19">
        <f t="shared" si="2"/>
        <v>75.106385</v>
      </c>
      <c r="O138" s="19" t="str">
        <f t="shared" si="3"/>
        <v>45.0362725, -75.106385</v>
      </c>
    </row>
    <row r="139">
      <c r="A139" s="20" t="s">
        <v>618</v>
      </c>
      <c r="C139" s="19" t="str">
        <f>IFERROR(__xludf.DUMMYFUNCTION("split(A139,"","")"),"N 45° 06' 05.274""")</f>
        <v>N 45° 06' 05.274"</v>
      </c>
      <c r="D139" s="19" t="str">
        <f>IFERROR(__xludf.DUMMYFUNCTION("""COMPUTED_VALUE""")," W 75° 14' 50.095""")</f>
        <v> W 75° 14' 50.095"</v>
      </c>
      <c r="F139" s="19">
        <f>IFERROR(__xludf.DUMMYFUNCTION("split(C139,""N, , °, ',"""")"")"),45.0)</f>
        <v>45</v>
      </c>
      <c r="G139" s="19">
        <f>IFERROR(__xludf.DUMMYFUNCTION("""COMPUTED_VALUE"""),6.0)</f>
        <v>6</v>
      </c>
      <c r="H139" s="19">
        <f>IFERROR(__xludf.DUMMYFUNCTION("""COMPUTED_VALUE"""),5.274)</f>
        <v>5.274</v>
      </c>
      <c r="I139" s="19">
        <f t="shared" si="1"/>
        <v>45.101465</v>
      </c>
      <c r="J139" s="21"/>
      <c r="K139" s="21">
        <f>IFERROR(__xludf.DUMMYFUNCTION("split(D139,""W, , °, ',"""")"")"),75.0)</f>
        <v>75</v>
      </c>
      <c r="L139" s="19">
        <f>IFERROR(__xludf.DUMMYFUNCTION("""COMPUTED_VALUE"""),14.0)</f>
        <v>14</v>
      </c>
      <c r="M139" s="19">
        <f>IFERROR(__xludf.DUMMYFUNCTION("""COMPUTED_VALUE"""),50.095)</f>
        <v>50.095</v>
      </c>
      <c r="N139" s="19">
        <f t="shared" si="2"/>
        <v>75.24724861</v>
      </c>
      <c r="O139" s="19" t="str">
        <f t="shared" si="3"/>
        <v>45.101465, -75.24724861</v>
      </c>
    </row>
    <row r="140">
      <c r="A140" s="20" t="s">
        <v>619</v>
      </c>
      <c r="C140" s="19" t="str">
        <f>IFERROR(__xludf.DUMMYFUNCTION("split(A140,"","")"),"N 45° 09' 04.099""")</f>
        <v>N 45° 09' 04.099"</v>
      </c>
      <c r="D140" s="19" t="str">
        <f>IFERROR(__xludf.DUMMYFUNCTION("""COMPUTED_VALUE""")," W 75° 20' 59.285""")</f>
        <v> W 75° 20' 59.285"</v>
      </c>
      <c r="F140" s="19">
        <f>IFERROR(__xludf.DUMMYFUNCTION("split(C140,""N, , °, ',"""")"")"),45.0)</f>
        <v>45</v>
      </c>
      <c r="G140" s="19">
        <f>IFERROR(__xludf.DUMMYFUNCTION("""COMPUTED_VALUE"""),9.0)</f>
        <v>9</v>
      </c>
      <c r="H140" s="19">
        <f>IFERROR(__xludf.DUMMYFUNCTION("""COMPUTED_VALUE"""),4.099)</f>
        <v>4.099</v>
      </c>
      <c r="I140" s="19">
        <f t="shared" si="1"/>
        <v>45.15113861</v>
      </c>
      <c r="J140" s="21"/>
      <c r="K140" s="21">
        <f>IFERROR(__xludf.DUMMYFUNCTION("split(D140,""W, , °, ',"""")"")"),75.0)</f>
        <v>75</v>
      </c>
      <c r="L140" s="19">
        <f>IFERROR(__xludf.DUMMYFUNCTION("""COMPUTED_VALUE"""),20.0)</f>
        <v>20</v>
      </c>
      <c r="M140" s="19">
        <f>IFERROR(__xludf.DUMMYFUNCTION("""COMPUTED_VALUE"""),59.285)</f>
        <v>59.285</v>
      </c>
      <c r="N140" s="19">
        <f t="shared" si="2"/>
        <v>75.34980139</v>
      </c>
      <c r="O140" s="19" t="str">
        <f t="shared" si="3"/>
        <v>45.15113861, -75.34980138</v>
      </c>
    </row>
    <row r="141">
      <c r="A141" s="20" t="s">
        <v>292</v>
      </c>
      <c r="C141" s="19">
        <f>IFERROR(__xludf.DUMMYFUNCTION("split(A141,"","")"),45.151139)</f>
        <v>45.151139</v>
      </c>
      <c r="D141" s="19">
        <f>IFERROR(__xludf.DUMMYFUNCTION("""COMPUTED_VALUE"""),-75.349801)</f>
        <v>-75.349801</v>
      </c>
    </row>
    <row r="142">
      <c r="A142" s="20" t="s">
        <v>620</v>
      </c>
      <c r="C142" s="19" t="str">
        <f>IFERROR(__xludf.DUMMYFUNCTION("split(A142,"","")"),"N 45° 09' 41.584""")</f>
        <v>N 45° 09' 41.584"</v>
      </c>
      <c r="D142" s="19" t="str">
        <f>IFERROR(__xludf.DUMMYFUNCTION("""COMPUTED_VALUE""")," W 75° 22' 07.977""")</f>
        <v> W 75° 22' 07.977"</v>
      </c>
      <c r="F142" s="19">
        <f>IFERROR(__xludf.DUMMYFUNCTION("split(C142,""N, , °, ',"""")"")"),45.0)</f>
        <v>45</v>
      </c>
      <c r="G142" s="19">
        <f>IFERROR(__xludf.DUMMYFUNCTION("""COMPUTED_VALUE"""),9.0)</f>
        <v>9</v>
      </c>
      <c r="H142" s="19">
        <f>IFERROR(__xludf.DUMMYFUNCTION("""COMPUTED_VALUE"""),41.584)</f>
        <v>41.584</v>
      </c>
      <c r="I142" s="19">
        <f t="shared" ref="I142:I143" si="4">F142+G142/60+H142/3600</f>
        <v>45.16155111</v>
      </c>
      <c r="J142" s="21"/>
      <c r="K142" s="21">
        <f>IFERROR(__xludf.DUMMYFUNCTION("split(D142,""W, , °, ',"""")"")"),75.0)</f>
        <v>75</v>
      </c>
      <c r="L142" s="19">
        <f>IFERROR(__xludf.DUMMYFUNCTION("""COMPUTED_VALUE"""),22.0)</f>
        <v>22</v>
      </c>
      <c r="M142" s="19">
        <f>IFERROR(__xludf.DUMMYFUNCTION("""COMPUTED_VALUE"""),7.977)</f>
        <v>7.977</v>
      </c>
      <c r="N142" s="19">
        <f t="shared" ref="N142:N143" si="5">K142+L142/60+M142/3600</f>
        <v>75.3688825</v>
      </c>
      <c r="O142" s="19" t="str">
        <f t="shared" ref="O142:O143" si="6">CONCATENATE(trunc(I142,8),", ","-",trunc(N142,8))</f>
        <v>45.16155111, -75.3688825</v>
      </c>
    </row>
    <row r="143">
      <c r="A143" s="20" t="s">
        <v>620</v>
      </c>
      <c r="C143" s="19" t="str">
        <f>IFERROR(__xludf.DUMMYFUNCTION("split(A143,"","")"),"N 45° 09' 41.584""")</f>
        <v>N 45° 09' 41.584"</v>
      </c>
      <c r="D143" s="19" t="str">
        <f>IFERROR(__xludf.DUMMYFUNCTION("""COMPUTED_VALUE""")," W 75° 22' 07.977""")</f>
        <v> W 75° 22' 07.977"</v>
      </c>
      <c r="F143" s="19">
        <f>IFERROR(__xludf.DUMMYFUNCTION("split(C143,""N, , °, ',"""")"")"),45.0)</f>
        <v>45</v>
      </c>
      <c r="G143" s="19">
        <f>IFERROR(__xludf.DUMMYFUNCTION("""COMPUTED_VALUE"""),9.0)</f>
        <v>9</v>
      </c>
      <c r="H143" s="19">
        <f>IFERROR(__xludf.DUMMYFUNCTION("""COMPUTED_VALUE"""),41.584)</f>
        <v>41.584</v>
      </c>
      <c r="I143" s="19">
        <f t="shared" si="4"/>
        <v>45.16155111</v>
      </c>
      <c r="J143" s="21"/>
      <c r="K143" s="21">
        <f>IFERROR(__xludf.DUMMYFUNCTION("split(D143,""W, , °, ',"""")"")"),75.0)</f>
        <v>75</v>
      </c>
      <c r="L143" s="19">
        <f>IFERROR(__xludf.DUMMYFUNCTION("""COMPUTED_VALUE"""),22.0)</f>
        <v>22</v>
      </c>
      <c r="M143" s="19">
        <f>IFERROR(__xludf.DUMMYFUNCTION("""COMPUTED_VALUE"""),7.977)</f>
        <v>7.977</v>
      </c>
      <c r="N143" s="19">
        <f t="shared" si="5"/>
        <v>75.3688825</v>
      </c>
      <c r="O143" s="19" t="str">
        <f t="shared" si="6"/>
        <v>45.16155111, -75.3688825</v>
      </c>
    </row>
    <row r="144">
      <c r="A144" s="20" t="s">
        <v>296</v>
      </c>
      <c r="C144" s="19">
        <f>IFERROR(__xludf.DUMMYFUNCTION("split(A144,"","")"),45.221665)</f>
        <v>45.221665</v>
      </c>
      <c r="D144" s="19">
        <f>IFERROR(__xludf.DUMMYFUNCTION("""COMPUTED_VALUE"""),-75.507788)</f>
        <v>-75.507788</v>
      </c>
    </row>
    <row r="145">
      <c r="A145" s="20" t="s">
        <v>621</v>
      </c>
      <c r="C145" s="19" t="str">
        <f>IFERROR(__xludf.DUMMYFUNCTION("split(A145,"","")"),"N 45° 13' 23.274""")</f>
        <v>N 45° 13' 23.274"</v>
      </c>
      <c r="D145" s="19" t="str">
        <f>IFERROR(__xludf.DUMMYFUNCTION("""COMPUTED_VALUE""")," W 75° 30' 38.062""")</f>
        <v> W 75° 30' 38.062"</v>
      </c>
      <c r="F145" s="19">
        <f>IFERROR(__xludf.DUMMYFUNCTION("split(C145,""N, , °, ',"""")"")"),45.0)</f>
        <v>45</v>
      </c>
      <c r="G145" s="19">
        <f>IFERROR(__xludf.DUMMYFUNCTION("""COMPUTED_VALUE"""),13.0)</f>
        <v>13</v>
      </c>
      <c r="H145" s="19">
        <f>IFERROR(__xludf.DUMMYFUNCTION("""COMPUTED_VALUE"""),23.274)</f>
        <v>23.274</v>
      </c>
      <c r="I145" s="19">
        <f t="shared" ref="I145:I146" si="7">F145+G145/60+H145/3600</f>
        <v>45.22313167</v>
      </c>
      <c r="J145" s="21"/>
      <c r="K145" s="21">
        <f>IFERROR(__xludf.DUMMYFUNCTION("split(D145,""W, , °, ',"""")"")"),75.0)</f>
        <v>75</v>
      </c>
      <c r="L145" s="19">
        <f>IFERROR(__xludf.DUMMYFUNCTION("""COMPUTED_VALUE"""),30.0)</f>
        <v>30</v>
      </c>
      <c r="M145" s="19">
        <f>IFERROR(__xludf.DUMMYFUNCTION("""COMPUTED_VALUE"""),38.062)</f>
        <v>38.062</v>
      </c>
      <c r="N145" s="19">
        <f t="shared" ref="N145:N146" si="8">K145+L145/60+M145/3600</f>
        <v>75.51057278</v>
      </c>
      <c r="O145" s="19" t="str">
        <f t="shared" ref="O145:O146" si="9">CONCATENATE(trunc(I145,8),", ","-",trunc(N145,8))</f>
        <v>45.22313166, -75.51057277</v>
      </c>
    </row>
    <row r="146">
      <c r="A146" s="20" t="s">
        <v>621</v>
      </c>
      <c r="C146" s="19" t="str">
        <f>IFERROR(__xludf.DUMMYFUNCTION("split(A146,"","")"),"N 45° 13' 23.274""")</f>
        <v>N 45° 13' 23.274"</v>
      </c>
      <c r="D146" s="19" t="str">
        <f>IFERROR(__xludf.DUMMYFUNCTION("""COMPUTED_VALUE""")," W 75° 30' 38.062""")</f>
        <v> W 75° 30' 38.062"</v>
      </c>
      <c r="F146" s="19">
        <f>IFERROR(__xludf.DUMMYFUNCTION("split(C146,""N, , °, ',"""")"")"),45.0)</f>
        <v>45</v>
      </c>
      <c r="G146" s="19">
        <f>IFERROR(__xludf.DUMMYFUNCTION("""COMPUTED_VALUE"""),13.0)</f>
        <v>13</v>
      </c>
      <c r="H146" s="19">
        <f>IFERROR(__xludf.DUMMYFUNCTION("""COMPUTED_VALUE"""),23.274)</f>
        <v>23.274</v>
      </c>
      <c r="I146" s="19">
        <f t="shared" si="7"/>
        <v>45.22313167</v>
      </c>
      <c r="J146" s="21"/>
      <c r="K146" s="21">
        <f>IFERROR(__xludf.DUMMYFUNCTION("split(D146,""W, , °, ',"""")"")"),75.0)</f>
        <v>75</v>
      </c>
      <c r="L146" s="19">
        <f>IFERROR(__xludf.DUMMYFUNCTION("""COMPUTED_VALUE"""),30.0)</f>
        <v>30</v>
      </c>
      <c r="M146" s="19">
        <f>IFERROR(__xludf.DUMMYFUNCTION("""COMPUTED_VALUE"""),38.062)</f>
        <v>38.062</v>
      </c>
      <c r="N146" s="19">
        <f t="shared" si="8"/>
        <v>75.51057278</v>
      </c>
      <c r="O146" s="19" t="str">
        <f t="shared" si="9"/>
        <v>45.22313166, -75.51057277</v>
      </c>
    </row>
    <row r="147">
      <c r="A147" s="20" t="s">
        <v>301</v>
      </c>
      <c r="C147" s="19">
        <f>IFERROR(__xludf.DUMMYFUNCTION("split(A147,"","")"),43.32017619)</f>
        <v>43.32017619</v>
      </c>
      <c r="D147" s="19">
        <f>IFERROR(__xludf.DUMMYFUNCTION("""COMPUTED_VALUE"""),-79.80134163)</f>
        <v>-79.80134163</v>
      </c>
    </row>
    <row r="148">
      <c r="A148" s="20" t="s">
        <v>303</v>
      </c>
      <c r="C148" s="19">
        <f>IFERROR(__xludf.DUMMYFUNCTION("split(A148,"","")"),43.32474412)</f>
        <v>43.32474412</v>
      </c>
      <c r="D148" s="19">
        <f>IFERROR(__xludf.DUMMYFUNCTION("""COMPUTED_VALUE"""),-79.79844107)</f>
        <v>-79.79844107</v>
      </c>
    </row>
    <row r="149">
      <c r="A149" s="20" t="s">
        <v>303</v>
      </c>
      <c r="C149" s="19">
        <f>IFERROR(__xludf.DUMMYFUNCTION("split(A149,"","")"),43.32474412)</f>
        <v>43.32474412</v>
      </c>
      <c r="D149" s="19">
        <f>IFERROR(__xludf.DUMMYFUNCTION("""COMPUTED_VALUE"""),-79.79844107)</f>
        <v>-79.79844107</v>
      </c>
    </row>
    <row r="150">
      <c r="A150" s="20" t="s">
        <v>306</v>
      </c>
      <c r="C150" s="19">
        <f>IFERROR(__xludf.DUMMYFUNCTION("split(A150,"","")"),43.34464145)</f>
        <v>43.34464145</v>
      </c>
      <c r="D150" s="19">
        <f>IFERROR(__xludf.DUMMYFUNCTION("""COMPUTED_VALUE"""),-79.77937316)</f>
        <v>-79.77937316</v>
      </c>
    </row>
    <row r="151">
      <c r="A151" s="20" t="s">
        <v>306</v>
      </c>
      <c r="C151" s="19">
        <f>IFERROR(__xludf.DUMMYFUNCTION("split(A151,"","")"),43.34464145)</f>
        <v>43.34464145</v>
      </c>
      <c r="D151" s="19">
        <f>IFERROR(__xludf.DUMMYFUNCTION("""COMPUTED_VALUE"""),-79.77937316)</f>
        <v>-79.77937316</v>
      </c>
    </row>
    <row r="152">
      <c r="A152" s="20" t="s">
        <v>306</v>
      </c>
      <c r="C152" s="19">
        <f>IFERROR(__xludf.DUMMYFUNCTION("split(A152,"","")"),43.34464145)</f>
        <v>43.34464145</v>
      </c>
      <c r="D152" s="19">
        <f>IFERROR(__xludf.DUMMYFUNCTION("""COMPUTED_VALUE"""),-79.77937316)</f>
        <v>-79.77937316</v>
      </c>
    </row>
    <row r="153">
      <c r="A153" s="20" t="s">
        <v>306</v>
      </c>
      <c r="C153" s="19">
        <f>IFERROR(__xludf.DUMMYFUNCTION("split(A153,"","")"),43.34464145)</f>
        <v>43.34464145</v>
      </c>
      <c r="D153" s="19">
        <f>IFERROR(__xludf.DUMMYFUNCTION("""COMPUTED_VALUE"""),-79.77937316)</f>
        <v>-79.77937316</v>
      </c>
    </row>
    <row r="154">
      <c r="A154" s="20" t="s">
        <v>306</v>
      </c>
      <c r="C154" s="19">
        <f>IFERROR(__xludf.DUMMYFUNCTION("split(A154,"","")"),43.34464145)</f>
        <v>43.34464145</v>
      </c>
      <c r="D154" s="19">
        <f>IFERROR(__xludf.DUMMYFUNCTION("""COMPUTED_VALUE"""),-79.77937316)</f>
        <v>-79.77937316</v>
      </c>
    </row>
    <row r="155">
      <c r="A155" s="20" t="s">
        <v>308</v>
      </c>
      <c r="C155" s="19">
        <f>IFERROR(__xludf.DUMMYFUNCTION("split(A155,"","")"),43.35423894)</f>
        <v>43.35423894</v>
      </c>
      <c r="D155" s="19">
        <f>IFERROR(__xludf.DUMMYFUNCTION("""COMPUTED_VALUE"""),-79.77273512)</f>
        <v>-79.77273512</v>
      </c>
    </row>
    <row r="156">
      <c r="A156" s="20" t="s">
        <v>310</v>
      </c>
      <c r="C156" s="19">
        <f>IFERROR(__xludf.DUMMYFUNCTION("split(A156,"","")"),43.36653976)</f>
        <v>43.36653976</v>
      </c>
      <c r="D156" s="19">
        <f>IFERROR(__xludf.DUMMYFUNCTION("""COMPUTED_VALUE"""),-79.76419597)</f>
        <v>-79.76419597</v>
      </c>
    </row>
    <row r="157">
      <c r="A157" s="20" t="s">
        <v>310</v>
      </c>
      <c r="C157" s="19">
        <f>IFERROR(__xludf.DUMMYFUNCTION("split(A157,"","")"),43.36653976)</f>
        <v>43.36653976</v>
      </c>
      <c r="D157" s="19">
        <f>IFERROR(__xludf.DUMMYFUNCTION("""COMPUTED_VALUE"""),-79.76419597)</f>
        <v>-79.76419597</v>
      </c>
    </row>
    <row r="158">
      <c r="A158" s="20" t="s">
        <v>312</v>
      </c>
      <c r="C158" s="19">
        <f>IFERROR(__xludf.DUMMYFUNCTION("split(A158,"","")"),43.36819442)</f>
        <v>43.36819442</v>
      </c>
      <c r="D158" s="19">
        <f>IFERROR(__xludf.DUMMYFUNCTION("""COMPUTED_VALUE"""),-79.76304502)</f>
        <v>-79.76304502</v>
      </c>
    </row>
    <row r="159">
      <c r="A159" s="20" t="s">
        <v>312</v>
      </c>
      <c r="C159" s="19">
        <f>IFERROR(__xludf.DUMMYFUNCTION("split(A159,"","")"),43.36819442)</f>
        <v>43.36819442</v>
      </c>
      <c r="D159" s="19">
        <f>IFERROR(__xludf.DUMMYFUNCTION("""COMPUTED_VALUE"""),-79.76304502)</f>
        <v>-79.76304502</v>
      </c>
    </row>
    <row r="160">
      <c r="A160" s="20" t="s">
        <v>312</v>
      </c>
      <c r="C160" s="19">
        <f>IFERROR(__xludf.DUMMYFUNCTION("split(A160,"","")"),43.36819442)</f>
        <v>43.36819442</v>
      </c>
      <c r="D160" s="19">
        <f>IFERROR(__xludf.DUMMYFUNCTION("""COMPUTED_VALUE"""),-79.76304502)</f>
        <v>-79.76304502</v>
      </c>
    </row>
    <row r="161">
      <c r="A161" s="20" t="s">
        <v>312</v>
      </c>
      <c r="C161" s="19">
        <f>IFERROR(__xludf.DUMMYFUNCTION("split(A161,"","")"),43.36819442)</f>
        <v>43.36819442</v>
      </c>
      <c r="D161" s="19">
        <f>IFERROR(__xludf.DUMMYFUNCTION("""COMPUTED_VALUE"""),-79.76304502)</f>
        <v>-79.76304502</v>
      </c>
    </row>
    <row r="162">
      <c r="A162" s="20" t="s">
        <v>312</v>
      </c>
      <c r="C162" s="19">
        <f>IFERROR(__xludf.DUMMYFUNCTION("split(A162,"","")"),43.36819442)</f>
        <v>43.36819442</v>
      </c>
      <c r="D162" s="19">
        <f>IFERROR(__xludf.DUMMYFUNCTION("""COMPUTED_VALUE"""),-79.76304502)</f>
        <v>-79.76304502</v>
      </c>
    </row>
    <row r="163">
      <c r="A163" s="20" t="s">
        <v>312</v>
      </c>
      <c r="C163" s="19">
        <f>IFERROR(__xludf.DUMMYFUNCTION("split(A163,"","")"),43.36819442)</f>
        <v>43.36819442</v>
      </c>
      <c r="D163" s="19">
        <f>IFERROR(__xludf.DUMMYFUNCTION("""COMPUTED_VALUE"""),-79.76304502)</f>
        <v>-79.76304502</v>
      </c>
    </row>
    <row r="164">
      <c r="A164" s="20" t="s">
        <v>312</v>
      </c>
      <c r="C164" s="19">
        <f>IFERROR(__xludf.DUMMYFUNCTION("split(A164,"","")"),43.36819442)</f>
        <v>43.36819442</v>
      </c>
      <c r="D164" s="19">
        <f>IFERROR(__xludf.DUMMYFUNCTION("""COMPUTED_VALUE"""),-79.76304502)</f>
        <v>-79.76304502</v>
      </c>
    </row>
    <row r="165">
      <c r="A165" s="20" t="s">
        <v>312</v>
      </c>
      <c r="C165" s="19">
        <f>IFERROR(__xludf.DUMMYFUNCTION("split(A165,"","")"),43.36819442)</f>
        <v>43.36819442</v>
      </c>
      <c r="D165" s="19">
        <f>IFERROR(__xludf.DUMMYFUNCTION("""COMPUTED_VALUE"""),-79.76304502)</f>
        <v>-79.76304502</v>
      </c>
    </row>
    <row r="166">
      <c r="A166" s="20" t="s">
        <v>312</v>
      </c>
      <c r="C166" s="19">
        <f>IFERROR(__xludf.DUMMYFUNCTION("split(A166,"","")"),43.36819442)</f>
        <v>43.36819442</v>
      </c>
      <c r="D166" s="19">
        <f>IFERROR(__xludf.DUMMYFUNCTION("""COMPUTED_VALUE"""),-79.76304502)</f>
        <v>-79.76304502</v>
      </c>
    </row>
    <row r="167">
      <c r="A167" s="20" t="s">
        <v>314</v>
      </c>
      <c r="C167" s="19">
        <f>IFERROR(__xludf.DUMMYFUNCTION("split(A167,"","")"),43.37444963)</f>
        <v>43.37444963</v>
      </c>
      <c r="D167" s="19">
        <f>IFERROR(__xludf.DUMMYFUNCTION("""COMPUTED_VALUE"""),-79.75869329)</f>
        <v>-79.75869329</v>
      </c>
    </row>
    <row r="168">
      <c r="A168" s="20" t="s">
        <v>316</v>
      </c>
      <c r="C168" s="19">
        <f>IFERROR(__xludf.DUMMYFUNCTION("split(A168,"","")"),43.37466569)</f>
        <v>43.37466569</v>
      </c>
      <c r="D168" s="19">
        <f>IFERROR(__xludf.DUMMYFUNCTION("""COMPUTED_VALUE"""),-79.75855304)</f>
        <v>-79.75855304</v>
      </c>
    </row>
    <row r="169">
      <c r="A169" s="20" t="s">
        <v>316</v>
      </c>
      <c r="C169" s="19">
        <f>IFERROR(__xludf.DUMMYFUNCTION("split(A169,"","")"),43.37466569)</f>
        <v>43.37466569</v>
      </c>
      <c r="D169" s="19">
        <f>IFERROR(__xludf.DUMMYFUNCTION("""COMPUTED_VALUE"""),-79.75855304)</f>
        <v>-79.75855304</v>
      </c>
    </row>
    <row r="170">
      <c r="A170" s="20" t="s">
        <v>318</v>
      </c>
      <c r="C170" s="19">
        <f>IFERROR(__xludf.DUMMYFUNCTION("split(A170,"","")"),43.3750977)</f>
        <v>43.3750977</v>
      </c>
      <c r="D170" s="19">
        <f>IFERROR(__xludf.DUMMYFUNCTION("""COMPUTED_VALUE"""),-79.75823955)</f>
        <v>-79.75823955</v>
      </c>
    </row>
    <row r="171">
      <c r="A171" s="20" t="s">
        <v>318</v>
      </c>
      <c r="C171" s="19">
        <f>IFERROR(__xludf.DUMMYFUNCTION("split(A171,"","")"),43.3750977)</f>
        <v>43.3750977</v>
      </c>
      <c r="D171" s="19">
        <f>IFERROR(__xludf.DUMMYFUNCTION("""COMPUTED_VALUE"""),-79.75823955)</f>
        <v>-79.75823955</v>
      </c>
    </row>
    <row r="172">
      <c r="A172" s="20" t="s">
        <v>318</v>
      </c>
      <c r="C172" s="19">
        <f>IFERROR(__xludf.DUMMYFUNCTION("split(A172,"","")"),43.3750977)</f>
        <v>43.3750977</v>
      </c>
      <c r="D172" s="19">
        <f>IFERROR(__xludf.DUMMYFUNCTION("""COMPUTED_VALUE"""),-79.75823955)</f>
        <v>-79.75823955</v>
      </c>
    </row>
    <row r="173">
      <c r="A173" s="20" t="s">
        <v>321</v>
      </c>
      <c r="C173" s="19">
        <f>IFERROR(__xludf.DUMMYFUNCTION("split(A173,"","")"),43.38176758)</f>
        <v>43.38176758</v>
      </c>
      <c r="D173" s="19">
        <f>IFERROR(__xludf.DUMMYFUNCTION("""COMPUTED_VALUE"""),-79.75361218)</f>
        <v>-79.75361218</v>
      </c>
    </row>
    <row r="174">
      <c r="A174" s="20" t="s">
        <v>321</v>
      </c>
      <c r="C174" s="19">
        <f>IFERROR(__xludf.DUMMYFUNCTION("split(A174,"","")"),43.38176758)</f>
        <v>43.38176758</v>
      </c>
      <c r="D174" s="19">
        <f>IFERROR(__xludf.DUMMYFUNCTION("""COMPUTED_VALUE"""),-79.75361218)</f>
        <v>-79.75361218</v>
      </c>
    </row>
    <row r="175">
      <c r="A175" s="20" t="s">
        <v>321</v>
      </c>
      <c r="C175" s="19">
        <f>IFERROR(__xludf.DUMMYFUNCTION("split(A175,"","")"),43.38176758)</f>
        <v>43.38176758</v>
      </c>
      <c r="D175" s="19">
        <f>IFERROR(__xludf.DUMMYFUNCTION("""COMPUTED_VALUE"""),-79.75361218)</f>
        <v>-79.75361218</v>
      </c>
    </row>
    <row r="176">
      <c r="A176" s="20" t="s">
        <v>321</v>
      </c>
      <c r="C176" s="19">
        <f>IFERROR(__xludf.DUMMYFUNCTION("split(A176,"","")"),43.38176758)</f>
        <v>43.38176758</v>
      </c>
      <c r="D176" s="19">
        <f>IFERROR(__xludf.DUMMYFUNCTION("""COMPUTED_VALUE"""),-79.75361218)</f>
        <v>-79.75361218</v>
      </c>
    </row>
    <row r="177">
      <c r="A177" s="20" t="s">
        <v>323</v>
      </c>
      <c r="C177" s="19">
        <f>IFERROR(__xludf.DUMMYFUNCTION("split(A177,"","")"),45.37599897)</f>
        <v>45.37599897</v>
      </c>
      <c r="D177" s="19">
        <f>IFERROR(__xludf.DUMMYFUNCTION("""COMPUTED_VALUE"""),-74.17250762)</f>
        <v>-74.17250762</v>
      </c>
    </row>
    <row r="178">
      <c r="A178" s="20" t="s">
        <v>325</v>
      </c>
      <c r="C178" s="19">
        <f>IFERROR(__xludf.DUMMYFUNCTION("split(A178,"","")"),45.34736122)</f>
        <v>45.34736122</v>
      </c>
      <c r="D178" s="19">
        <f>IFERROR(__xludf.DUMMYFUNCTION("""COMPUTED_VALUE"""),-74.21999704)</f>
        <v>-74.21999704</v>
      </c>
    </row>
    <row r="179">
      <c r="A179" s="20" t="s">
        <v>327</v>
      </c>
      <c r="C179" s="19">
        <f>IFERROR(__xludf.DUMMYFUNCTION("split(A179,"","")"),45.61073411)</f>
        <v>45.61073411</v>
      </c>
      <c r="D179" s="19">
        <f>IFERROR(__xludf.DUMMYFUNCTION("""COMPUTED_VALUE"""),-73.71564125)</f>
        <v>-73.71564125</v>
      </c>
    </row>
    <row r="180">
      <c r="A180" s="20" t="s">
        <v>329</v>
      </c>
      <c r="C180" s="19">
        <f>IFERROR(__xludf.DUMMYFUNCTION("split(A180,"","")"),45.62861)</f>
        <v>45.62861</v>
      </c>
      <c r="D180" s="19">
        <f>IFERROR(__xludf.DUMMYFUNCTION("""COMPUTED_VALUE"""),-73.575606)</f>
        <v>-73.575606</v>
      </c>
    </row>
    <row r="181">
      <c r="A181" s="20" t="s">
        <v>331</v>
      </c>
      <c r="C181" s="19">
        <f>IFERROR(__xludf.DUMMYFUNCTION("split(A181,"","")"),45.615794)</f>
        <v>45.615794</v>
      </c>
      <c r="D181" s="19">
        <f>IFERROR(__xludf.DUMMYFUNCTION("""COMPUTED_VALUE"""),-73.593479)</f>
        <v>-73.593479</v>
      </c>
    </row>
    <row r="182">
      <c r="A182" s="20" t="s">
        <v>333</v>
      </c>
      <c r="C182" s="19">
        <f>IFERROR(__xludf.DUMMYFUNCTION("split(A182,"","")"),45.614515)</f>
        <v>45.614515</v>
      </c>
      <c r="D182" s="19">
        <f>IFERROR(__xludf.DUMMYFUNCTION("""COMPUTED_VALUE"""),-73.595116)</f>
        <v>-73.595116</v>
      </c>
    </row>
    <row r="183">
      <c r="A183" s="20" t="s">
        <v>335</v>
      </c>
      <c r="C183" s="19">
        <f>IFERROR(__xludf.DUMMYFUNCTION("split(A183,"","")"),45.623811)</f>
        <v>45.623811</v>
      </c>
      <c r="D183" s="19">
        <f>IFERROR(__xludf.DUMMYFUNCTION("""COMPUTED_VALUE"""),-73.621543)</f>
        <v>-73.621543</v>
      </c>
    </row>
    <row r="184">
      <c r="A184" s="20" t="s">
        <v>337</v>
      </c>
      <c r="C184" s="19">
        <f>IFERROR(__xludf.DUMMYFUNCTION("split(A184,"","")"),45.6108472)</f>
        <v>45.6108472</v>
      </c>
      <c r="D184" s="19">
        <f>IFERROR(__xludf.DUMMYFUNCTION("""COMPUTED_VALUE"""),-73.71443426)</f>
        <v>-73.71443426</v>
      </c>
    </row>
    <row r="185">
      <c r="A185" s="20" t="s">
        <v>339</v>
      </c>
      <c r="C185" s="19">
        <f>IFERROR(__xludf.DUMMYFUNCTION("split(A185,"","")"),45.59846703)</f>
        <v>45.59846703</v>
      </c>
      <c r="D185" s="19">
        <f>IFERROR(__xludf.DUMMYFUNCTION("""COMPUTED_VALUE"""),-73.78923475)</f>
        <v>-73.78923475</v>
      </c>
    </row>
    <row r="186">
      <c r="A186" s="20" t="s">
        <v>341</v>
      </c>
      <c r="C186" s="19">
        <f>IFERROR(__xludf.DUMMYFUNCTION("split(A186,"","")"),45.59163391)</f>
        <v>45.59163391</v>
      </c>
      <c r="D186" s="19">
        <f>IFERROR(__xludf.DUMMYFUNCTION("""COMPUTED_VALUE"""),-73.82074349)</f>
        <v>-73.82074349</v>
      </c>
    </row>
    <row r="187">
      <c r="A187" s="20" t="s">
        <v>343</v>
      </c>
      <c r="C187" s="19">
        <f>IFERROR(__xludf.DUMMYFUNCTION("split(A187,"","")"),45.590661)</f>
        <v>45.590661</v>
      </c>
      <c r="D187" s="19">
        <f>IFERROR(__xludf.DUMMYFUNCTION("""COMPUTED_VALUE"""),-73.828896)</f>
        <v>-73.828896</v>
      </c>
    </row>
    <row r="188">
      <c r="A188" s="20" t="s">
        <v>346</v>
      </c>
      <c r="C188" s="19">
        <f>IFERROR(__xludf.DUMMYFUNCTION("split(A188,"","")"),45.62597679)</f>
        <v>45.62597679</v>
      </c>
      <c r="D188" s="19">
        <f>IFERROR(__xludf.DUMMYFUNCTION("""COMPUTED_VALUE"""),-73.5452385)</f>
        <v>-73.5452385</v>
      </c>
    </row>
    <row r="189">
      <c r="A189" s="20" t="s">
        <v>348</v>
      </c>
      <c r="C189" s="19">
        <f>IFERROR(__xludf.DUMMYFUNCTION("split(A189,"","")"),45.62542559)</f>
        <v>45.62542559</v>
      </c>
      <c r="D189" s="19">
        <f>IFERROR(__xludf.DUMMYFUNCTION("""COMPUTED_VALUE"""),-73.5447153)</f>
        <v>-73.5447153</v>
      </c>
    </row>
    <row r="190">
      <c r="A190" s="20" t="s">
        <v>350</v>
      </c>
      <c r="C190" s="19">
        <f>IFERROR(__xludf.DUMMYFUNCTION("split(A190,"","")"),45.62498648)</f>
        <v>45.62498648</v>
      </c>
      <c r="D190" s="19">
        <f>IFERROR(__xludf.DUMMYFUNCTION("""COMPUTED_VALUE"""),-73.5432791)</f>
        <v>-73.5432791</v>
      </c>
    </row>
    <row r="191">
      <c r="A191" s="20" t="s">
        <v>352</v>
      </c>
      <c r="C191" s="19">
        <f>IFERROR(__xludf.DUMMYFUNCTION("split(A191,"","")"),45.62531196)</f>
        <v>45.62531196</v>
      </c>
      <c r="D191" s="19">
        <f>IFERROR(__xludf.DUMMYFUNCTION("""COMPUTED_VALUE"""),-73.5428221)</f>
        <v>-73.5428221</v>
      </c>
    </row>
    <row r="192">
      <c r="A192" s="20" t="s">
        <v>354</v>
      </c>
      <c r="C192" s="19">
        <f>IFERROR(__xludf.DUMMYFUNCTION("split(A192,"","")"),42.87291818)</f>
        <v>42.87291818</v>
      </c>
      <c r="D192" s="19">
        <f>IFERROR(__xludf.DUMMYFUNCTION("""COMPUTED_VALUE"""),-80.07252782)</f>
        <v>-80.07252782</v>
      </c>
    </row>
    <row r="193">
      <c r="A193" s="20" t="s">
        <v>356</v>
      </c>
      <c r="C193" s="19">
        <f>IFERROR(__xludf.DUMMYFUNCTION("split(A193,"","")"),42.90359868)</f>
        <v>42.90359868</v>
      </c>
      <c r="D193" s="19">
        <f>IFERROR(__xludf.DUMMYFUNCTION("""COMPUTED_VALUE"""),-80.07954986)</f>
        <v>-80.07954986</v>
      </c>
    </row>
    <row r="194">
      <c r="A194" s="20" t="s">
        <v>358</v>
      </c>
      <c r="C194" s="19">
        <f>IFERROR(__xludf.DUMMYFUNCTION("split(A194,"","")"),42.93507904)</f>
        <v>42.93507904</v>
      </c>
      <c r="D194" s="19">
        <f>IFERROR(__xludf.DUMMYFUNCTION("""COMPUTED_VALUE"""),-80.06134406)</f>
        <v>-80.06134406</v>
      </c>
    </row>
    <row r="195">
      <c r="A195" s="20" t="s">
        <v>360</v>
      </c>
      <c r="C195" s="19">
        <f>IFERROR(__xludf.DUMMYFUNCTION("split(A195,"","")"),42.96002938)</f>
        <v>42.96002938</v>
      </c>
      <c r="D195" s="19">
        <f>IFERROR(__xludf.DUMMYFUNCTION("""COMPUTED_VALUE"""),-80.02273289)</f>
        <v>-80.02273289</v>
      </c>
    </row>
    <row r="196">
      <c r="A196" s="20" t="s">
        <v>362</v>
      </c>
      <c r="C196" s="19">
        <f>IFERROR(__xludf.DUMMYFUNCTION("split(A196,"","")"),42.97622076)</f>
        <v>42.97622076</v>
      </c>
      <c r="D196" s="19">
        <f>IFERROR(__xludf.DUMMYFUNCTION("""COMPUTED_VALUE"""),-80.01203622)</f>
        <v>-80.01203622</v>
      </c>
    </row>
    <row r="197">
      <c r="A197" s="20" t="s">
        <v>364</v>
      </c>
      <c r="C197" s="19">
        <f>IFERROR(__xludf.DUMMYFUNCTION("split(A197,"","")"),42.98609298)</f>
        <v>42.98609298</v>
      </c>
      <c r="D197" s="19">
        <f>IFERROR(__xludf.DUMMYFUNCTION("""COMPUTED_VALUE"""),-80.00545094)</f>
        <v>-80.00545094</v>
      </c>
    </row>
    <row r="198">
      <c r="A198" s="20" t="s">
        <v>366</v>
      </c>
      <c r="C198" s="19">
        <f>IFERROR(__xludf.DUMMYFUNCTION("split(A198,"","")"),42.99815254)</f>
        <v>42.99815254</v>
      </c>
      <c r="D198" s="19">
        <f>IFERROR(__xludf.DUMMYFUNCTION("""COMPUTED_VALUE"""),-79.99739991)</f>
        <v>-79.99739991</v>
      </c>
    </row>
    <row r="199">
      <c r="A199" s="20" t="s">
        <v>368</v>
      </c>
      <c r="C199" s="19">
        <f>IFERROR(__xludf.DUMMYFUNCTION("split(A199,"","")"),43.0023928)</f>
        <v>43.0023928</v>
      </c>
      <c r="D199" s="19">
        <f>IFERROR(__xludf.DUMMYFUNCTION("""COMPUTED_VALUE"""),-79.99455947)</f>
        <v>-79.99455947</v>
      </c>
    </row>
    <row r="200">
      <c r="A200" s="20" t="s">
        <v>370</v>
      </c>
      <c r="C200" s="19">
        <f>IFERROR(__xludf.DUMMYFUNCTION("split(A200,"","")"),43.00514562)</f>
        <v>43.00514562</v>
      </c>
      <c r="D200" s="19">
        <f>IFERROR(__xludf.DUMMYFUNCTION("""COMPUTED_VALUE"""),-79.9927165)</f>
        <v>-79.9927165</v>
      </c>
    </row>
    <row r="201">
      <c r="A201" s="20" t="s">
        <v>370</v>
      </c>
      <c r="C201" s="19">
        <f>IFERROR(__xludf.DUMMYFUNCTION("split(A201,"","")"),43.00514562)</f>
        <v>43.00514562</v>
      </c>
      <c r="D201" s="19">
        <f>IFERROR(__xludf.DUMMYFUNCTION("""COMPUTED_VALUE"""),-79.9927165)</f>
        <v>-79.9927165</v>
      </c>
    </row>
    <row r="202">
      <c r="A202" s="20" t="s">
        <v>372</v>
      </c>
      <c r="C202" s="19">
        <f>IFERROR(__xludf.DUMMYFUNCTION("split(A202,"","")"),43.08922216)</f>
        <v>43.08922216</v>
      </c>
      <c r="D202" s="19">
        <f>IFERROR(__xludf.DUMMYFUNCTION("""COMPUTED_VALUE"""),-79.88613919)</f>
        <v>-79.88613919</v>
      </c>
    </row>
    <row r="203">
      <c r="A203" s="20" t="s">
        <v>374</v>
      </c>
      <c r="C203" s="19">
        <f>IFERROR(__xludf.DUMMYFUNCTION("split(A203,"","")"),43.09442195)</f>
        <v>43.09442195</v>
      </c>
      <c r="D203" s="19">
        <f>IFERROR(__xludf.DUMMYFUNCTION("""COMPUTED_VALUE"""),-79.88407795)</f>
        <v>-79.88407795</v>
      </c>
    </row>
    <row r="204">
      <c r="A204" s="20" t="s">
        <v>376</v>
      </c>
      <c r="C204" s="19">
        <f>IFERROR(__xludf.DUMMYFUNCTION("split(A204,"","")"),43.09485012)</f>
        <v>43.09485012</v>
      </c>
      <c r="D204" s="19">
        <f>IFERROR(__xludf.DUMMYFUNCTION("""COMPUTED_VALUE"""),-79.88390739)</f>
        <v>-79.88390739</v>
      </c>
    </row>
    <row r="205">
      <c r="A205" s="20" t="s">
        <v>378</v>
      </c>
      <c r="C205" s="19">
        <f>IFERROR(__xludf.DUMMYFUNCTION("split(A205,"","")"),43.09635933)</f>
        <v>43.09635933</v>
      </c>
      <c r="D205" s="19">
        <f>IFERROR(__xludf.DUMMYFUNCTION("""COMPUTED_VALUE"""),-79.88330952)</f>
        <v>-79.88330952</v>
      </c>
    </row>
    <row r="206">
      <c r="A206" s="20" t="s">
        <v>380</v>
      </c>
      <c r="C206" s="19">
        <f>IFERROR(__xludf.DUMMYFUNCTION("split(A206,"","")"),43.17931263)</f>
        <v>43.17931263</v>
      </c>
      <c r="D206" s="19">
        <f>IFERROR(__xludf.DUMMYFUNCTION("""COMPUTED_VALUE"""),-79.84369409)</f>
        <v>-79.84369409</v>
      </c>
    </row>
    <row r="207">
      <c r="A207" s="20" t="s">
        <v>382</v>
      </c>
      <c r="C207" s="19">
        <f>IFERROR(__xludf.DUMMYFUNCTION("split(A207,"","")"),43.21594606)</f>
        <v>43.21594606</v>
      </c>
      <c r="D207" s="19">
        <f>IFERROR(__xludf.DUMMYFUNCTION("""COMPUTED_VALUE"""),-79.80101656)</f>
        <v>-79.80101656</v>
      </c>
    </row>
    <row r="208">
      <c r="A208" s="20" t="s">
        <v>384</v>
      </c>
      <c r="C208" s="19">
        <f>IFERROR(__xludf.DUMMYFUNCTION("split(A208,"","")"),43.25527348)</f>
        <v>43.25527348</v>
      </c>
      <c r="D208" s="19">
        <f>IFERROR(__xludf.DUMMYFUNCTION("""COMPUTED_VALUE"""),-79.78862862)</f>
        <v>-79.78862862</v>
      </c>
    </row>
    <row r="209">
      <c r="A209" s="20" t="s">
        <v>386</v>
      </c>
      <c r="C209" s="19">
        <f>IFERROR(__xludf.DUMMYFUNCTION("split(A209,"","")"),43.40384024)</f>
        <v>43.40384024</v>
      </c>
      <c r="D209" s="19">
        <f>IFERROR(__xludf.DUMMYFUNCTION("""COMPUTED_VALUE"""),-79.7362667)</f>
        <v>-79.7362667</v>
      </c>
    </row>
    <row r="210">
      <c r="A210" s="20" t="s">
        <v>388</v>
      </c>
      <c r="C210" s="19">
        <f>IFERROR(__xludf.DUMMYFUNCTION("split(A210,"","")"),43.41514983)</f>
        <v>43.41514983</v>
      </c>
      <c r="D210" s="19">
        <f>IFERROR(__xludf.DUMMYFUNCTION("""COMPUTED_VALUE"""),-79.72422215)</f>
        <v>-79.72422215</v>
      </c>
    </row>
    <row r="211">
      <c r="A211" s="20" t="s">
        <v>389</v>
      </c>
      <c r="C211" s="19">
        <f>IFERROR(__xludf.DUMMYFUNCTION("split(A211,"","")"),43.41515483)</f>
        <v>43.41515483</v>
      </c>
      <c r="D211" s="19">
        <f>IFERROR(__xludf.DUMMYFUNCTION("""COMPUTED_VALUE"""),-79.72421938)</f>
        <v>-79.72421938</v>
      </c>
    </row>
    <row r="212">
      <c r="A212" s="20" t="s">
        <v>392</v>
      </c>
      <c r="C212" s="19">
        <f>IFERROR(__xludf.DUMMYFUNCTION("split(A212,"","")"),45.54845076)</f>
        <v>45.54845076</v>
      </c>
      <c r="D212" s="19">
        <f>IFERROR(__xludf.DUMMYFUNCTION("""COMPUTED_VALUE"""),-73.92590443)</f>
        <v>-73.92590443</v>
      </c>
    </row>
    <row r="213">
      <c r="A213" s="20" t="s">
        <v>394</v>
      </c>
      <c r="C213" s="19">
        <f>IFERROR(__xludf.DUMMYFUNCTION("split(A213,"","")"),45.54837137)</f>
        <v>45.54837137</v>
      </c>
      <c r="D213" s="19">
        <f>IFERROR(__xludf.DUMMYFUNCTION("""COMPUTED_VALUE"""),-73.92602961)</f>
        <v>-73.92602961</v>
      </c>
    </row>
    <row r="214">
      <c r="A214" s="20" t="s">
        <v>396</v>
      </c>
      <c r="C214" s="19">
        <f>IFERROR(__xludf.DUMMYFUNCTION("split(A214,"","")"),43.68210294)</f>
        <v>43.68210294</v>
      </c>
      <c r="D214" s="19">
        <f>IFERROR(__xludf.DUMMYFUNCTION("""COMPUTED_VALUE"""),-79.59529799)</f>
        <v>-79.59529799</v>
      </c>
    </row>
    <row r="215">
      <c r="A215" s="20" t="s">
        <v>400</v>
      </c>
      <c r="C215" s="19">
        <f>IFERROR(__xludf.DUMMYFUNCTION("split(A215,"","")"),44.96120816)</f>
        <v>44.96120816</v>
      </c>
      <c r="D215" s="19">
        <f>IFERROR(__xludf.DUMMYFUNCTION("""COMPUTED_VALUE"""),-75.09881614)</f>
        <v>-75.09881614</v>
      </c>
    </row>
    <row r="216">
      <c r="A216" s="20" t="s">
        <v>404</v>
      </c>
      <c r="C216" s="19">
        <f>IFERROR(__xludf.DUMMYFUNCTION("split(A216,"","")"),44.81461489)</f>
        <v>44.81461489</v>
      </c>
      <c r="D216" s="19">
        <f>IFERROR(__xludf.DUMMYFUNCTION("""COMPUTED_VALUE"""),-75.40207704)</f>
        <v>-75.40207704</v>
      </c>
    </row>
    <row r="217">
      <c r="A217" s="20" t="s">
        <v>408</v>
      </c>
      <c r="C217" s="19">
        <f>IFERROR(__xludf.DUMMYFUNCTION("split(A217,"","")"),44.80869951)</f>
        <v>44.80869951</v>
      </c>
      <c r="D217" s="19">
        <f>IFERROR(__xludf.DUMMYFUNCTION("""COMPUTED_VALUE"""),-75.41159971)</f>
        <v>-75.41159971</v>
      </c>
    </row>
    <row r="218">
      <c r="A218" s="20" t="s">
        <v>412</v>
      </c>
      <c r="C218" s="19">
        <f>IFERROR(__xludf.DUMMYFUNCTION("split(A218,"","")"),44.80743499)</f>
        <v>44.80743499</v>
      </c>
      <c r="D218" s="19">
        <f>IFERROR(__xludf.DUMMYFUNCTION("""COMPUTED_VALUE"""),-75.41390812)</f>
        <v>-75.41390812</v>
      </c>
    </row>
    <row r="219">
      <c r="A219" s="20" t="s">
        <v>412</v>
      </c>
      <c r="C219" s="19">
        <f>IFERROR(__xludf.DUMMYFUNCTION("split(A219,"","")"),44.80743499)</f>
        <v>44.80743499</v>
      </c>
      <c r="D219" s="19">
        <f>IFERROR(__xludf.DUMMYFUNCTION("""COMPUTED_VALUE"""),-75.41390812)</f>
        <v>-75.41390812</v>
      </c>
    </row>
    <row r="220">
      <c r="A220" s="20" t="s">
        <v>416</v>
      </c>
      <c r="C220" s="19">
        <f>IFERROR(__xludf.DUMMYFUNCTION("split(A220,"","")"),44.8026487)</f>
        <v>44.8026487</v>
      </c>
      <c r="D220" s="19">
        <f>IFERROR(__xludf.DUMMYFUNCTION("""COMPUTED_VALUE"""),-75.42197301)</f>
        <v>-75.42197301</v>
      </c>
    </row>
    <row r="221">
      <c r="A221" s="20" t="s">
        <v>420</v>
      </c>
      <c r="C221" s="19">
        <f>IFERROR(__xludf.DUMMYFUNCTION("split(A221,"","")"),44.75221579)</f>
        <v>44.75221579</v>
      </c>
      <c r="D221" s="19">
        <f>IFERROR(__xludf.DUMMYFUNCTION("""COMPUTED_VALUE"""),-75.48671065)</f>
        <v>-75.48671065</v>
      </c>
    </row>
    <row r="222">
      <c r="A222" s="20" t="s">
        <v>424</v>
      </c>
      <c r="C222" s="19">
        <f>IFERROR(__xludf.DUMMYFUNCTION("split(A222,"","")"),44.74712136)</f>
        <v>44.74712136</v>
      </c>
      <c r="D222" s="19">
        <f>IFERROR(__xludf.DUMMYFUNCTION("""COMPUTED_VALUE"""),-75.49187182)</f>
        <v>-75.49187182</v>
      </c>
    </row>
    <row r="223">
      <c r="A223" s="20" t="s">
        <v>428</v>
      </c>
      <c r="C223" s="19">
        <f>IFERROR(__xludf.DUMMYFUNCTION("split(A223,"","")"),44.7381364)</f>
        <v>44.7381364</v>
      </c>
      <c r="D223" s="19">
        <f>IFERROR(__xludf.DUMMYFUNCTION("""COMPUTED_VALUE"""),-75.50876994)</f>
        <v>-75.50876994</v>
      </c>
    </row>
    <row r="224">
      <c r="A224" s="20" t="s">
        <v>428</v>
      </c>
      <c r="C224" s="19">
        <f>IFERROR(__xludf.DUMMYFUNCTION("split(A224,"","")"),44.7381364)</f>
        <v>44.7381364</v>
      </c>
      <c r="D224" s="19">
        <f>IFERROR(__xludf.DUMMYFUNCTION("""COMPUTED_VALUE"""),-75.50876994)</f>
        <v>-75.50876994</v>
      </c>
    </row>
    <row r="225">
      <c r="A225" s="20" t="s">
        <v>428</v>
      </c>
      <c r="C225" s="19">
        <f>IFERROR(__xludf.DUMMYFUNCTION("split(A225,"","")"),44.7381364)</f>
        <v>44.7381364</v>
      </c>
      <c r="D225" s="19">
        <f>IFERROR(__xludf.DUMMYFUNCTION("""COMPUTED_VALUE"""),-75.50876994)</f>
        <v>-75.50876994</v>
      </c>
    </row>
    <row r="226">
      <c r="A226" s="20" t="s">
        <v>432</v>
      </c>
      <c r="C226" s="19">
        <f>IFERROR(__xludf.DUMMYFUNCTION("split(A226,"","")"),44.7371458)</f>
        <v>44.7371458</v>
      </c>
      <c r="D226" s="19">
        <f>IFERROR(__xludf.DUMMYFUNCTION("""COMPUTED_VALUE"""),-75.51071222)</f>
        <v>-75.51071222</v>
      </c>
    </row>
    <row r="227">
      <c r="A227" s="20" t="s">
        <v>436</v>
      </c>
      <c r="C227" s="19">
        <f>IFERROR(__xludf.DUMMYFUNCTION("split(A227,"","")"),44.69296663)</f>
        <v>44.69296663</v>
      </c>
      <c r="D227" s="19">
        <f>IFERROR(__xludf.DUMMYFUNCTION("""COMPUTED_VALUE"""),-75.57635409)</f>
        <v>-75.57635409</v>
      </c>
    </row>
    <row r="228">
      <c r="A228" s="20" t="s">
        <v>440</v>
      </c>
      <c r="C228" s="19">
        <f>IFERROR(__xludf.DUMMYFUNCTION("split(A228,"","")"),44.65089015)</f>
        <v>44.65089015</v>
      </c>
      <c r="D228" s="19">
        <f>IFERROR(__xludf.DUMMYFUNCTION("""COMPUTED_VALUE"""),-75.61153408)</f>
        <v>-75.61153408</v>
      </c>
    </row>
    <row r="229">
      <c r="A229" s="20" t="s">
        <v>444</v>
      </c>
      <c r="C229" s="19">
        <f>IFERROR(__xludf.DUMMYFUNCTION("split(A229,"","")"),44.63778814)</f>
        <v>44.63778814</v>
      </c>
      <c r="D229" s="19">
        <f>IFERROR(__xludf.DUMMYFUNCTION("""COMPUTED_VALUE"""),-75.6349687)</f>
        <v>-75.6349687</v>
      </c>
    </row>
    <row r="230">
      <c r="A230" s="20" t="s">
        <v>448</v>
      </c>
      <c r="C230" s="19">
        <f>IFERROR(__xludf.DUMMYFUNCTION("split(A230,"","")"),44.21135541)</f>
        <v>44.21135541</v>
      </c>
      <c r="D230" s="19">
        <f>IFERROR(__xludf.DUMMYFUNCTION("""COMPUTED_VALUE"""),-77.33791496)</f>
        <v>-77.33791496</v>
      </c>
    </row>
    <row r="231">
      <c r="A231" s="20" t="s">
        <v>452</v>
      </c>
      <c r="C231" s="19">
        <f>IFERROR(__xludf.DUMMYFUNCTION("split(A231,"","")"),44.21101153)</f>
        <v>44.21101153</v>
      </c>
      <c r="D231" s="19">
        <f>IFERROR(__xludf.DUMMYFUNCTION("""COMPUTED_VALUE"""),-77.35594233)</f>
        <v>-77.35594233</v>
      </c>
    </row>
    <row r="232">
      <c r="A232" s="20" t="s">
        <v>456</v>
      </c>
      <c r="C232" s="19">
        <f>IFERROR(__xludf.DUMMYFUNCTION("split(A232,"","")"),44.21080027)</f>
        <v>44.21080027</v>
      </c>
      <c r="D232" s="19">
        <f>IFERROR(__xludf.DUMMYFUNCTION("""COMPUTED_VALUE"""),-77.36758836)</f>
        <v>-77.36758836</v>
      </c>
    </row>
    <row r="233">
      <c r="A233" s="20" t="s">
        <v>460</v>
      </c>
      <c r="C233" s="19">
        <f>IFERROR(__xludf.DUMMYFUNCTION("split(A233,"","")"),44.2020406)</f>
        <v>44.2020406</v>
      </c>
      <c r="D233" s="19">
        <f>IFERROR(__xludf.DUMMYFUNCTION("""COMPUTED_VALUE"""),-77.40758927)</f>
        <v>-77.40758927</v>
      </c>
    </row>
    <row r="234">
      <c r="A234" s="20" t="s">
        <v>464</v>
      </c>
      <c r="C234" s="19">
        <f>IFERROR(__xludf.DUMMYFUNCTION("split(A234,"","")"),44.18695316)</f>
        <v>44.18695316</v>
      </c>
      <c r="D234" s="19">
        <f>IFERROR(__xludf.DUMMYFUNCTION("""COMPUTED_VALUE"""),-77.44421194)</f>
        <v>-77.44421194</v>
      </c>
    </row>
    <row r="235">
      <c r="A235" s="20" t="s">
        <v>468</v>
      </c>
      <c r="C235" s="19">
        <f>IFERROR(__xludf.DUMMYFUNCTION("split(A235,"","")"),44.17484974)</f>
        <v>44.17484974</v>
      </c>
      <c r="D235" s="19">
        <f>IFERROR(__xludf.DUMMYFUNCTION("""COMPUTED_VALUE"""),-77.47988984)</f>
        <v>-77.47988984</v>
      </c>
    </row>
    <row r="236">
      <c r="A236" s="20" t="s">
        <v>472</v>
      </c>
      <c r="C236" s="19">
        <f>IFERROR(__xludf.DUMMYFUNCTION("split(A236,"","")"),44.15543509)</f>
        <v>44.15543509</v>
      </c>
      <c r="D236" s="19">
        <f>IFERROR(__xludf.DUMMYFUNCTION("""COMPUTED_VALUE"""),-77.54376558)</f>
        <v>-77.54376558</v>
      </c>
    </row>
    <row r="237">
      <c r="A237" s="20" t="s">
        <v>476</v>
      </c>
      <c r="C237" s="19">
        <f>IFERROR(__xludf.DUMMYFUNCTION("split(A237,"","")"),44.1551739)</f>
        <v>44.1551739</v>
      </c>
      <c r="D237" s="19">
        <f>IFERROR(__xludf.DUMMYFUNCTION("""COMPUTED_VALUE"""),-77.54451257)</f>
        <v>-77.54451257</v>
      </c>
    </row>
    <row r="238">
      <c r="A238" s="20" t="s">
        <v>480</v>
      </c>
      <c r="C238" s="19">
        <f>IFERROR(__xludf.DUMMYFUNCTION("split(A238,"","")"),44.15180342)</f>
        <v>44.15180342</v>
      </c>
      <c r="D238" s="19">
        <f>IFERROR(__xludf.DUMMYFUNCTION("""COMPUTED_VALUE"""),-77.55802046)</f>
        <v>-77.55802046</v>
      </c>
    </row>
    <row r="239">
      <c r="A239" s="20" t="s">
        <v>484</v>
      </c>
      <c r="C239" s="19">
        <f>IFERROR(__xludf.DUMMYFUNCTION("split(A239,"","")"),44.14896082)</f>
        <v>44.14896082</v>
      </c>
      <c r="D239" s="19">
        <f>IFERROR(__xludf.DUMMYFUNCTION("""COMPUTED_VALUE"""),-77.56914252)</f>
        <v>-77.56914252</v>
      </c>
    </row>
    <row r="240">
      <c r="A240" s="20" t="s">
        <v>488</v>
      </c>
      <c r="C240" s="19">
        <f>IFERROR(__xludf.DUMMYFUNCTION("split(A240,"","")"),44.1453317)</f>
        <v>44.1453317</v>
      </c>
      <c r="D240" s="19">
        <f>IFERROR(__xludf.DUMMYFUNCTION("""COMPUTED_VALUE"""),-77.57933549)</f>
        <v>-77.57933549</v>
      </c>
    </row>
    <row r="241">
      <c r="A241" s="20" t="s">
        <v>492</v>
      </c>
      <c r="C241" s="19">
        <f>IFERROR(__xludf.DUMMYFUNCTION("split(A241,"","")"),44.13685263)</f>
        <v>44.13685263</v>
      </c>
      <c r="D241" s="19">
        <f>IFERROR(__xludf.DUMMYFUNCTION("""COMPUTED_VALUE"""),-77.61495287)</f>
        <v>-77.61495287</v>
      </c>
    </row>
    <row r="242">
      <c r="A242" s="20" t="s">
        <v>496</v>
      </c>
      <c r="C242" s="19">
        <f>IFERROR(__xludf.DUMMYFUNCTION("split(A242,"","")"),44.13055032)</f>
        <v>44.13055032</v>
      </c>
      <c r="D242" s="19">
        <f>IFERROR(__xludf.DUMMYFUNCTION("""COMPUTED_VALUE"""),-77.63411723)</f>
        <v>-77.63411723</v>
      </c>
    </row>
    <row r="243">
      <c r="A243" s="20" t="s">
        <v>500</v>
      </c>
      <c r="C243" s="19">
        <f>IFERROR(__xludf.DUMMYFUNCTION("split(A243,"","")"),44.12895924)</f>
        <v>44.12895924</v>
      </c>
      <c r="D243" s="19">
        <f>IFERROR(__xludf.DUMMYFUNCTION("""COMPUTED_VALUE"""),-77.6410526)</f>
        <v>-77.6410526</v>
      </c>
    </row>
    <row r="244">
      <c r="A244" s="20" t="s">
        <v>500</v>
      </c>
      <c r="C244" s="19">
        <f>IFERROR(__xludf.DUMMYFUNCTION("split(A244,"","")"),44.12895924)</f>
        <v>44.12895924</v>
      </c>
      <c r="D244" s="19">
        <f>IFERROR(__xludf.DUMMYFUNCTION("""COMPUTED_VALUE"""),-77.6410526)</f>
        <v>-77.6410526</v>
      </c>
    </row>
    <row r="245">
      <c r="A245" s="20" t="s">
        <v>504</v>
      </c>
      <c r="C245" s="19">
        <f>IFERROR(__xludf.DUMMYFUNCTION("split(A245,"","")"),44.11847608)</f>
        <v>44.11847608</v>
      </c>
      <c r="D245" s="19">
        <f>IFERROR(__xludf.DUMMYFUNCTION("""COMPUTED_VALUE"""),-77.69769939)</f>
        <v>-77.69769939</v>
      </c>
    </row>
    <row r="246">
      <c r="A246" s="20" t="s">
        <v>508</v>
      </c>
      <c r="C246" s="19">
        <f>IFERROR(__xludf.DUMMYFUNCTION("split(A246,"","")"),44.07408305)</f>
        <v>44.07408305</v>
      </c>
      <c r="D246" s="19">
        <f>IFERROR(__xludf.DUMMYFUNCTION("""COMPUTED_VALUE"""),-77.905895)</f>
        <v>-77.905895</v>
      </c>
    </row>
    <row r="247">
      <c r="A247" s="20" t="s">
        <v>512</v>
      </c>
      <c r="C247" s="19">
        <f>IFERROR(__xludf.DUMMYFUNCTION("split(A247,"","")"),44.0662406)</f>
        <v>44.0662406</v>
      </c>
      <c r="D247" s="19">
        <f>IFERROR(__xludf.DUMMYFUNCTION("""COMPUTED_VALUE"""),-77.94017848)</f>
        <v>-77.94017848</v>
      </c>
    </row>
    <row r="248">
      <c r="A248" s="20" t="s">
        <v>516</v>
      </c>
      <c r="C248" s="19">
        <f>IFERROR(__xludf.DUMMYFUNCTION("split(A248,"","")"),44.02794189)</f>
        <v>44.02794189</v>
      </c>
      <c r="D248" s="19">
        <f>IFERROR(__xludf.DUMMYFUNCTION("""COMPUTED_VALUE"""),-78.15048092)</f>
        <v>-78.15048092</v>
      </c>
    </row>
    <row r="249">
      <c r="A249" s="20" t="s">
        <v>520</v>
      </c>
      <c r="C249" s="19">
        <f>IFERROR(__xludf.DUMMYFUNCTION("split(A249,"","")"),44.00671111)</f>
        <v>44.00671111</v>
      </c>
      <c r="D249" s="19">
        <f>IFERROR(__xludf.DUMMYFUNCTION("""COMPUTED_VALUE"""),-78.23065562)</f>
        <v>-78.23065562</v>
      </c>
    </row>
    <row r="250">
      <c r="A250" s="20" t="s">
        <v>524</v>
      </c>
      <c r="C250" s="19">
        <f>IFERROR(__xludf.DUMMYFUNCTION("split(A250,"","")"),43.98021823)</f>
        <v>43.98021823</v>
      </c>
      <c r="D250" s="19">
        <f>IFERROR(__xludf.DUMMYFUNCTION("""COMPUTED_VALUE"""),-78.35349209)</f>
        <v>-78.35349209</v>
      </c>
    </row>
    <row r="251">
      <c r="A251" s="20" t="s">
        <v>528</v>
      </c>
      <c r="C251" s="19">
        <f>IFERROR(__xludf.DUMMYFUNCTION("split(A251,"","")"),43.97530481)</f>
        <v>43.97530481</v>
      </c>
      <c r="D251" s="19">
        <f>IFERROR(__xludf.DUMMYFUNCTION("""COMPUTED_VALUE"""),-78.39822517)</f>
        <v>-78.39822517</v>
      </c>
    </row>
    <row r="252">
      <c r="A252" s="20" t="s">
        <v>532</v>
      </c>
      <c r="C252" s="19">
        <f>IFERROR(__xludf.DUMMYFUNCTION("split(A252,"","")"),43.96912801)</f>
        <v>43.96912801</v>
      </c>
      <c r="D252" s="19">
        <f>IFERROR(__xludf.DUMMYFUNCTION("""COMPUTED_VALUE"""),-78.43583236)</f>
        <v>-78.43583236</v>
      </c>
    </row>
    <row r="253">
      <c r="A253" s="20" t="s">
        <v>536</v>
      </c>
      <c r="C253" s="19">
        <f>IFERROR(__xludf.DUMMYFUNCTION("split(A253,"","")"),43.96648181)</f>
        <v>43.96648181</v>
      </c>
      <c r="D253" s="19">
        <f>IFERROR(__xludf.DUMMYFUNCTION("""COMPUTED_VALUE"""),-78.46993086)</f>
        <v>-78.46993086</v>
      </c>
    </row>
    <row r="254">
      <c r="A254" s="20" t="s">
        <v>540</v>
      </c>
      <c r="C254" s="19">
        <f>IFERROR(__xludf.DUMMYFUNCTION("split(A254,"","")"),43.94665948)</f>
        <v>43.94665948</v>
      </c>
      <c r="D254" s="19">
        <f>IFERROR(__xludf.DUMMYFUNCTION("""COMPUTED_VALUE"""),-78.64027647)</f>
        <v>-78.64027647</v>
      </c>
    </row>
    <row r="255">
      <c r="A255" s="20" t="s">
        <v>544</v>
      </c>
      <c r="C255" s="19">
        <f>IFERROR(__xludf.DUMMYFUNCTION("split(A255,"","")"),43.95072404)</f>
        <v>43.95072404</v>
      </c>
      <c r="D255" s="19">
        <f>IFERROR(__xludf.DUMMYFUNCTION("""COMPUTED_VALUE"""),-78.69156964)</f>
        <v>-78.69156964</v>
      </c>
    </row>
    <row r="256">
      <c r="A256" s="20" t="s">
        <v>548</v>
      </c>
      <c r="C256" s="19">
        <f>IFERROR(__xludf.DUMMYFUNCTION("split(A256,"","")"),43.89382775)</f>
        <v>43.89382775</v>
      </c>
      <c r="D256" s="19">
        <f>IFERROR(__xludf.DUMMYFUNCTION("""COMPUTED_VALUE"""),-79.07814702)</f>
        <v>-79.07814702</v>
      </c>
    </row>
    <row r="257">
      <c r="A257" s="20" t="s">
        <v>552</v>
      </c>
      <c r="C257" s="19">
        <f>IFERROR(__xludf.DUMMYFUNCTION("split(A257,"","")"),43.835887)</f>
        <v>43.835887</v>
      </c>
      <c r="D257" s="19">
        <f>IFERROR(__xludf.DUMMYFUNCTION("""COMPUTED_VALUE"""),-79.20795505)</f>
        <v>-79.20795505</v>
      </c>
    </row>
    <row r="258">
      <c r="A258" s="20" t="s">
        <v>556</v>
      </c>
      <c r="C258" s="19">
        <f>IFERROR(__xludf.DUMMYFUNCTION("split(A258,"","")"),43.82615566)</f>
        <v>43.82615566</v>
      </c>
      <c r="D258" s="19">
        <f>IFERROR(__xludf.DUMMYFUNCTION("""COMPUTED_VALUE"""),-79.2338219)</f>
        <v>-79.2338219</v>
      </c>
    </row>
    <row r="259">
      <c r="A259" s="20" t="s">
        <v>560</v>
      </c>
      <c r="C259" s="19">
        <f>IFERROR(__xludf.DUMMYFUNCTION("split(A259,"","")"),43.81285778)</f>
        <v>43.81285778</v>
      </c>
      <c r="D259" s="19">
        <f>IFERROR(__xludf.DUMMYFUNCTION("""COMPUTED_VALUE"""),-79.29225916)</f>
        <v>-79.29225916</v>
      </c>
    </row>
    <row r="260">
      <c r="A260" s="20" t="s">
        <v>564</v>
      </c>
      <c r="C260" s="19">
        <f>IFERROR(__xludf.DUMMYFUNCTION("split(A260,"","")"),43.81161818)</f>
        <v>43.81161818</v>
      </c>
      <c r="D260" s="19">
        <f>IFERROR(__xludf.DUMMYFUNCTION("""COMPUTED_VALUE"""),-79.29763159)</f>
        <v>-79.29763159</v>
      </c>
    </row>
    <row r="261">
      <c r="A261" s="20" t="s">
        <v>568</v>
      </c>
      <c r="C261" s="19">
        <f>IFERROR(__xludf.DUMMYFUNCTION("split(A261,"","")"),43.92440291)</f>
        <v>43.92440291</v>
      </c>
      <c r="D261" s="19">
        <f>IFERROR(__xludf.DUMMYFUNCTION("""COMPUTED_VALUE"""),-78.99979559)</f>
        <v>-78.99979559</v>
      </c>
    </row>
    <row r="262">
      <c r="A262" s="20" t="s">
        <v>573</v>
      </c>
      <c r="C262" s="19">
        <f>IFERROR(__xludf.DUMMYFUNCTION("split(A262,"","")"),43.92039343)</f>
        <v>43.92039343</v>
      </c>
      <c r="D262" s="19">
        <f>IFERROR(__xludf.DUMMYFUNCTION("""COMPUTED_VALUE"""),-79.01629756)</f>
        <v>-79.01629756</v>
      </c>
    </row>
    <row r="263">
      <c r="A263" s="20" t="s">
        <v>578</v>
      </c>
      <c r="C263" s="19">
        <f>IFERROR(__xludf.DUMMYFUNCTION("split(A263,"","")"),43.85108449)</f>
        <v>43.85108449</v>
      </c>
      <c r="D263" s="19">
        <f>IFERROR(__xludf.DUMMYFUNCTION("""COMPUTED_VALUE"""),-79.17151402)</f>
        <v>-79.17151402</v>
      </c>
    </row>
    <row r="264">
      <c r="A264" s="20" t="s">
        <v>583</v>
      </c>
      <c r="C264" s="19">
        <f>IFERROR(__xludf.DUMMYFUNCTION("split(A264,"","")"),43.83973825)</f>
        <v>43.83973825</v>
      </c>
      <c r="D264" s="19">
        <f>IFERROR(__xludf.DUMMYFUNCTION("""COMPUTED_VALUE"""),-79.19971772)</f>
        <v>-79.19971772</v>
      </c>
    </row>
    <row r="265">
      <c r="A265" s="20" t="s">
        <v>588</v>
      </c>
      <c r="C265" s="19">
        <f>IFERROR(__xludf.DUMMYFUNCTION("split(A265,"","")"),43.79770772)</f>
        <v>43.79770772</v>
      </c>
      <c r="D265" s="19">
        <f>IFERROR(__xludf.DUMMYFUNCTION("""COMPUTED_VALUE"""),-79.3497182)</f>
        <v>-79.3497182</v>
      </c>
    </row>
    <row r="266">
      <c r="A266" s="19" t="str">
        <f>Ready!G266</f>
        <v/>
      </c>
    </row>
    <row r="267">
      <c r="A267" s="19" t="str">
        <f>Ready!G267</f>
        <v/>
      </c>
    </row>
    <row r="268">
      <c r="A268" s="19" t="str">
        <f>Ready!G268</f>
        <v/>
      </c>
    </row>
    <row r="269">
      <c r="A269" s="19" t="str">
        <f>Ready!G269</f>
        <v/>
      </c>
    </row>
    <row r="270">
      <c r="A270" s="19" t="str">
        <f>Ready!G270</f>
        <v/>
      </c>
    </row>
    <row r="271">
      <c r="A271" s="19" t="str">
        <f>Ready!G271</f>
        <v/>
      </c>
    </row>
    <row r="272">
      <c r="A272" s="19" t="str">
        <f>Ready!G272</f>
        <v/>
      </c>
    </row>
    <row r="273">
      <c r="A273" s="19" t="str">
        <f>Ready!G273</f>
        <v/>
      </c>
    </row>
    <row r="274">
      <c r="A274" s="19" t="str">
        <f>Ready!G274</f>
        <v/>
      </c>
    </row>
    <row r="275">
      <c r="A275" s="19" t="str">
        <f>Ready!G275</f>
        <v/>
      </c>
    </row>
    <row r="276">
      <c r="A276" s="19" t="str">
        <f>Ready!G276</f>
        <v/>
      </c>
    </row>
    <row r="277">
      <c r="A277" s="19" t="str">
        <f>Ready!G277</f>
        <v/>
      </c>
    </row>
    <row r="278">
      <c r="A278" s="19" t="str">
        <f>Ready!G278</f>
        <v/>
      </c>
    </row>
    <row r="279">
      <c r="A279" s="19" t="str">
        <f>Ready!G279</f>
        <v/>
      </c>
    </row>
    <row r="280">
      <c r="A280" s="19" t="str">
        <f>Ready!G280</f>
        <v/>
      </c>
    </row>
  </sheetData>
  <drawing r:id="rId1"/>
</worksheet>
</file>