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Julia Code for 5440\Final Exam\Problem 2\"/>
    </mc:Choice>
  </mc:AlternateContent>
  <xr:revisionPtr revIDLastSave="0" documentId="13_ncr:1_{4661FD81-000A-4AB3-AFEF-82DB62F5DC80}" xr6:coauthVersionLast="45" xr6:coauthVersionMax="45" xr10:uidLastSave="{00000000-0000-0000-0000-000000000000}"/>
  <bookViews>
    <workbookView xWindow="-120" yWindow="-120" windowWidth="29040" windowHeight="15840" xr2:uid="{27576B7D-1897-4396-A2A9-FED4D10C3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J24" i="1"/>
  <c r="K26" i="1"/>
  <c r="L17" i="1"/>
  <c r="J36" i="1"/>
  <c r="J41" i="1"/>
  <c r="J20" i="1"/>
  <c r="J26" i="1"/>
  <c r="J7" i="1"/>
  <c r="J8" i="1"/>
  <c r="B10" i="1"/>
  <c r="J4" i="1"/>
  <c r="J3" i="1"/>
  <c r="B14" i="1"/>
  <c r="F3" i="1"/>
  <c r="J44" i="1" s="1"/>
  <c r="B13" i="1"/>
  <c r="F2" i="1"/>
  <c r="J37" i="1" s="1"/>
  <c r="K37" i="1" s="1"/>
  <c r="L37" i="1" s="1"/>
  <c r="B9" i="1"/>
  <c r="B8" i="1"/>
  <c r="F8" i="1" s="1"/>
  <c r="F7" i="1" s="1"/>
  <c r="B7" i="1"/>
  <c r="B6" i="1"/>
  <c r="E11" i="1" s="1"/>
  <c r="P1" i="1" s="1"/>
  <c r="B5" i="1"/>
  <c r="K44" i="1" l="1"/>
  <c r="L44" i="1" s="1"/>
  <c r="K8" i="1"/>
  <c r="L8" i="1" s="1"/>
  <c r="K17" i="1"/>
  <c r="L26" i="1"/>
  <c r="J13" i="1"/>
  <c r="K13" i="1" s="1"/>
  <c r="L13" i="1" s="1"/>
  <c r="J40" i="1"/>
  <c r="K40" i="1" s="1"/>
  <c r="L40" i="1" s="1"/>
  <c r="J6" i="1"/>
  <c r="K6" i="1" s="1"/>
  <c r="L6" i="1" s="1"/>
  <c r="J31" i="1"/>
  <c r="K31" i="1" s="1"/>
  <c r="L31" i="1" s="1"/>
  <c r="J25" i="1"/>
  <c r="K25" i="1" s="1"/>
  <c r="L25" i="1" s="1"/>
  <c r="J18" i="1"/>
  <c r="K18" i="1" s="1"/>
  <c r="L18" i="1" s="1"/>
  <c r="J12" i="1"/>
  <c r="K12" i="1" s="1"/>
  <c r="L12" i="1" s="1"/>
  <c r="K7" i="1"/>
  <c r="L7" i="1" s="1"/>
  <c r="J19" i="1"/>
  <c r="K19" i="1" s="1"/>
  <c r="L19" i="1" s="1"/>
  <c r="J5" i="1"/>
  <c r="K5" i="1" s="1"/>
  <c r="L5" i="1" s="1"/>
  <c r="J30" i="1"/>
  <c r="K30" i="1" s="1"/>
  <c r="L30" i="1" s="1"/>
  <c r="K24" i="1"/>
  <c r="L24" i="1" s="1"/>
  <c r="J11" i="1"/>
  <c r="K11" i="1" s="1"/>
  <c r="J39" i="1"/>
  <c r="K39" i="1" s="1"/>
  <c r="L39" i="1" s="1"/>
  <c r="K3" i="1"/>
  <c r="L3" i="1" s="1"/>
  <c r="K41" i="1"/>
  <c r="L41" i="1" s="1"/>
  <c r="J17" i="1"/>
  <c r="J10" i="1"/>
  <c r="K10" i="1" s="1"/>
  <c r="L10" i="1" s="1"/>
  <c r="J34" i="1"/>
  <c r="K34" i="1" s="1"/>
  <c r="L34" i="1" s="1"/>
  <c r="J29" i="1"/>
  <c r="K29" i="1" s="1"/>
  <c r="L29" i="1" s="1"/>
  <c r="J23" i="1"/>
  <c r="K23" i="1" s="1"/>
  <c r="L23" i="1" s="1"/>
  <c r="J16" i="1"/>
  <c r="K16" i="1" s="1"/>
  <c r="L16" i="1" s="1"/>
  <c r="K36" i="1"/>
  <c r="L36" i="1" s="1"/>
  <c r="J35" i="1"/>
  <c r="K35" i="1" s="1"/>
  <c r="L35" i="1" s="1"/>
  <c r="J9" i="1"/>
  <c r="K9" i="1" s="1"/>
  <c r="L9" i="1" s="1"/>
  <c r="J33" i="1"/>
  <c r="K33" i="1" s="1"/>
  <c r="L33" i="1" s="1"/>
  <c r="J28" i="1"/>
  <c r="K28" i="1" s="1"/>
  <c r="L28" i="1" s="1"/>
  <c r="J22" i="1"/>
  <c r="K22" i="1" s="1"/>
  <c r="L22" i="1" s="1"/>
  <c r="J15" i="1"/>
  <c r="K15" i="1" s="1"/>
  <c r="L15" i="1" s="1"/>
  <c r="J43" i="1"/>
  <c r="K43" i="1" s="1"/>
  <c r="L43" i="1" s="1"/>
  <c r="J38" i="1"/>
  <c r="K38" i="1" s="1"/>
  <c r="L38" i="1" s="1"/>
  <c r="K20" i="1"/>
  <c r="L20" i="1" s="1"/>
  <c r="K4" i="1"/>
  <c r="L4" i="1" s="1"/>
  <c r="J32" i="1"/>
  <c r="K32" i="1" s="1"/>
  <c r="L32" i="1" s="1"/>
  <c r="J27" i="1"/>
  <c r="K27" i="1" s="1"/>
  <c r="L27" i="1" s="1"/>
  <c r="J21" i="1"/>
  <c r="K21" i="1" s="1"/>
  <c r="L21" i="1" s="1"/>
  <c r="J14" i="1"/>
  <c r="K14" i="1" s="1"/>
  <c r="L14" i="1" s="1"/>
  <c r="J42" i="1"/>
  <c r="K42" i="1" s="1"/>
  <c r="L42" i="1" s="1"/>
</calcChain>
</file>

<file path=xl/sharedStrings.xml><?xml version="1.0" encoding="utf-8"?>
<sst xmlns="http://schemas.openxmlformats.org/spreadsheetml/2006/main" count="44" uniqueCount="37">
  <si>
    <t>5440 Final Problem 2 Part D</t>
  </si>
  <si>
    <t>name</t>
  </si>
  <si>
    <t xml:space="preserve">value </t>
  </si>
  <si>
    <t>units</t>
  </si>
  <si>
    <t>Calculated Constants</t>
  </si>
  <si>
    <t>Constants</t>
  </si>
  <si>
    <t>ke</t>
  </si>
  <si>
    <t>s^-1</t>
  </si>
  <si>
    <t>ke*</t>
  </si>
  <si>
    <t>kf</t>
  </si>
  <si>
    <t>M^-1s^-1</t>
  </si>
  <si>
    <t>m^3/s/#</t>
  </si>
  <si>
    <t>kr</t>
  </si>
  <si>
    <t>kdeg</t>
  </si>
  <si>
    <t>Vs</t>
  </si>
  <si>
    <t>q</t>
  </si>
  <si>
    <t>#/cell/s</t>
  </si>
  <si>
    <t>nc</t>
  </si>
  <si>
    <t>Values for calculating km</t>
  </si>
  <si>
    <t>gamma dot</t>
  </si>
  <si>
    <t>Dl</t>
  </si>
  <si>
    <t>m^2/s</t>
  </si>
  <si>
    <t>Kc</t>
  </si>
  <si>
    <t>Kss</t>
  </si>
  <si>
    <t>cell/m^2</t>
  </si>
  <si>
    <t>z position (m)</t>
  </si>
  <si>
    <t>km(z)</t>
  </si>
  <si>
    <t>calculating points for the plots</t>
  </si>
  <si>
    <t>m^3/#</t>
  </si>
  <si>
    <t>m/s</t>
  </si>
  <si>
    <t>#/s^-1cell^-1</t>
  </si>
  <si>
    <t xml:space="preserve">Resistance term </t>
  </si>
  <si>
    <t>s</t>
  </si>
  <si>
    <t>"Bound Fraction"</t>
  </si>
  <si>
    <t>RT* (#/cell)</t>
  </si>
  <si>
    <t>RTMAx=q*Resistance term</t>
  </si>
  <si>
    <t>#/cell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</si>
</sst>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RT* (#/cell)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RT* (#/cell)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Sheet1!$I$3:$I$44</c:f>
              <c:numCache>
                <c:formatCode>General</c:formatCode>
                <c:ptCount val="42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1.9E-2</c:v>
                </c:pt>
                <c:pt idx="21">
                  <c:v>0.02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2.4E-2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2.7E-2</c:v>
                </c:pt>
                <c:pt idx="29">
                  <c:v>2.8000000000000001E-2</c:v>
                </c:pt>
                <c:pt idx="30">
                  <c:v>2.9000000000000001E-2</c:v>
                </c:pt>
                <c:pt idx="31">
                  <c:v>0.03</c:v>
                </c:pt>
                <c:pt idx="32">
                  <c:v>3.1E-2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3.5999999999999997E-2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</c:numCache>
            </c:numRef>
          </c:xVal>
          <c:yVal>
            <c:numRef>
              <c:f>Sheet1!$L$3:$L$44</c:f>
              <c:numCache>
                <c:formatCode>General</c:formatCode>
                <c:ptCount val="42"/>
                <c:pt idx="0">
                  <c:v>3106.76769345513</c:v>
                </c:pt>
                <c:pt idx="1">
                  <c:v>5304.4289657372901</c:v>
                </c:pt>
                <c:pt idx="2">
                  <c:v>6676.8130627716182</c:v>
                </c:pt>
                <c:pt idx="3">
                  <c:v>8402.2010814827845</c:v>
                </c:pt>
                <c:pt idx="4">
                  <c:v>9610.0605934978485</c:v>
                </c:pt>
                <c:pt idx="5">
                  <c:v>10570.189779172522</c:v>
                </c:pt>
                <c:pt idx="6">
                  <c:v>11379.985999730556</c:v>
                </c:pt>
                <c:pt idx="7">
                  <c:v>12087.09567595079</c:v>
                </c:pt>
                <c:pt idx="8">
                  <c:v>12718.81689031271</c:v>
                </c:pt>
                <c:pt idx="9">
                  <c:v>13292.418543634294</c:v>
                </c:pt>
                <c:pt idx="10">
                  <c:v>13819.599608124809</c:v>
                </c:pt>
                <c:pt idx="11">
                  <c:v>14308.695177848938</c:v>
                </c:pt>
                <c:pt idx="12">
                  <c:v>14765.877953521822</c:v>
                </c:pt>
                <c:pt idx="13">
                  <c:v>15195.861656500329</c:v>
                </c:pt>
                <c:pt idx="14">
                  <c:v>15602.336788396073</c:v>
                </c:pt>
                <c:pt idx="15">
                  <c:v>15988.253145006165</c:v>
                </c:pt>
                <c:pt idx="16">
                  <c:v>16356.009968216604</c:v>
                </c:pt>
                <c:pt idx="17">
                  <c:v>16707.588015316425</c:v>
                </c:pt>
                <c:pt idx="18">
                  <c:v>17044.643772355259</c:v>
                </c:pt>
                <c:pt idx="19">
                  <c:v>17368.578228740978</c:v>
                </c:pt>
                <c:pt idx="20">
                  <c:v>17680.588099460008</c:v>
                </c:pt>
                <c:pt idx="21">
                  <c:v>17981.704653496436</c:v>
                </c:pt>
                <c:pt idx="22">
                  <c:v>18272.823610983032</c:v>
                </c:pt>
                <c:pt idx="23">
                  <c:v>18554.728486830641</c:v>
                </c:pt>
                <c:pt idx="24">
                  <c:v>18828.109047156064</c:v>
                </c:pt>
                <c:pt idx="25">
                  <c:v>19093.576067714792</c:v>
                </c:pt>
                <c:pt idx="26">
                  <c:v>19351.673257085906</c:v>
                </c:pt>
                <c:pt idx="27">
                  <c:v>19602.886979896401</c:v>
                </c:pt>
                <c:pt idx="28">
                  <c:v>19847.654254259396</c:v>
                </c:pt>
                <c:pt idx="29">
                  <c:v>20086.369381760378</c:v>
                </c:pt>
                <c:pt idx="30">
                  <c:v>20319.389483880419</c:v>
                </c:pt>
                <c:pt idx="31">
                  <c:v>20547.039156407209</c:v>
                </c:pt>
                <c:pt idx="32">
                  <c:v>20769.61440682544</c:v>
                </c:pt>
                <c:pt idx="33">
                  <c:v>20987.386004526699</c:v>
                </c:pt>
                <c:pt idx="34">
                  <c:v>21200.602346873795</c:v>
                </c:pt>
                <c:pt idx="35">
                  <c:v>21409.491923522815</c:v>
                </c:pt>
                <c:pt idx="36">
                  <c:v>21614.265445386318</c:v>
                </c:pt>
                <c:pt idx="37">
                  <c:v>21815.1176920818</c:v>
                </c:pt>
                <c:pt idx="38">
                  <c:v>22012.229121820044</c:v>
                </c:pt>
                <c:pt idx="39">
                  <c:v>22205.767279828957</c:v>
                </c:pt>
                <c:pt idx="40">
                  <c:v>22395.888035126362</c:v>
                </c:pt>
                <c:pt idx="41">
                  <c:v>22582.736670395811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5-4922-8421-A88394A3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16080"/>
        <c:axId val="283813840"/>
      </c:scatterChart>
      <c:valAx>
        <c:axId val="283816080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13840"/>
        <c:crosses val="autoZero"/>
        <c:crossBetween val="midCat"/>
      </c:valAx>
      <c:valAx>
        <c:axId val="283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RT* (#/cell)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&amp;F</c:oddHead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139129</xdr:colOff>
      <xdr:row>14</xdr:row>
      <xdr:rowOff>185573</xdr:rowOff>
    </xdr:from>
    <xdr:to>
      <xdr:col>7</xdr:col>
      <xdr:colOff>230277</xdr:colOff>
      <xdr:row>32</xdr:row>
      <xdr:rowOff>32106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C9CD4-8D28-473F-95E2-95D0F5F8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BD46-983E-41A7-AF23-3890C33F556A}">
  <dimension ref="A1:Q44"/>
  <sheetViews>
    <sheetView tabSelected="1" zoomScale="89" zoomScaleNormal="89" workbookViewId="0">
      <selection activeCell="E14" sqref="E14"/>
    </sheetView>
  </sheetViews>
  <sheetFormatPr defaultRowHeight="15" x14ac:dyDescent="0.25"/>
  <cols>
    <col min="2" max="2" width="10" bestFit="1" customWidth="1"/>
    <col min="3" max="3" width="10.42578125" bestFit="1" customWidth="1"/>
    <col min="5" max="5" width="12.7109375" customWidth="1"/>
    <col min="6" max="6" width="12" bestFit="1" customWidth="1"/>
    <col min="9" max="9" width="14.42578125" bestFit="1" customWidth="1"/>
    <col min="10" max="10" width="13.140625" bestFit="1" customWidth="1"/>
    <col min="11" max="11" width="17.5703125" customWidth="1"/>
    <col min="12" max="12" width="12.5703125" customWidth="1"/>
  </cols>
  <sheetData>
    <row r="1" spans="1:17" ht="18.75" x14ac:dyDescent="0.3">
      <c r="A1" s="1" t="s">
        <v>0</v>
      </c>
      <c r="B1" s="1"/>
      <c r="C1" s="1"/>
      <c r="E1" s="5" t="s">
        <v>18</v>
      </c>
      <c r="F1" s="5"/>
      <c r="G1" s="5"/>
      <c r="I1" s="6" t="s">
        <v>27</v>
      </c>
      <c r="J1" s="6"/>
      <c r="K1" s="6"/>
      <c r="M1" t="s">
        <v>35</v>
      </c>
      <c r="P1">
        <f>E11*B13</f>
        <v>1450000</v>
      </c>
      <c r="Q1" t="s">
        <v>36</v>
      </c>
    </row>
    <row r="2" spans="1:17" ht="15.75" x14ac:dyDescent="0.25">
      <c r="E2" t="s">
        <v>19</v>
      </c>
      <c r="F2">
        <f>10^2</f>
        <v>100</v>
      </c>
      <c r="G2" t="s">
        <v>7</v>
      </c>
      <c r="I2" s="2" t="s">
        <v>25</v>
      </c>
      <c r="J2" s="2" t="s">
        <v>26</v>
      </c>
      <c r="K2" s="2" t="s">
        <v>33</v>
      </c>
      <c r="L2" s="4" t="s">
        <v>34</v>
      </c>
      <c r="M2" s="3"/>
    </row>
    <row r="3" spans="1:17" ht="15.75" x14ac:dyDescent="0.25">
      <c r="A3" s="5" t="s">
        <v>5</v>
      </c>
      <c r="B3" s="5"/>
      <c r="C3" s="5"/>
      <c r="E3" t="s">
        <v>20</v>
      </c>
      <c r="F3">
        <f>10^(-10)</f>
        <v>1E-10</v>
      </c>
      <c r="G3" t="s">
        <v>21</v>
      </c>
      <c r="I3">
        <v>1E-4</v>
      </c>
      <c r="J3">
        <f>($F$2*I3^2/$F$3)^(1/3)*$F$3/I3</f>
        <v>2.1544346900318844E-5</v>
      </c>
      <c r="K3">
        <f>$F$7/($F$7+J3)</f>
        <v>2.1425984092793998E-3</v>
      </c>
      <c r="L3">
        <f>K3*$E$11*$B$13</f>
        <v>3106.76769345513</v>
      </c>
    </row>
    <row r="4" spans="1:17" x14ac:dyDescent="0.25">
      <c r="A4" t="s">
        <v>1</v>
      </c>
      <c r="B4" t="s">
        <v>2</v>
      </c>
      <c r="C4" t="s">
        <v>3</v>
      </c>
      <c r="I4">
        <v>5.0000000000000001E-4</v>
      </c>
      <c r="J4">
        <f>($F$2*I4^2/$F$3)^(1/3)*$F$3/I4</f>
        <v>1.2599210498948722E-5</v>
      </c>
      <c r="K4">
        <f t="shared" ref="K4:K44" si="0">$F$7/($F$7+J4)</f>
        <v>3.6582268729222689E-3</v>
      </c>
      <c r="L4">
        <f t="shared" ref="L4:L44" si="1">K4*$E$11*$B$13</f>
        <v>5304.4289657372901</v>
      </c>
    </row>
    <row r="5" spans="1:17" ht="15.75" x14ac:dyDescent="0.25">
      <c r="A5" t="s">
        <v>6</v>
      </c>
      <c r="B5">
        <f>10^-4</f>
        <v>1E-4</v>
      </c>
      <c r="C5" t="s">
        <v>7</v>
      </c>
      <c r="E5" s="5" t="s">
        <v>4</v>
      </c>
      <c r="F5" s="5"/>
      <c r="G5" s="5"/>
      <c r="I5">
        <v>1E-3</v>
      </c>
      <c r="J5">
        <f>($F$2*I5^2/$F$3)^(1/3)*$F$3/I5</f>
        <v>9.9999999999999974E-6</v>
      </c>
      <c r="K5">
        <f t="shared" si="0"/>
        <v>4.6046986639804261E-3</v>
      </c>
      <c r="L5">
        <f t="shared" si="1"/>
        <v>6676.8130627716182</v>
      </c>
    </row>
    <row r="6" spans="1:17" x14ac:dyDescent="0.25">
      <c r="A6" t="s">
        <v>8</v>
      </c>
      <c r="B6">
        <f>5*10^-3</f>
        <v>5.0000000000000001E-3</v>
      </c>
      <c r="C6" t="s">
        <v>7</v>
      </c>
      <c r="E6" t="s">
        <v>1</v>
      </c>
      <c r="F6" t="s">
        <v>2</v>
      </c>
      <c r="G6" t="s">
        <v>3</v>
      </c>
      <c r="I6">
        <v>2E-3</v>
      </c>
      <c r="J6">
        <f>($F$2*I6^2/$F$3)^(1/3)*$F$3/I6</f>
        <v>7.9370052598409963E-6</v>
      </c>
      <c r="K6">
        <f t="shared" si="0"/>
        <v>5.7946214355053694E-3</v>
      </c>
      <c r="L6">
        <f t="shared" si="1"/>
        <v>8402.2010814827845</v>
      </c>
    </row>
    <row r="7" spans="1:17" x14ac:dyDescent="0.25">
      <c r="A7" t="s">
        <v>9</v>
      </c>
      <c r="B7">
        <f>3.1*10^6</f>
        <v>3100000</v>
      </c>
      <c r="C7" t="s">
        <v>10</v>
      </c>
      <c r="E7" t="s">
        <v>22</v>
      </c>
      <c r="F7">
        <f>F8*B14*B11</f>
        <v>4.6259999999999985E-8</v>
      </c>
      <c r="G7" t="s">
        <v>29</v>
      </c>
      <c r="I7">
        <v>3.0000000000000001E-3</v>
      </c>
      <c r="J7">
        <f>($F$2*I7^2/$F$3)^(1/3)*$F$3/I7</f>
        <v>6.9336127435063387E-6</v>
      </c>
      <c r="K7">
        <f t="shared" si="0"/>
        <v>6.627627995515758E-3</v>
      </c>
      <c r="L7">
        <f t="shared" si="1"/>
        <v>9610.0605934978485</v>
      </c>
    </row>
    <row r="8" spans="1:17" x14ac:dyDescent="0.25">
      <c r="B8">
        <f>5.14*10^-21</f>
        <v>5.1399999999999996E-21</v>
      </c>
      <c r="C8" t="s">
        <v>11</v>
      </c>
      <c r="E8" t="s">
        <v>23</v>
      </c>
      <c r="F8">
        <f>(B8*B6)/(B5*(B9+B6))</f>
        <v>8.5666666666666642E-18</v>
      </c>
      <c r="G8" t="s">
        <v>28</v>
      </c>
      <c r="I8">
        <v>4.0000000000000001E-3</v>
      </c>
      <c r="J8">
        <f t="shared" ref="J8:J44" si="2">($F$2*I8^2/$F$3)^(1/3)*$F$3/I8</f>
        <v>6.299605249474361E-6</v>
      </c>
      <c r="K8">
        <f t="shared" si="0"/>
        <v>7.2897860546017402E-3</v>
      </c>
      <c r="L8">
        <f t="shared" si="1"/>
        <v>10570.189779172522</v>
      </c>
    </row>
    <row r="9" spans="1:17" x14ac:dyDescent="0.25">
      <c r="A9" t="s">
        <v>12</v>
      </c>
      <c r="B9">
        <f>2.5*10^-2</f>
        <v>2.5000000000000001E-2</v>
      </c>
      <c r="C9" t="s">
        <v>7</v>
      </c>
      <c r="I9">
        <v>5.0000000000000001E-3</v>
      </c>
      <c r="J9">
        <f t="shared" si="2"/>
        <v>5.8480354764257333E-6</v>
      </c>
      <c r="K9">
        <f t="shared" si="0"/>
        <v>7.848266206710728E-3</v>
      </c>
      <c r="L9">
        <f t="shared" si="1"/>
        <v>11379.985999730556</v>
      </c>
    </row>
    <row r="10" spans="1:17" x14ac:dyDescent="0.25">
      <c r="A10" t="s">
        <v>13</v>
      </c>
      <c r="B10">
        <f>8*10^-4</f>
        <v>8.0000000000000004E-4</v>
      </c>
      <c r="C10" t="s">
        <v>7</v>
      </c>
      <c r="E10" t="s">
        <v>31</v>
      </c>
      <c r="I10">
        <v>6.0000000000000001E-3</v>
      </c>
      <c r="J10">
        <f t="shared" si="2"/>
        <v>5.5032120814910404E-6</v>
      </c>
      <c r="K10">
        <f t="shared" si="0"/>
        <v>8.3359280523798551E-3</v>
      </c>
      <c r="L10">
        <f t="shared" si="1"/>
        <v>12087.09567595079</v>
      </c>
    </row>
    <row r="11" spans="1:17" x14ac:dyDescent="0.25">
      <c r="A11" t="s">
        <v>14</v>
      </c>
      <c r="B11">
        <v>18</v>
      </c>
      <c r="C11" t="s">
        <v>30</v>
      </c>
      <c r="E11">
        <f>1/B6+1/B10</f>
        <v>1450</v>
      </c>
      <c r="F11" t="s">
        <v>32</v>
      </c>
      <c r="I11">
        <v>7.0000000000000001E-3</v>
      </c>
      <c r="J11">
        <f t="shared" si="2"/>
        <v>5.2275795857470988E-6</v>
      </c>
      <c r="K11">
        <f t="shared" si="0"/>
        <v>8.7715978553880754E-3</v>
      </c>
      <c r="L11">
        <f>K11*$E$11*$B$13</f>
        <v>12718.81689031271</v>
      </c>
    </row>
    <row r="12" spans="1:17" x14ac:dyDescent="0.25">
      <c r="I12">
        <v>8.0000000000000002E-3</v>
      </c>
      <c r="J12">
        <f t="shared" si="2"/>
        <v>4.9999999999999987E-6</v>
      </c>
      <c r="K12">
        <f t="shared" si="0"/>
        <v>9.1671852025064105E-3</v>
      </c>
      <c r="L12">
        <f t="shared" si="1"/>
        <v>13292.418543634294</v>
      </c>
    </row>
    <row r="13" spans="1:17" x14ac:dyDescent="0.25">
      <c r="A13" t="s">
        <v>15</v>
      </c>
      <c r="B13">
        <f>10^3</f>
        <v>1000</v>
      </c>
      <c r="C13" t="s">
        <v>16</v>
      </c>
      <c r="I13">
        <v>8.9999999999999993E-3</v>
      </c>
      <c r="J13">
        <f t="shared" si="2"/>
        <v>4.8074985676913615E-6</v>
      </c>
      <c r="K13">
        <f t="shared" si="0"/>
        <v>9.5307583504309033E-3</v>
      </c>
      <c r="L13">
        <f t="shared" si="1"/>
        <v>13819.599608124809</v>
      </c>
    </row>
    <row r="14" spans="1:17" x14ac:dyDescent="0.25">
      <c r="A14" t="s">
        <v>17</v>
      </c>
      <c r="B14">
        <f>3*10^8</f>
        <v>300000000</v>
      </c>
      <c r="C14" t="s">
        <v>24</v>
      </c>
      <c r="I14">
        <v>0.01</v>
      </c>
      <c r="J14">
        <f t="shared" si="2"/>
        <v>4.641588833612782E-6</v>
      </c>
      <c r="K14">
        <f t="shared" si="0"/>
        <v>9.8680656398958191E-3</v>
      </c>
      <c r="L14">
        <f t="shared" si="1"/>
        <v>14308.695177848938</v>
      </c>
    </row>
    <row r="15" spans="1:17" x14ac:dyDescent="0.25">
      <c r="I15">
        <v>1.0999999999999999E-2</v>
      </c>
      <c r="J15">
        <f t="shared" si="2"/>
        <v>4.4964431302260894E-6</v>
      </c>
      <c r="K15">
        <f t="shared" si="0"/>
        <v>1.0183364105877118E-2</v>
      </c>
      <c r="L15">
        <f t="shared" si="1"/>
        <v>14765.877953521822</v>
      </c>
    </row>
    <row r="16" spans="1:17" x14ac:dyDescent="0.25">
      <c r="I16">
        <v>1.2E-2</v>
      </c>
      <c r="J16">
        <f t="shared" si="2"/>
        <v>4.3679023236814924E-6</v>
      </c>
      <c r="K16">
        <f t="shared" si="0"/>
        <v>1.0479904590689882E-2</v>
      </c>
      <c r="L16">
        <f t="shared" si="1"/>
        <v>15195.861656500329</v>
      </c>
    </row>
    <row r="17" spans="9:12" x14ac:dyDescent="0.25">
      <c r="I17">
        <v>1.2999999999999999E-2</v>
      </c>
      <c r="J17">
        <f t="shared" si="2"/>
        <v>4.2529037028298971E-6</v>
      </c>
      <c r="K17">
        <f t="shared" si="0"/>
        <v>1.0760232267859361E-2</v>
      </c>
      <c r="L17">
        <f>K17*$E$11*$B$13</f>
        <v>15602.336788396073</v>
      </c>
    </row>
    <row r="18" spans="9:12" x14ac:dyDescent="0.25">
      <c r="I18">
        <v>1.4E-2</v>
      </c>
      <c r="J18">
        <f t="shared" si="2"/>
        <v>4.1491326668312158E-6</v>
      </c>
      <c r="K18">
        <f t="shared" si="0"/>
        <v>1.1026381479314597E-2</v>
      </c>
      <c r="L18">
        <f t="shared" si="1"/>
        <v>15988.253145006165</v>
      </c>
    </row>
    <row r="19" spans="9:12" x14ac:dyDescent="0.25">
      <c r="I19">
        <v>1.4999999999999999E-2</v>
      </c>
      <c r="J19">
        <f t="shared" si="2"/>
        <v>4.0548013303822652E-6</v>
      </c>
      <c r="K19">
        <f t="shared" si="0"/>
        <v>1.1280006874632141E-2</v>
      </c>
      <c r="L19">
        <f t="shared" si="1"/>
        <v>16356.009968216604</v>
      </c>
    </row>
    <row r="20" spans="9:12" x14ac:dyDescent="0.25">
      <c r="I20">
        <v>1.6E-2</v>
      </c>
      <c r="J20">
        <f t="shared" si="2"/>
        <v>3.968502629920499E-6</v>
      </c>
      <c r="K20">
        <f t="shared" si="0"/>
        <v>1.1522474493321673E-2</v>
      </c>
      <c r="L20">
        <f t="shared" si="1"/>
        <v>16707.588015316425</v>
      </c>
    </row>
    <row r="21" spans="9:12" x14ac:dyDescent="0.25">
      <c r="I21">
        <v>1.7000000000000001E-2</v>
      </c>
      <c r="J21">
        <f t="shared" si="2"/>
        <v>3.8891111873282039E-6</v>
      </c>
      <c r="K21">
        <f t="shared" si="0"/>
        <v>1.175492673955535E-2</v>
      </c>
      <c r="L21">
        <f t="shared" si="1"/>
        <v>17044.643772355259</v>
      </c>
    </row>
    <row r="22" spans="9:12" x14ac:dyDescent="0.25">
      <c r="I22">
        <v>1.7999999999999999E-2</v>
      </c>
      <c r="J22">
        <f t="shared" si="2"/>
        <v>3.8157141418444411E-6</v>
      </c>
      <c r="K22">
        <f t="shared" si="0"/>
        <v>1.1978329812924814E-2</v>
      </c>
      <c r="L22">
        <f t="shared" si="1"/>
        <v>17368.578228740978</v>
      </c>
    </row>
    <row r="23" spans="9:12" x14ac:dyDescent="0.25">
      <c r="I23">
        <v>1.9E-2</v>
      </c>
      <c r="J23">
        <f t="shared" si="2"/>
        <v>3.7475617678431529E-6</v>
      </c>
      <c r="K23">
        <f t="shared" si="0"/>
        <v>1.219350903411035E-2</v>
      </c>
      <c r="L23">
        <f t="shared" si="1"/>
        <v>17680.588099460008</v>
      </c>
    </row>
    <row r="24" spans="9:12" x14ac:dyDescent="0.25">
      <c r="I24">
        <v>0.02</v>
      </c>
      <c r="J24">
        <f>($F$2*I24^2/$F$3)^(1/3)*$F$3/I24</f>
        <v>3.6840314986403839E-6</v>
      </c>
      <c r="K24">
        <f t="shared" si="0"/>
        <v>1.240117562310099E-2</v>
      </c>
      <c r="L24">
        <f t="shared" si="1"/>
        <v>17981.704653496436</v>
      </c>
    </row>
    <row r="25" spans="9:12" x14ac:dyDescent="0.25">
      <c r="I25">
        <v>2.1000000000000001E-2</v>
      </c>
      <c r="J25">
        <f t="shared" si="2"/>
        <v>3.6246012433429716E-6</v>
      </c>
      <c r="K25">
        <f t="shared" si="0"/>
        <v>1.2601947317919332E-2</v>
      </c>
      <c r="L25">
        <f t="shared" si="1"/>
        <v>18272.823610983032</v>
      </c>
    </row>
    <row r="26" spans="9:12" x14ac:dyDescent="0.25">
      <c r="I26">
        <v>2.1999999999999999E-2</v>
      </c>
      <c r="J26">
        <f t="shared" si="2"/>
        <v>3.5688292775180401E-6</v>
      </c>
      <c r="K26">
        <f>$F$7/($F$7+J26)</f>
        <v>1.2796364473676304E-2</v>
      </c>
      <c r="L26">
        <f t="shared" si="1"/>
        <v>18554.728486830641</v>
      </c>
    </row>
    <row r="27" spans="9:12" x14ac:dyDescent="0.25">
      <c r="I27">
        <v>2.3E-2</v>
      </c>
      <c r="J27">
        <f t="shared" si="2"/>
        <v>3.5163388691695925E-6</v>
      </c>
      <c r="K27">
        <f t="shared" si="0"/>
        <v>1.2984902791142115E-2</v>
      </c>
      <c r="L27">
        <f t="shared" si="1"/>
        <v>18828.109047156064</v>
      </c>
    </row>
    <row r="28" spans="9:12" x14ac:dyDescent="0.25">
      <c r="I28">
        <v>2.4E-2</v>
      </c>
      <c r="J28">
        <f t="shared" si="2"/>
        <v>3.4668063717531706E-6</v>
      </c>
      <c r="K28">
        <f t="shared" si="0"/>
        <v>1.316798349497572E-2</v>
      </c>
      <c r="L28">
        <f t="shared" si="1"/>
        <v>19093.576067714792</v>
      </c>
    </row>
    <row r="29" spans="9:12" x14ac:dyDescent="0.25">
      <c r="I29">
        <v>2.5000000000000001E-2</v>
      </c>
      <c r="J29">
        <f t="shared" si="2"/>
        <v>3.4199518933533942E-6</v>
      </c>
      <c r="K29">
        <f t="shared" si="0"/>
        <v>1.3345981556610969E-2</v>
      </c>
      <c r="L29">
        <f t="shared" si="1"/>
        <v>19351.673257085906</v>
      </c>
    </row>
    <row r="30" spans="9:12" x14ac:dyDescent="0.25">
      <c r="I30">
        <v>2.5999999999999999E-2</v>
      </c>
      <c r="J30">
        <f t="shared" si="2"/>
        <v>3.3755319058958162E-6</v>
      </c>
      <c r="K30">
        <f t="shared" si="0"/>
        <v>1.3519232399928551E-2</v>
      </c>
      <c r="L30">
        <f t="shared" si="1"/>
        <v>19602.886979896401</v>
      </c>
    </row>
    <row r="31" spans="9:12" x14ac:dyDescent="0.25">
      <c r="I31">
        <v>2.7E-2</v>
      </c>
      <c r="J31">
        <f t="shared" si="2"/>
        <v>3.3333333333333308E-6</v>
      </c>
      <c r="K31">
        <f t="shared" si="0"/>
        <v>1.3688037416730619E-2</v>
      </c>
      <c r="L31">
        <f t="shared" si="1"/>
        <v>19847.654254259396</v>
      </c>
    </row>
    <row r="32" spans="9:12" x14ac:dyDescent="0.25">
      <c r="I32">
        <v>2.8000000000000001E-2</v>
      </c>
      <c r="J32">
        <f t="shared" si="2"/>
        <v>3.293168780041748E-6</v>
      </c>
      <c r="K32">
        <f t="shared" si="0"/>
        <v>1.3852668539145088E-2</v>
      </c>
      <c r="L32">
        <f t="shared" si="1"/>
        <v>20086.369381760378</v>
      </c>
    </row>
    <row r="33" spans="9:12" x14ac:dyDescent="0.25">
      <c r="I33">
        <v>2.9000000000000001E-2</v>
      </c>
      <c r="J33">
        <f t="shared" si="2"/>
        <v>3.2548726473766772E-6</v>
      </c>
      <c r="K33">
        <f t="shared" si="0"/>
        <v>1.4013372057848564E-2</v>
      </c>
      <c r="L33">
        <f t="shared" si="1"/>
        <v>20319.389483880419</v>
      </c>
    </row>
    <row r="34" spans="9:12" x14ac:dyDescent="0.25">
      <c r="I34">
        <v>0.03</v>
      </c>
      <c r="J34">
        <f t="shared" si="2"/>
        <v>3.2182979486854325E-6</v>
      </c>
      <c r="K34">
        <f t="shared" si="0"/>
        <v>1.4170371832004971E-2</v>
      </c>
      <c r="L34">
        <f t="shared" si="1"/>
        <v>20547.039156407209</v>
      </c>
    </row>
    <row r="35" spans="9:12" x14ac:dyDescent="0.25">
      <c r="I35">
        <v>3.1E-2</v>
      </c>
      <c r="J35">
        <f t="shared" si="2"/>
        <v>3.183313678457734E-6</v>
      </c>
      <c r="K35">
        <f t="shared" si="0"/>
        <v>1.43238720047072E-2</v>
      </c>
      <c r="L35">
        <f t="shared" si="1"/>
        <v>20769.61440682544</v>
      </c>
    </row>
    <row r="36" spans="9:12" x14ac:dyDescent="0.25">
      <c r="I36">
        <v>3.2000000000000001E-2</v>
      </c>
      <c r="J36">
        <f>($F$2*I36^2/$F$3)^(1/3)*$F$3/I36</f>
        <v>3.1498026247371813E-6</v>
      </c>
      <c r="K36">
        <f>$F$7/($F$7+J36)</f>
        <v>1.4474059313466688E-2</v>
      </c>
      <c r="L36">
        <f>K36*$E$11*$B$13</f>
        <v>20987.386004526699</v>
      </c>
    </row>
    <row r="37" spans="9:12" x14ac:dyDescent="0.25">
      <c r="I37">
        <v>3.3000000000000002E-2</v>
      </c>
      <c r="J37">
        <f t="shared" si="2"/>
        <v>3.1176595388187185E-6</v>
      </c>
      <c r="K37">
        <f t="shared" si="0"/>
        <v>1.4621105066809513E-2</v>
      </c>
      <c r="L37">
        <f t="shared" si="1"/>
        <v>21200.602346873795</v>
      </c>
    </row>
    <row r="38" spans="9:12" x14ac:dyDescent="0.25">
      <c r="I38">
        <v>3.4000000000000002E-2</v>
      </c>
      <c r="J38">
        <f t="shared" si="2"/>
        <v>3.0867895949930428E-6</v>
      </c>
      <c r="K38">
        <f t="shared" si="0"/>
        <v>1.4765166843808838E-2</v>
      </c>
      <c r="L38">
        <f t="shared" si="1"/>
        <v>21409.491923522815</v>
      </c>
    </row>
    <row r="39" spans="9:12" x14ac:dyDescent="0.25">
      <c r="I39">
        <v>3.5000000000000003E-2</v>
      </c>
      <c r="J39">
        <f t="shared" si="2"/>
        <v>3.0571070873287956E-6</v>
      </c>
      <c r="K39">
        <f t="shared" si="0"/>
        <v>1.4906389962335393E-2</v>
      </c>
      <c r="L39">
        <f t="shared" si="1"/>
        <v>21614.265445386318</v>
      </c>
    </row>
    <row r="40" spans="9:12" x14ac:dyDescent="0.25">
      <c r="I40">
        <v>3.5999999999999997E-2</v>
      </c>
      <c r="J40">
        <f t="shared" si="2"/>
        <v>3.0285343213868986E-6</v>
      </c>
      <c r="K40">
        <f t="shared" si="0"/>
        <v>1.504490875315986E-2</v>
      </c>
      <c r="L40">
        <f t="shared" si="1"/>
        <v>21815.1176920818</v>
      </c>
    </row>
    <row r="41" spans="9:12" x14ac:dyDescent="0.25">
      <c r="I41">
        <v>3.6999999999999998E-2</v>
      </c>
      <c r="J41">
        <f t="shared" si="2"/>
        <v>3.0010006671856151E-6</v>
      </c>
      <c r="K41">
        <f t="shared" si="0"/>
        <v>1.518084767022072E-2</v>
      </c>
      <c r="L41">
        <f t="shared" si="1"/>
        <v>22012.229121820044</v>
      </c>
    </row>
    <row r="42" spans="9:12" x14ac:dyDescent="0.25">
      <c r="I42">
        <v>3.7999999999999999E-2</v>
      </c>
      <c r="J42">
        <f t="shared" si="2"/>
        <v>2.9744417462950121E-6</v>
      </c>
      <c r="K42">
        <f t="shared" si="0"/>
        <v>1.5314322261951006E-2</v>
      </c>
      <c r="L42">
        <f t="shared" si="1"/>
        <v>22205.767279828957</v>
      </c>
    </row>
    <row r="43" spans="9:12" x14ac:dyDescent="0.25">
      <c r="I43">
        <v>3.9E-2</v>
      </c>
      <c r="J43">
        <f t="shared" si="2"/>
        <v>2.9487987310846734E-6</v>
      </c>
      <c r="K43">
        <f t="shared" si="0"/>
        <v>1.5445440024225076E-2</v>
      </c>
      <c r="L43">
        <f t="shared" si="1"/>
        <v>22395.888035126362</v>
      </c>
    </row>
    <row r="44" spans="9:12" x14ac:dyDescent="0.25">
      <c r="I44">
        <v>0.04</v>
      </c>
      <c r="J44">
        <f t="shared" si="2"/>
        <v>2.9240177382128645E-6</v>
      </c>
      <c r="K44">
        <f t="shared" si="0"/>
        <v>1.557430115199711E-2</v>
      </c>
      <c r="L44">
        <f t="shared" si="1"/>
        <v>22582.736670395811</v>
      </c>
    </row>
  </sheetData>
  <mergeCells count="4">
    <mergeCell ref="E5:G5"/>
    <mergeCell ref="A3:C3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cp:lastPrinted>2020-05-22T02:03:04Z</cp:lastPrinted>
  <dcterms:created xsi:type="dcterms:W3CDTF">2020-05-20T00:23:55Z</dcterms:created>
  <dcterms:modified xsi:type="dcterms:W3CDTF">2020-05-22T02:03:29Z</dcterms:modified>
</cp:coreProperties>
</file>