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Julia Code for 5440\Prelim 1\Problem 1\"/>
    </mc:Choice>
  </mc:AlternateContent>
  <xr:revisionPtr revIDLastSave="0" documentId="8_{15EC7D5D-9FD5-414B-8400-1E6A657493C9}" xr6:coauthVersionLast="45" xr6:coauthVersionMax="45" xr10:uidLastSave="{00000000-0000-0000-0000-000000000000}"/>
  <bookViews>
    <workbookView xWindow="28680" yWindow="-120" windowWidth="29040" windowHeight="15840" xr2:uid="{46FBAA65-BC27-4780-A0B1-36CDEFA8EEBB}"/>
  </bookViews>
  <sheets>
    <sheet name="Parameter Sources" sheetId="6" r:id="rId1"/>
    <sheet name="Fitting K2" sheetId="3" r:id="rId2"/>
    <sheet name="Fitting K2 and KD" sheetId="5" r:id="rId3"/>
  </sheets>
  <definedNames>
    <definedName name="solver_adj" localSheetId="1" hidden="1">'Fitting K2'!$F$6,'Fitting K2'!$F$7</definedName>
    <definedName name="solver_adj" localSheetId="2" hidden="1">'Fitting K2 and KD'!$F$6,'Fitting K2 and KD'!$F$7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'Fitting K2'!$F$7</definedName>
    <definedName name="solver_lhs1" localSheetId="2" hidden="1">'Fitting K2 and KD'!$F$7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1</definedName>
    <definedName name="solver_num" localSheetId="2" hidden="1">1</definedName>
    <definedName name="solver_nwt" localSheetId="1" hidden="1">1</definedName>
    <definedName name="solver_nwt" localSheetId="2" hidden="1">1</definedName>
    <definedName name="solver_opt" localSheetId="1" hidden="1">'Fitting K2'!$I$11</definedName>
    <definedName name="solver_opt" localSheetId="2" hidden="1">'Fitting K2 and KD'!$I$11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1" hidden="1">3</definedName>
    <definedName name="solver_rel1" localSheetId="2" hidden="1">3</definedName>
    <definedName name="solver_rhs1" localSheetId="1" hidden="1">0.001</definedName>
    <definedName name="solver_rhs1" localSheetId="2" hidden="1">0.001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2</definedName>
    <definedName name="solver_typ" localSheetId="2" hidden="1">2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9" i="5" l="1"/>
  <c r="H9" i="5" s="1"/>
  <c r="I9" i="5" s="1"/>
  <c r="C9" i="5"/>
  <c r="G8" i="5"/>
  <c r="H8" i="5" s="1"/>
  <c r="C8" i="5"/>
  <c r="G7" i="5"/>
  <c r="H7" i="5" s="1"/>
  <c r="I7" i="5" s="1"/>
  <c r="C7" i="5"/>
  <c r="G6" i="5"/>
  <c r="H6" i="5" s="1"/>
  <c r="C6" i="5"/>
  <c r="G5" i="5"/>
  <c r="H5" i="5" s="1"/>
  <c r="I5" i="5" s="1"/>
  <c r="C5" i="5"/>
  <c r="C4" i="5"/>
  <c r="A4" i="5"/>
  <c r="G4" i="5" s="1"/>
  <c r="H4" i="5" s="1"/>
  <c r="G3" i="5"/>
  <c r="H3" i="5" s="1"/>
  <c r="C1" i="5"/>
  <c r="C3" i="5" s="1"/>
  <c r="G9" i="3"/>
  <c r="H9" i="3" s="1"/>
  <c r="G8" i="3"/>
  <c r="H8" i="3" s="1"/>
  <c r="G7" i="3"/>
  <c r="H7" i="3" s="1"/>
  <c r="G6" i="3"/>
  <c r="H6" i="3" s="1"/>
  <c r="C6" i="3"/>
  <c r="G5" i="3"/>
  <c r="H5" i="3" s="1"/>
  <c r="G4" i="3"/>
  <c r="H4" i="3" s="1"/>
  <c r="C4" i="3"/>
  <c r="A4" i="3"/>
  <c r="G3" i="3"/>
  <c r="H3" i="3" s="1"/>
  <c r="C1" i="3"/>
  <c r="C8" i="3" s="1"/>
  <c r="I6" i="5" l="1"/>
  <c r="I3" i="5"/>
  <c r="I4" i="5"/>
  <c r="I8" i="5"/>
  <c r="I8" i="3"/>
  <c r="I4" i="3"/>
  <c r="I6" i="3"/>
  <c r="C3" i="3"/>
  <c r="I3" i="3" s="1"/>
  <c r="C5" i="3"/>
  <c r="I5" i="3" s="1"/>
  <c r="C9" i="3"/>
  <c r="I9" i="3" s="1"/>
  <c r="C7" i="3"/>
  <c r="I7" i="3" s="1"/>
  <c r="I11" i="5" l="1"/>
  <c r="I11" i="3"/>
</calcChain>
</file>

<file path=xl/sharedStrings.xml><?xml version="1.0" encoding="utf-8"?>
<sst xmlns="http://schemas.openxmlformats.org/spreadsheetml/2006/main" count="84" uniqueCount="63">
  <si>
    <t>IPTG (mM)</t>
  </si>
  <si>
    <t>mRNA/cell &lt;n&gt;</t>
  </si>
  <si>
    <t>&lt;mc&gt;</t>
  </si>
  <si>
    <t>gDW/cell</t>
  </si>
  <si>
    <t>http://book.bionumbers.org/how-big-is-an-e-coli-cell-and-what-is-its-mass/</t>
  </si>
  <si>
    <t>m* (nmol/gDW)</t>
  </si>
  <si>
    <t>Kx (nmol/gDW)</t>
  </si>
  <si>
    <t>K1</t>
  </si>
  <si>
    <t>n</t>
  </si>
  <si>
    <t>K2</t>
  </si>
  <si>
    <t>fTL</t>
  </si>
  <si>
    <t>m*calc</t>
  </si>
  <si>
    <t>error^2</t>
  </si>
  <si>
    <t>Sum</t>
  </si>
  <si>
    <t>KD (mM)</t>
  </si>
  <si>
    <t>https://bionumbers.hms.harvard.edu/keynumbers.aspx</t>
  </si>
  <si>
    <t>Parameter</t>
  </si>
  <si>
    <t>Value</t>
  </si>
  <si>
    <t>Source</t>
  </si>
  <si>
    <t>3.9 *10^-13gDW/cell</t>
  </si>
  <si>
    <t xml:space="preserve">0.1 OD600 </t>
  </si>
  <si>
    <t xml:space="preserve"> Based on Bionumber: 109836</t>
  </si>
  <si>
    <t>1 ml 10^ 8 cells</t>
  </si>
  <si>
    <t>Problem statement</t>
  </si>
  <si>
    <t>Thetam</t>
  </si>
  <si>
    <t>mu</t>
  </si>
  <si>
    <t>0.139 min^-1</t>
  </si>
  <si>
    <t>0.0173 min^-1</t>
  </si>
  <si>
    <t>Calculated based on problem statement</t>
  </si>
  <si>
    <t>L</t>
  </si>
  <si>
    <t>1000 nt</t>
  </si>
  <si>
    <t>Given in Problem statement</t>
  </si>
  <si>
    <t>kI</t>
  </si>
  <si>
    <t>4*10^-2 s^-1</t>
  </si>
  <si>
    <t>McClaure Paper</t>
  </si>
  <si>
    <t>ex</t>
  </si>
  <si>
    <t>25 nt/s</t>
  </si>
  <si>
    <t>Bio number: 112325</t>
  </si>
  <si>
    <t>Rxt</t>
  </si>
  <si>
    <t>1500 RNAP/e. coli cell</t>
  </si>
  <si>
    <t>Bio number: 101440</t>
  </si>
  <si>
    <t>Kxj</t>
  </si>
  <si>
    <t>Given in PSET 2 Solutions</t>
  </si>
  <si>
    <t>k*Ej</t>
  </si>
  <si>
    <t>See written work</t>
  </si>
  <si>
    <t>calculated basd on other parameters</t>
  </si>
  <si>
    <t>TauXj</t>
  </si>
  <si>
    <t>Gj</t>
  </si>
  <si>
    <t>2 genes/cell</t>
  </si>
  <si>
    <t>given in the problem then converted into other units in written work</t>
  </si>
  <si>
    <t>Calculated based on the [IPTG]=0 value</t>
  </si>
  <si>
    <t xml:space="preserve">set by my intuition </t>
  </si>
  <si>
    <t>KD</t>
  </si>
  <si>
    <t>2.8*10^-6M</t>
  </si>
  <si>
    <t xml:space="preserve">Table 1 in </t>
  </si>
  <si>
    <t>http://citeseerx.ist.psu.edu/viewdoc/download?doi=10.1.1.493.312&amp;rep=rep1&amp;type=pdf</t>
  </si>
  <si>
    <t>Least Squares Fit between the data and the model</t>
  </si>
  <si>
    <t>(another source gave 4.3 *10^-13gDW/cell for TauD=40)--&gt;</t>
  </si>
  <si>
    <t>Red text is parameters that were not calculated based on other parameters or given in the problem statement</t>
  </si>
  <si>
    <t>Volume of e.coli</t>
  </si>
  <si>
    <t>(this is used in converting some of the other parameters)</t>
  </si>
  <si>
    <t>1um^3/cell</t>
  </si>
  <si>
    <t>Bio nummber: 100004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</si>
</sst>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m* vs.</a:t>
            </a:r>
            <a:r>
              <a:rPr lang="en-US" baseline="0"/>
              <a:t> IPTG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m* experimental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'Fitting K2'!$A$3:$A$9</c:f>
              <c:numCache>
                <c:formatCode>General</c:formatCode>
                <c:ptCount val="7"/>
                <c:pt idx="0">
                  <c:v>0</c:v>
                </c:pt>
                <c:pt idx="1">
                  <c:v>5.0000000000000001E-4</c:v>
                </c:pt>
                <c:pt idx="2">
                  <c:v>5.0000000000000001E-3</c:v>
                </c:pt>
                <c:pt idx="3">
                  <c:v>1.2E-2</c:v>
                </c:pt>
                <c:pt idx="4">
                  <c:v>5.2999999999999999E-2</c:v>
                </c:pt>
                <c:pt idx="5">
                  <c:v>0.216</c:v>
                </c:pt>
                <c:pt idx="6">
                  <c:v>1</c:v>
                </c:pt>
              </c:numCache>
            </c:numRef>
          </c:xVal>
          <c:yVal>
            <c:numRef>
              <c:f>'Fitting K2'!$C$3:$C$9</c:f>
              <c:numCache>
                <c:formatCode>General</c:formatCode>
                <c:ptCount val="7"/>
                <c:pt idx="0">
                  <c:v>8.0899948053717571E-2</c:v>
                </c:pt>
                <c:pt idx="1">
                  <c:v>8.9415732059372047E-2</c:v>
                </c:pt>
                <c:pt idx="2">
                  <c:v>0.17457357211591684</c:v>
                </c:pt>
                <c:pt idx="3">
                  <c:v>0.28527876418942516</c:v>
                </c:pt>
                <c:pt idx="4">
                  <c:v>0.36617871224314269</c:v>
                </c:pt>
                <c:pt idx="5">
                  <c:v>0.39598395626293342</c:v>
                </c:pt>
                <c:pt idx="6">
                  <c:v>0.39598395626293342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6A-44D8-A2AD-C327947FA54A}"/>
            </c:ext>
          </c:extLst>
        </c:ser>
        <c:ser>
          <c:idx val="1"/>
          <c:order val="1"/>
          <c:tx>
            <c:v>m* calc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'Fitting K2'!$A$3:$A$9</c:f>
              <c:numCache>
                <c:formatCode>General</c:formatCode>
                <c:ptCount val="7"/>
                <c:pt idx="0">
                  <c:v>0</c:v>
                </c:pt>
                <c:pt idx="1">
                  <c:v>5.0000000000000001E-4</c:v>
                </c:pt>
                <c:pt idx="2">
                  <c:v>5.0000000000000001E-3</c:v>
                </c:pt>
                <c:pt idx="3">
                  <c:v>1.2E-2</c:v>
                </c:pt>
                <c:pt idx="4">
                  <c:v>5.2999999999999999E-2</c:v>
                </c:pt>
                <c:pt idx="5">
                  <c:v>0.216</c:v>
                </c:pt>
                <c:pt idx="6">
                  <c:v>1</c:v>
                </c:pt>
              </c:numCache>
            </c:numRef>
          </c:xVal>
          <c:yVal>
            <c:numRef>
              <c:f>'Fitting K2'!$H$3:$H$9</c:f>
              <c:numCache>
                <c:formatCode>General</c:formatCode>
                <c:ptCount val="7"/>
                <c:pt idx="0">
                  <c:v>8.1304693715194901E-2</c:v>
                </c:pt>
                <c:pt idx="1">
                  <c:v>0.12478734083681291</c:v>
                </c:pt>
                <c:pt idx="2">
                  <c:v>0.26350675829485387</c:v>
                </c:pt>
                <c:pt idx="3">
                  <c:v>0.31100218830533577</c:v>
                </c:pt>
                <c:pt idx="4">
                  <c:v>0.34965494655575668</c:v>
                </c:pt>
                <c:pt idx="5">
                  <c:v>0.36001367476915141</c:v>
                </c:pt>
                <c:pt idx="6">
                  <c:v>0.36278351346884108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66A-44D8-A2AD-C327947FA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453392"/>
        <c:axId val="248454032"/>
      </c:scatterChart>
      <c:valAx>
        <c:axId val="248453392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[IPTG]</a:t>
                </a:r>
                <a:r>
                  <a:rPr lang="en-US" baseline="0"/>
                  <a:t> mM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454032"/>
        <c:crosses val="autoZero"/>
        <c:crossBetween val="midCat"/>
      </c:valAx>
      <c:valAx>
        <c:axId val="2484540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m*</a:t>
                </a:r>
                <a:r>
                  <a:rPr lang="en-US" baseline="0"/>
                  <a:t> (nmol/gDW)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453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m* vs.</a:t>
            </a:r>
            <a:r>
              <a:rPr lang="en-US" baseline="0"/>
              <a:t> IPTG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m* experimental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'Fitting K2 and KD'!$A$3:$A$9</c:f>
              <c:numCache>
                <c:formatCode>General</c:formatCode>
                <c:ptCount val="7"/>
                <c:pt idx="0">
                  <c:v>0</c:v>
                </c:pt>
                <c:pt idx="1">
                  <c:v>5.0000000000000001E-4</c:v>
                </c:pt>
                <c:pt idx="2">
                  <c:v>5.0000000000000001E-3</c:v>
                </c:pt>
                <c:pt idx="3">
                  <c:v>1.2E-2</c:v>
                </c:pt>
                <c:pt idx="4">
                  <c:v>5.2999999999999999E-2</c:v>
                </c:pt>
                <c:pt idx="5">
                  <c:v>0.216</c:v>
                </c:pt>
                <c:pt idx="6">
                  <c:v>1</c:v>
                </c:pt>
              </c:numCache>
            </c:numRef>
          </c:xVal>
          <c:yVal>
            <c:numRef>
              <c:f>'Fitting K2 and KD'!$C$3:$C$9</c:f>
              <c:numCache>
                <c:formatCode>General</c:formatCode>
                <c:ptCount val="7"/>
                <c:pt idx="0">
                  <c:v>8.0899948053717571E-2</c:v>
                </c:pt>
                <c:pt idx="1">
                  <c:v>8.9415732059372047E-2</c:v>
                </c:pt>
                <c:pt idx="2">
                  <c:v>0.17457357211591684</c:v>
                </c:pt>
                <c:pt idx="3">
                  <c:v>0.28527876418942516</c:v>
                </c:pt>
                <c:pt idx="4">
                  <c:v>0.36617871224314269</c:v>
                </c:pt>
                <c:pt idx="5">
                  <c:v>0.39598395626293342</c:v>
                </c:pt>
                <c:pt idx="6">
                  <c:v>0.39598395626293342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E8-4B15-B96D-B8DB6D5B729B}"/>
            </c:ext>
          </c:extLst>
        </c:ser>
        <c:ser>
          <c:idx val="1"/>
          <c:order val="1"/>
          <c:tx>
            <c:v>m* calc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'Fitting K2 and KD'!$A$3:$A$9</c:f>
              <c:numCache>
                <c:formatCode>General</c:formatCode>
                <c:ptCount val="7"/>
                <c:pt idx="0">
                  <c:v>0</c:v>
                </c:pt>
                <c:pt idx="1">
                  <c:v>5.0000000000000001E-4</c:v>
                </c:pt>
                <c:pt idx="2">
                  <c:v>5.0000000000000001E-3</c:v>
                </c:pt>
                <c:pt idx="3">
                  <c:v>1.2E-2</c:v>
                </c:pt>
                <c:pt idx="4">
                  <c:v>5.2999999999999999E-2</c:v>
                </c:pt>
                <c:pt idx="5">
                  <c:v>0.216</c:v>
                </c:pt>
                <c:pt idx="6">
                  <c:v>1</c:v>
                </c:pt>
              </c:numCache>
            </c:numRef>
          </c:xVal>
          <c:yVal>
            <c:numRef>
              <c:f>'Fitting K2 and KD'!$H$3:$H$9</c:f>
              <c:numCache>
                <c:formatCode>General</c:formatCode>
                <c:ptCount val="7"/>
                <c:pt idx="0">
                  <c:v>8.1304693715194901E-2</c:v>
                </c:pt>
                <c:pt idx="1">
                  <c:v>9.8159318988174191E-2</c:v>
                </c:pt>
                <c:pt idx="2">
                  <c:v>0.19642401020495942</c:v>
                </c:pt>
                <c:pt idx="3">
                  <c:v>0.26634796269428418</c:v>
                </c:pt>
                <c:pt idx="4">
                  <c:v>0.35982812409994946</c:v>
                </c:pt>
                <c:pt idx="5">
                  <c:v>0.39480811469144628</c:v>
                </c:pt>
                <c:pt idx="6">
                  <c:v>0.40517709925033596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AE8-4B15-B96D-B8DB6D5B72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453392"/>
        <c:axId val="248454032"/>
      </c:scatterChart>
      <c:valAx>
        <c:axId val="248453392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[IPTG]</a:t>
                </a:r>
                <a:r>
                  <a:rPr lang="en-US" baseline="0"/>
                  <a:t> mM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454032"/>
        <c:crosses val="autoZero"/>
        <c:crossBetween val="midCat"/>
      </c:valAx>
      <c:valAx>
        <c:axId val="2484540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m*</a:t>
                </a:r>
                <a:r>
                  <a:rPr lang="en-US" baseline="0"/>
                  <a:t> (nmol/gDW)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453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167557</xdr:colOff>
      <xdr:row>16</xdr:row>
      <xdr:rowOff>147074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2495B8C-74A4-47EF-84E3-C4468FA35872}"/>
            </a:ext>
          </a:extLst>
        </xdr:cNvPr>
        <xdr:cNvSpPr txBox="1"/>
      </xdr:nvSpPr>
      <xdr:spPr>
        <a:xfrm>
          <a:off x="9129251" y="327086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11</xdr:row>
      <xdr:rowOff>95250</xdr:rowOff>
    </xdr:from>
    <xdr:to>
      <xdr:col>9</xdr:col>
      <xdr:colOff>19050</xdr:colOff>
      <xdr:row>34</xdr:row>
      <xdr:rowOff>71438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CDC087-22B1-4E89-81AC-5257670AAC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11</xdr:row>
      <xdr:rowOff>95250</xdr:rowOff>
    </xdr:from>
    <xdr:to>
      <xdr:col>9</xdr:col>
      <xdr:colOff>0</xdr:colOff>
      <xdr:row>34</xdr:row>
      <xdr:rowOff>71438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25329E-169F-4661-B07F-200620D040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onumbers.hms.harvard.edu/keynumbers.aspx" TargetMode="External"/><Relationship Id="rId2" Type="http://schemas.openxmlformats.org/officeDocument/2006/relationships/hyperlink" Target="http://citeseerx.ist.psu.edu/viewdoc/download?doi=10.1.1.493.312&amp;rep=rep1&amp;type=pdf" TargetMode="External"/><Relationship Id="rId1" Type="http://schemas.openxmlformats.org/officeDocument/2006/relationships/hyperlink" Target="http://book.bionumbers.org/how-big-is-an-e-coli-cell-and-what-is-its-mass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F698D-8B10-45A0-9844-130312356F73}">
  <dimension ref="A1:K20"/>
  <sheetViews>
    <sheetView tabSelected="1" zoomScale="93" zoomScaleNormal="93" workbookViewId="0">
      <selection activeCell="C15" sqref="C15"/>
    </sheetView>
  </sheetViews>
  <sheetFormatPr defaultRowHeight="15" x14ac:dyDescent="0.25"/>
  <cols>
    <col min="1" max="1" width="16.42578125" customWidth="1"/>
    <col min="2" max="2" width="20.42578125" bestFit="1" customWidth="1"/>
    <col min="4" max="4" width="18" customWidth="1"/>
    <col min="10" max="10" width="5.85546875" customWidth="1"/>
  </cols>
  <sheetData>
    <row r="1" spans="1:11" x14ac:dyDescent="0.25">
      <c r="C1" s="3" t="s">
        <v>58</v>
      </c>
    </row>
    <row r="2" spans="1:11" ht="15.75" thickBot="1" x14ac:dyDescent="0.3">
      <c r="A2" s="2" t="s">
        <v>16</v>
      </c>
      <c r="B2" s="2" t="s">
        <v>17</v>
      </c>
      <c r="C2" s="2" t="s">
        <v>18</v>
      </c>
    </row>
    <row r="3" spans="1:11" x14ac:dyDescent="0.25">
      <c r="A3" t="s">
        <v>2</v>
      </c>
      <c r="B3" t="s">
        <v>19</v>
      </c>
      <c r="C3" s="3" t="s">
        <v>21</v>
      </c>
      <c r="E3" t="s">
        <v>57</v>
      </c>
      <c r="K3" s="1" t="s">
        <v>4</v>
      </c>
    </row>
    <row r="4" spans="1:11" x14ac:dyDescent="0.25">
      <c r="A4" t="s">
        <v>20</v>
      </c>
      <c r="B4" t="s">
        <v>22</v>
      </c>
      <c r="C4" t="s">
        <v>23</v>
      </c>
    </row>
    <row r="5" spans="1:11" x14ac:dyDescent="0.25">
      <c r="A5" t="s">
        <v>24</v>
      </c>
      <c r="B5" t="s">
        <v>26</v>
      </c>
      <c r="C5" t="s">
        <v>28</v>
      </c>
    </row>
    <row r="6" spans="1:11" x14ac:dyDescent="0.25">
      <c r="A6" t="s">
        <v>25</v>
      </c>
      <c r="B6" t="s">
        <v>27</v>
      </c>
      <c r="C6" t="s">
        <v>28</v>
      </c>
    </row>
    <row r="7" spans="1:11" x14ac:dyDescent="0.25">
      <c r="A7" t="s">
        <v>29</v>
      </c>
      <c r="B7" t="s">
        <v>30</v>
      </c>
      <c r="C7" t="s">
        <v>31</v>
      </c>
    </row>
    <row r="8" spans="1:11" x14ac:dyDescent="0.25">
      <c r="A8" t="s">
        <v>32</v>
      </c>
      <c r="B8" t="s">
        <v>33</v>
      </c>
      <c r="C8" s="3" t="s">
        <v>34</v>
      </c>
    </row>
    <row r="9" spans="1:11" x14ac:dyDescent="0.25">
      <c r="A9" t="s">
        <v>35</v>
      </c>
      <c r="B9" t="s">
        <v>36</v>
      </c>
      <c r="C9" s="3" t="s">
        <v>37</v>
      </c>
    </row>
    <row r="10" spans="1:11" x14ac:dyDescent="0.25">
      <c r="A10" t="s">
        <v>38</v>
      </c>
      <c r="B10" t="s">
        <v>39</v>
      </c>
      <c r="C10" s="3" t="s">
        <v>40</v>
      </c>
    </row>
    <row r="11" spans="1:11" x14ac:dyDescent="0.25">
      <c r="A11" t="s">
        <v>41</v>
      </c>
      <c r="B11">
        <v>1.3599999999999999E-2</v>
      </c>
      <c r="C11" s="3" t="s">
        <v>42</v>
      </c>
    </row>
    <row r="12" spans="1:11" x14ac:dyDescent="0.25">
      <c r="A12" t="s">
        <v>43</v>
      </c>
      <c r="B12" t="s">
        <v>44</v>
      </c>
      <c r="C12" t="s">
        <v>45</v>
      </c>
    </row>
    <row r="13" spans="1:11" x14ac:dyDescent="0.25">
      <c r="A13" t="s">
        <v>46</v>
      </c>
      <c r="B13" t="s">
        <v>44</v>
      </c>
      <c r="C13" t="s">
        <v>45</v>
      </c>
    </row>
    <row r="14" spans="1:11" x14ac:dyDescent="0.25">
      <c r="A14" t="s">
        <v>47</v>
      </c>
      <c r="B14" t="s">
        <v>48</v>
      </c>
      <c r="C14" t="s">
        <v>49</v>
      </c>
    </row>
    <row r="15" spans="1:11" x14ac:dyDescent="0.25">
      <c r="A15" t="s">
        <v>59</v>
      </c>
      <c r="B15" t="s">
        <v>61</v>
      </c>
      <c r="C15" s="3" t="s">
        <v>62</v>
      </c>
      <c r="E15" t="s">
        <v>60</v>
      </c>
      <c r="K15" s="1" t="s">
        <v>15</v>
      </c>
    </row>
    <row r="17" spans="1:4" x14ac:dyDescent="0.25">
      <c r="A17" t="s">
        <v>7</v>
      </c>
      <c r="B17">
        <v>5.5999999999999999E-3</v>
      </c>
      <c r="C17" t="s">
        <v>50</v>
      </c>
    </row>
    <row r="18" spans="1:4" x14ac:dyDescent="0.25">
      <c r="A18" t="s">
        <v>8</v>
      </c>
      <c r="B18">
        <v>1</v>
      </c>
      <c r="C18" s="3" t="s">
        <v>51</v>
      </c>
    </row>
    <row r="19" spans="1:4" x14ac:dyDescent="0.25">
      <c r="A19" t="s">
        <v>52</v>
      </c>
      <c r="B19" t="s">
        <v>53</v>
      </c>
      <c r="C19" s="3" t="s">
        <v>54</v>
      </c>
      <c r="D19" s="1" t="s">
        <v>55</v>
      </c>
    </row>
    <row r="20" spans="1:4" x14ac:dyDescent="0.25">
      <c r="A20" t="s">
        <v>9</v>
      </c>
      <c r="B20">
        <v>1.9900000000000001E-2</v>
      </c>
      <c r="C20" t="s">
        <v>56</v>
      </c>
    </row>
  </sheetData>
  <hyperlinks>
    <hyperlink ref="K3" r:id="rId1" xr:uid="{41AB7AFC-C628-469F-ACBC-7F6B5C781454}"/>
    <hyperlink ref="D19" r:id="rId2" xr:uid="{803227FC-9B4F-496C-9EE1-725DA9F06BF7}"/>
    <hyperlink ref="K15" r:id="rId3" xr:uid="{A2DB27AF-2F04-4F12-A5E4-9F2B999407CF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8DCF-0E2C-4551-843F-00546DDA1BA6}">
  <dimension ref="A1:I19"/>
  <sheetViews>
    <sheetView workbookViewId="0">
      <selection activeCell="N20" sqref="N20"/>
    </sheetView>
  </sheetViews>
  <sheetFormatPr defaultRowHeight="15" x14ac:dyDescent="0.25"/>
  <cols>
    <col min="2" max="2" width="14.28515625" bestFit="1" customWidth="1"/>
    <col min="3" max="3" width="15.28515625" bestFit="1" customWidth="1"/>
    <col min="5" max="5" width="15.85546875" bestFit="1" customWidth="1"/>
  </cols>
  <sheetData>
    <row r="1" spans="1:9" x14ac:dyDescent="0.25">
      <c r="B1" t="s">
        <v>2</v>
      </c>
      <c r="C1">
        <f>3.9*10^-13</f>
        <v>3.9E-13</v>
      </c>
      <c r="D1" t="s">
        <v>3</v>
      </c>
    </row>
    <row r="2" spans="1:9" x14ac:dyDescent="0.25">
      <c r="A2" t="s">
        <v>0</v>
      </c>
      <c r="B2" t="s">
        <v>1</v>
      </c>
      <c r="C2" t="s">
        <v>5</v>
      </c>
      <c r="G2" t="s">
        <v>10</v>
      </c>
      <c r="H2" t="s">
        <v>11</v>
      </c>
      <c r="I2" t="s">
        <v>12</v>
      </c>
    </row>
    <row r="3" spans="1:9" x14ac:dyDescent="0.25">
      <c r="A3">
        <v>0</v>
      </c>
      <c r="B3">
        <v>19</v>
      </c>
      <c r="C3">
        <f>B3/(6.022*10^23)*10^9*1/$C$1</f>
        <v>8.0899948053717571E-2</v>
      </c>
      <c r="E3" t="s">
        <v>6</v>
      </c>
      <c r="F3">
        <v>14.6</v>
      </c>
      <c r="G3">
        <f>A3^$F$5/($F$7^F$5+A3^$F$5)</f>
        <v>0</v>
      </c>
      <c r="H3">
        <f>($F$4+$F$6*G3)/(1+$F$4+$F$6*G3)*$F$3</f>
        <v>8.1304693715194901E-2</v>
      </c>
      <c r="I3">
        <f>(C3-H3)^2</f>
        <v>1.6381905048472081E-7</v>
      </c>
    </row>
    <row r="4" spans="1:9" x14ac:dyDescent="0.25">
      <c r="A4">
        <f>5*10^-4</f>
        <v>5.0000000000000001E-4</v>
      </c>
      <c r="B4">
        <v>21</v>
      </c>
      <c r="C4">
        <f t="shared" ref="C4:C9" si="0">B4/(6.022*10^23)*10^9*1/$C$1</f>
        <v>8.9415732059372047E-2</v>
      </c>
      <c r="E4" t="s">
        <v>7</v>
      </c>
      <c r="F4">
        <v>5.5999999999999999E-3</v>
      </c>
      <c r="G4">
        <f t="shared" ref="G4:G9" si="1">A4^$F$5/($F$7^F$5+A4^$F$5)</f>
        <v>0.15151515151515152</v>
      </c>
      <c r="H4">
        <f t="shared" ref="H4:H9" si="2">($F$4+$F$6*G4)/(1+$F$4+$F$6*G4)*$F$3</f>
        <v>0.12478734083681291</v>
      </c>
      <c r="I4">
        <f t="shared" ref="I4:I9" si="3">(C4-H4)^2</f>
        <v>1.2511507075043313E-3</v>
      </c>
    </row>
    <row r="5" spans="1:9" x14ac:dyDescent="0.25">
      <c r="A5">
        <v>5.0000000000000001E-3</v>
      </c>
      <c r="B5">
        <v>41</v>
      </c>
      <c r="C5">
        <f t="shared" si="0"/>
        <v>0.17457357211591684</v>
      </c>
      <c r="E5" t="s">
        <v>8</v>
      </c>
      <c r="F5">
        <v>1</v>
      </c>
      <c r="G5">
        <f t="shared" si="1"/>
        <v>0.64102564102564108</v>
      </c>
      <c r="H5">
        <f t="shared" si="2"/>
        <v>0.26350675829485387</v>
      </c>
      <c r="I5">
        <f t="shared" si="3"/>
        <v>7.9091116039374763E-3</v>
      </c>
    </row>
    <row r="6" spans="1:9" x14ac:dyDescent="0.25">
      <c r="A6">
        <v>1.2E-2</v>
      </c>
      <c r="B6">
        <v>67</v>
      </c>
      <c r="C6">
        <f t="shared" si="0"/>
        <v>0.28527876418942516</v>
      </c>
      <c r="E6" t="s">
        <v>9</v>
      </c>
      <c r="F6">
        <v>1.9937018987946069E-2</v>
      </c>
      <c r="G6">
        <f t="shared" si="1"/>
        <v>0.81081081081081074</v>
      </c>
      <c r="H6">
        <f t="shared" si="2"/>
        <v>0.31100218830533577</v>
      </c>
      <c r="I6">
        <f t="shared" si="3"/>
        <v>6.6169454824701148E-4</v>
      </c>
    </row>
    <row r="7" spans="1:9" x14ac:dyDescent="0.25">
      <c r="A7">
        <v>5.2999999999999999E-2</v>
      </c>
      <c r="B7">
        <v>86</v>
      </c>
      <c r="C7">
        <f t="shared" si="0"/>
        <v>0.36617871224314269</v>
      </c>
      <c r="E7" t="s">
        <v>14</v>
      </c>
      <c r="F7">
        <v>2.8E-3</v>
      </c>
      <c r="G7">
        <f t="shared" si="1"/>
        <v>0.94982078853046603</v>
      </c>
      <c r="H7">
        <f t="shared" si="2"/>
        <v>0.34965494655575668</v>
      </c>
      <c r="I7">
        <f t="shared" si="3"/>
        <v>2.730348324916351E-4</v>
      </c>
    </row>
    <row r="8" spans="1:9" x14ac:dyDescent="0.25">
      <c r="A8">
        <v>0.216</v>
      </c>
      <c r="B8">
        <v>93</v>
      </c>
      <c r="C8">
        <f t="shared" si="0"/>
        <v>0.39598395626293342</v>
      </c>
      <c r="G8">
        <f t="shared" si="1"/>
        <v>0.98720292504570384</v>
      </c>
      <c r="H8">
        <f t="shared" si="2"/>
        <v>0.36001367476915141</v>
      </c>
      <c r="I8">
        <f t="shared" si="3"/>
        <v>1.2938611507419164E-3</v>
      </c>
    </row>
    <row r="9" spans="1:9" x14ac:dyDescent="0.25">
      <c r="A9">
        <v>1</v>
      </c>
      <c r="B9">
        <v>93</v>
      </c>
      <c r="C9">
        <f t="shared" si="0"/>
        <v>0.39598395626293342</v>
      </c>
      <c r="G9">
        <f t="shared" si="1"/>
        <v>0.99720781810929404</v>
      </c>
      <c r="H9">
        <f t="shared" si="2"/>
        <v>0.36278351346884108</v>
      </c>
      <c r="I9">
        <f t="shared" si="3"/>
        <v>1.1022694017237982E-3</v>
      </c>
    </row>
    <row r="11" spans="1:9" x14ac:dyDescent="0.25">
      <c r="H11" t="s">
        <v>13</v>
      </c>
      <c r="I11">
        <f>SUM(I3:I9)</f>
        <v>1.2491286063696651E-2</v>
      </c>
    </row>
    <row r="14" spans="1:9" x14ac:dyDescent="0.25">
      <c r="A14" s="1"/>
    </row>
    <row r="15" spans="1:9" x14ac:dyDescent="0.25">
      <c r="A15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284B-434F-4541-91C6-5D81021A8537}">
  <dimension ref="A1:I19"/>
  <sheetViews>
    <sheetView workbookViewId="0">
      <selection activeCell="J15" sqref="J15"/>
    </sheetView>
  </sheetViews>
  <sheetFormatPr defaultRowHeight="15" x14ac:dyDescent="0.25"/>
  <cols>
    <col min="2" max="2" width="14.28515625" bestFit="1" customWidth="1"/>
    <col min="3" max="3" width="15.28515625" bestFit="1" customWidth="1"/>
    <col min="5" max="5" width="15.85546875" bestFit="1" customWidth="1"/>
  </cols>
  <sheetData>
    <row r="1" spans="1:9" x14ac:dyDescent="0.25">
      <c r="B1" t="s">
        <v>2</v>
      </c>
      <c r="C1">
        <f>3.9*10^-13</f>
        <v>3.9E-13</v>
      </c>
      <c r="D1" t="s">
        <v>3</v>
      </c>
    </row>
    <row r="2" spans="1:9" x14ac:dyDescent="0.25">
      <c r="A2" t="s">
        <v>0</v>
      </c>
      <c r="B2" t="s">
        <v>1</v>
      </c>
      <c r="C2" t="s">
        <v>5</v>
      </c>
      <c r="G2" t="s">
        <v>10</v>
      </c>
      <c r="H2" t="s">
        <v>11</v>
      </c>
      <c r="I2" t="s">
        <v>12</v>
      </c>
    </row>
    <row r="3" spans="1:9" x14ac:dyDescent="0.25">
      <c r="A3">
        <v>0</v>
      </c>
      <c r="B3">
        <v>19</v>
      </c>
      <c r="C3">
        <f>B3/(6.022*10^23)*10^9*1/$C$1</f>
        <v>8.0899948053717571E-2</v>
      </c>
      <c r="E3" t="s">
        <v>6</v>
      </c>
      <c r="F3">
        <v>14.6</v>
      </c>
      <c r="G3">
        <f>A3^$F$5/($F$7^F$5+A3^$F$5)</f>
        <v>0</v>
      </c>
      <c r="H3">
        <f>($F$4+$F$6*G3)/(1+$F$4+$F$6*G3)*$F$3</f>
        <v>8.1304693715194901E-2</v>
      </c>
      <c r="I3">
        <f>(C3-H3)^2</f>
        <v>1.6381905048472081E-7</v>
      </c>
    </row>
    <row r="4" spans="1:9" x14ac:dyDescent="0.25">
      <c r="A4">
        <f>5*10^-4</f>
        <v>5.0000000000000001E-4</v>
      </c>
      <c r="B4">
        <v>21</v>
      </c>
      <c r="C4">
        <f t="shared" ref="C4:C9" si="0">B4/(6.022*10^23)*10^9*1/$C$1</f>
        <v>8.9415732059372047E-2</v>
      </c>
      <c r="E4" t="s">
        <v>7</v>
      </c>
      <c r="F4">
        <v>5.5999999999999999E-3</v>
      </c>
      <c r="G4">
        <f t="shared" ref="G4:G9" si="1">A4^$F$5/($F$7^F$5+A4^$F$5)</f>
        <v>5.0464418505817496E-2</v>
      </c>
      <c r="H4">
        <f t="shared" ref="H4:H9" si="2">($F$4+$F$6*G4)/(1+$F$4+$F$6*G4)*$F$3</f>
        <v>9.8159318988174191E-2</v>
      </c>
      <c r="I4">
        <f t="shared" ref="I4:I9" si="3">(C4-H4)^2</f>
        <v>7.6450312381519714E-5</v>
      </c>
    </row>
    <row r="5" spans="1:9" x14ac:dyDescent="0.25">
      <c r="A5">
        <v>5.0000000000000001E-3</v>
      </c>
      <c r="B5">
        <v>41</v>
      </c>
      <c r="C5">
        <f t="shared" si="0"/>
        <v>0.17457357211591684</v>
      </c>
      <c r="E5" t="s">
        <v>8</v>
      </c>
      <c r="F5">
        <v>1</v>
      </c>
      <c r="G5">
        <f t="shared" si="1"/>
        <v>0.34703012424289936</v>
      </c>
      <c r="H5">
        <f t="shared" si="2"/>
        <v>0.19642401020495942</v>
      </c>
      <c r="I5">
        <f t="shared" si="3"/>
        <v>4.7744164468308269E-4</v>
      </c>
    </row>
    <row r="6" spans="1:9" x14ac:dyDescent="0.25">
      <c r="A6">
        <v>1.2E-2</v>
      </c>
      <c r="B6">
        <v>67</v>
      </c>
      <c r="C6">
        <f t="shared" si="0"/>
        <v>0.28527876418942516</v>
      </c>
      <c r="E6" t="s">
        <v>9</v>
      </c>
      <c r="F6">
        <v>2.315986177747727E-2</v>
      </c>
      <c r="G6">
        <f t="shared" si="1"/>
        <v>0.56053887336795816</v>
      </c>
      <c r="H6">
        <f t="shared" si="2"/>
        <v>0.26634796269428418</v>
      </c>
      <c r="I6">
        <f t="shared" si="3"/>
        <v>3.5837524524843199E-4</v>
      </c>
    </row>
    <row r="7" spans="1:9" x14ac:dyDescent="0.25">
      <c r="A7">
        <v>5.2999999999999999E-2</v>
      </c>
      <c r="B7">
        <v>86</v>
      </c>
      <c r="C7">
        <f t="shared" si="0"/>
        <v>0.36617871224314269</v>
      </c>
      <c r="E7" t="s">
        <v>14</v>
      </c>
      <c r="F7">
        <v>9.4079710973457541E-3</v>
      </c>
      <c r="G7">
        <f t="shared" si="1"/>
        <v>0.84925048944996262</v>
      </c>
      <c r="H7">
        <f t="shared" si="2"/>
        <v>0.35982812409994946</v>
      </c>
      <c r="I7">
        <f t="shared" si="3"/>
        <v>4.0329969764466382E-5</v>
      </c>
    </row>
    <row r="8" spans="1:9" x14ac:dyDescent="0.25">
      <c r="A8">
        <v>0.216</v>
      </c>
      <c r="B8">
        <v>93</v>
      </c>
      <c r="C8">
        <f t="shared" si="0"/>
        <v>0.39598395626293342</v>
      </c>
      <c r="G8">
        <f t="shared" si="1"/>
        <v>0.95826247380895513</v>
      </c>
      <c r="H8">
        <f t="shared" si="2"/>
        <v>0.39480811469144628</v>
      </c>
      <c r="I8">
        <f t="shared" si="3"/>
        <v>1.3826034012373616E-6</v>
      </c>
    </row>
    <row r="9" spans="1:9" x14ac:dyDescent="0.25">
      <c r="A9">
        <v>1</v>
      </c>
      <c r="B9">
        <v>93</v>
      </c>
      <c r="C9">
        <f t="shared" si="0"/>
        <v>0.39598395626293342</v>
      </c>
      <c r="G9">
        <f t="shared" si="1"/>
        <v>0.99067971388504272</v>
      </c>
      <c r="H9">
        <f t="shared" si="2"/>
        <v>0.40517709925033596</v>
      </c>
      <c r="I9">
        <f t="shared" si="3"/>
        <v>8.4513877986828432E-5</v>
      </c>
    </row>
    <row r="11" spans="1:9" x14ac:dyDescent="0.25">
      <c r="H11" t="s">
        <v>13</v>
      </c>
      <c r="I11">
        <f>SUM(I3:I9)</f>
        <v>1.0386574725160514E-3</v>
      </c>
    </row>
    <row r="14" spans="1:9" x14ac:dyDescent="0.25">
      <c r="A14" s="1"/>
    </row>
    <row r="15" spans="1:9" x14ac:dyDescent="0.25">
      <c r="A15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 Sources</vt:lpstr>
      <vt:lpstr>Fitting K2</vt:lpstr>
      <vt:lpstr>Fitting K2 and KD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cp:lastPrinted>2020-05-11T20:42:05Z</cp:lastPrinted>
  <dcterms:created xsi:type="dcterms:W3CDTF">2020-05-10T17:43:57Z</dcterms:created>
  <dcterms:modified xsi:type="dcterms:W3CDTF">2020-05-11T20:43:37Z</dcterms:modified>
</cp:coreProperties>
</file>