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coman\Desktop\"/>
    </mc:Choice>
  </mc:AlternateContent>
  <xr:revisionPtr revIDLastSave="0" documentId="13_ncr:1_{C673DE1A-8F6A-4F5F-8335-991D4485E61C}" xr6:coauthVersionLast="47" xr6:coauthVersionMax="47" xr10:uidLastSave="{00000000-0000-0000-0000-000000000000}"/>
  <bookViews>
    <workbookView xWindow="-120" yWindow="-120" windowWidth="20730" windowHeight="11160" tabRatio="900" activeTab="2" xr2:uid="{00000000-000D-0000-FFFF-FFFF00000000}"/>
  </bookViews>
  <sheets>
    <sheet name="Enunciado" sheetId="2" r:id="rId1"/>
    <sheet name="Cuadros Amortización" sheetId="7" r:id="rId2"/>
    <sheet name="Diario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4" i="6" l="1"/>
  <c r="F152" i="6"/>
  <c r="E146" i="6"/>
  <c r="E139" i="6" l="1"/>
  <c r="E136" i="6"/>
  <c r="F138" i="6"/>
  <c r="E134" i="6"/>
  <c r="F133" i="6"/>
  <c r="E131" i="6" s="1"/>
  <c r="F128" i="6"/>
  <c r="E126" i="6" s="1"/>
  <c r="F130" i="6" s="1"/>
  <c r="E129" i="6"/>
  <c r="F124" i="6"/>
  <c r="F125" i="6"/>
  <c r="F123" i="6"/>
  <c r="E122" i="6"/>
  <c r="J13" i="7"/>
  <c r="J12" i="7"/>
  <c r="J11" i="7"/>
  <c r="I11" i="7"/>
  <c r="I12" i="7"/>
  <c r="I13" i="7"/>
  <c r="J17" i="7"/>
  <c r="F116" i="6"/>
  <c r="F114" i="6"/>
  <c r="E104" i="6"/>
  <c r="F105" i="6" s="1"/>
  <c r="I16" i="7"/>
  <c r="F103" i="6"/>
  <c r="E92" i="6"/>
  <c r="F93" i="6" s="1"/>
  <c r="I15" i="7"/>
  <c r="E90" i="6"/>
  <c r="F91" i="6" s="1"/>
  <c r="E88" i="6"/>
  <c r="F89" i="6" s="1"/>
  <c r="H17" i="7"/>
  <c r="F80" i="6"/>
  <c r="E81" i="6"/>
  <c r="F82" i="6" s="1"/>
  <c r="C16" i="7"/>
  <c r="H16" i="7" s="1"/>
  <c r="D16" i="7"/>
  <c r="F79" i="6"/>
  <c r="F78" i="6"/>
  <c r="F77" i="6"/>
  <c r="F76" i="6"/>
  <c r="F70" i="6"/>
  <c r="H14" i="7"/>
  <c r="E67" i="6"/>
  <c r="F68" i="6" s="1"/>
  <c r="F55" i="6"/>
  <c r="F56" i="6"/>
  <c r="F57" i="6"/>
  <c r="F58" i="6"/>
  <c r="F54" i="6"/>
  <c r="G15" i="7"/>
  <c r="G12" i="7"/>
  <c r="G13" i="7"/>
  <c r="G17" i="7" s="1"/>
  <c r="E53" i="6" s="1"/>
  <c r="G14" i="7"/>
  <c r="E51" i="6"/>
  <c r="F52" i="6" s="1"/>
  <c r="E48" i="6"/>
  <c r="F49" i="6" s="1"/>
  <c r="F46" i="6"/>
  <c r="F35" i="6"/>
  <c r="F36" i="6"/>
  <c r="F37" i="6"/>
  <c r="F34" i="6"/>
  <c r="F14" i="7"/>
  <c r="F12" i="7"/>
  <c r="F13" i="7"/>
  <c r="F11" i="7"/>
  <c r="E12" i="7"/>
  <c r="E13" i="7"/>
  <c r="E11" i="7"/>
  <c r="F22" i="6" s="1"/>
  <c r="F21" i="6"/>
  <c r="F20" i="6"/>
  <c r="E31" i="6"/>
  <c r="F7" i="6"/>
  <c r="E62" i="6" s="1"/>
  <c r="F63" i="6" s="1"/>
  <c r="F6" i="6"/>
  <c r="E15" i="6"/>
  <c r="F16" i="6" s="1"/>
  <c r="F17" i="6" s="1"/>
  <c r="F18" i="6" s="1"/>
  <c r="E43" i="6" s="1"/>
  <c r="F44" i="6" s="1"/>
  <c r="E12" i="6"/>
  <c r="E9" i="6"/>
  <c r="C15" i="7"/>
  <c r="C14" i="7"/>
  <c r="C13" i="7"/>
  <c r="C12" i="7"/>
  <c r="C11" i="7"/>
  <c r="G7" i="7"/>
  <c r="G6" i="7"/>
  <c r="D15" i="7" s="1"/>
  <c r="G5" i="7"/>
  <c r="D14" i="7" s="1"/>
  <c r="G4" i="7"/>
  <c r="D13" i="7" s="1"/>
  <c r="G3" i="7"/>
  <c r="D12" i="7" s="1"/>
  <c r="G2" i="7"/>
  <c r="D11" i="7" s="1"/>
  <c r="E142" i="6" l="1"/>
  <c r="F140" i="6"/>
  <c r="E135" i="6"/>
  <c r="E106" i="6"/>
  <c r="F107" i="6" s="1"/>
  <c r="E117" i="6"/>
  <c r="E120" i="6"/>
  <c r="F121" i="6" s="1"/>
  <c r="I17" i="7"/>
  <c r="E113" i="6" s="1"/>
  <c r="F115" i="6"/>
  <c r="E118" i="6"/>
  <c r="F119" i="6" s="1"/>
  <c r="E86" i="6"/>
  <c r="F87" i="6" s="1"/>
  <c r="E28" i="6"/>
  <c r="E83" i="6"/>
  <c r="E84" i="6" s="1"/>
  <c r="F85" i="6" s="1"/>
  <c r="K16" i="7"/>
  <c r="E75" i="6"/>
  <c r="E38" i="6"/>
  <c r="E39" i="6" s="1"/>
  <c r="F40" i="6" s="1"/>
  <c r="E59" i="6"/>
  <c r="E25" i="6"/>
  <c r="E26" i="6" s="1"/>
  <c r="F27" i="6" s="1"/>
  <c r="E41" i="6"/>
  <c r="F42" i="6" s="1"/>
  <c r="F29" i="6"/>
  <c r="F17" i="7"/>
  <c r="E33" i="6" s="1"/>
  <c r="E17" i="7"/>
  <c r="E19" i="6" s="1"/>
  <c r="H13" i="7"/>
  <c r="H15" i="7"/>
  <c r="K12" i="7"/>
  <c r="L12" i="7" s="1"/>
  <c r="G11" i="7"/>
  <c r="H12" i="7"/>
  <c r="H11" i="7"/>
  <c r="F143" i="6" l="1"/>
  <c r="L16" i="7"/>
  <c r="E108" i="6"/>
  <c r="E110" i="6" s="1"/>
  <c r="E60" i="6"/>
  <c r="F61" i="6" s="1"/>
  <c r="L13" i="7"/>
  <c r="K11" i="7"/>
  <c r="K15" i="7"/>
  <c r="E97" i="6" s="1"/>
  <c r="F100" i="6" s="1"/>
  <c r="K14" i="7"/>
  <c r="L14" i="7" s="1"/>
  <c r="K17" i="7" l="1"/>
  <c r="L11" i="7"/>
  <c r="L17" i="7" s="1"/>
  <c r="E72" i="6"/>
  <c r="E74" i="6" s="1"/>
  <c r="L15" i="7"/>
  <c r="F145" i="6"/>
</calcChain>
</file>

<file path=xl/sharedStrings.xml><?xml version="1.0" encoding="utf-8"?>
<sst xmlns="http://schemas.openxmlformats.org/spreadsheetml/2006/main" count="652" uniqueCount="232">
  <si>
    <t>(Nº CTA)</t>
  </si>
  <si>
    <t>Inmovilizado</t>
  </si>
  <si>
    <t>Fecha Adquisición</t>
  </si>
  <si>
    <t>Precio Adquisición</t>
  </si>
  <si>
    <t>Valor Residual</t>
  </si>
  <si>
    <t>% Amortización</t>
  </si>
  <si>
    <t>Fecha Venta</t>
  </si>
  <si>
    <t>Precio Venta</t>
  </si>
  <si>
    <t>Taller</t>
  </si>
  <si>
    <t>Máquina</t>
  </si>
  <si>
    <t>Furgoneta</t>
  </si>
  <si>
    <t>Ordenador</t>
  </si>
  <si>
    <t>Mobiliario</t>
  </si>
  <si>
    <t>Amortización Lineal</t>
  </si>
  <si>
    <t>Amortización Acumulada</t>
  </si>
  <si>
    <t>Nº CTA Amortización</t>
  </si>
  <si>
    <t>Valor NETO Contable</t>
  </si>
  <si>
    <t>(281.1)</t>
  </si>
  <si>
    <t>(281.5)</t>
  </si>
  <si>
    <t>(281.2)</t>
  </si>
  <si>
    <t>(281.4)</t>
  </si>
  <si>
    <t>(281.6)</t>
  </si>
  <si>
    <t>(211.1)</t>
  </si>
  <si>
    <t>(211.2)</t>
  </si>
  <si>
    <t>(216)</t>
  </si>
  <si>
    <t>(217)</t>
  </si>
  <si>
    <t>(218)</t>
  </si>
  <si>
    <t>(213)</t>
  </si>
  <si>
    <t>Tienda</t>
  </si>
  <si>
    <t>Valor Amortizable</t>
  </si>
  <si>
    <t>Cuota A1</t>
  </si>
  <si>
    <t>Cuota A2</t>
  </si>
  <si>
    <t>Cuota A3</t>
  </si>
  <si>
    <t>Cuota A4</t>
  </si>
  <si>
    <t>Cuota A5</t>
  </si>
  <si>
    <t>Cuota A6</t>
  </si>
  <si>
    <t>(281.3)</t>
  </si>
  <si>
    <t>15-03-20</t>
  </si>
  <si>
    <t>Amortización lineal en 20 años.</t>
  </si>
  <si>
    <t>Amortización lineal en 8 años.</t>
  </si>
  <si>
    <t>Amortización lineal 4 años.</t>
  </si>
  <si>
    <t>Pago en efectivo.</t>
  </si>
  <si>
    <t>31-12-20</t>
  </si>
  <si>
    <t>Capital ingresado en cuenta: 99.000 euros. Plazo: 20 años. Interés simple anual del 5%, los cuales se abonan al vencimiento de cada cuota anual.</t>
  </si>
  <si>
    <t>La empresa compra el local para la nueva tienda en Ciudad Real por importe de 90.000 euros + 10% iva, Valor residual de 10.000 euros.</t>
  </si>
  <si>
    <t>Forma de pago: transferencia bancaria desde la cuenta del préstamo.</t>
  </si>
  <si>
    <t>01-07-20</t>
  </si>
  <si>
    <t>Paga por banco la letra a corto plazo del ordenador.</t>
  </si>
  <si>
    <t>15-03-21</t>
  </si>
  <si>
    <t>Compra de mobiliario por 8.000 euros + 21% iva, valor residual de 500 euros.</t>
  </si>
  <si>
    <t>Compra un ordenador por importe de 1.500 euros + 21% de iva, valor residual de 200 euros.</t>
  </si>
  <si>
    <t>Compra una furgoneta de reparto por importe de 12.000 euros + 21% iva, valor residual de 3.000 euros.</t>
  </si>
  <si>
    <t>Amortización lineal 10 años.</t>
  </si>
  <si>
    <t>18-11-22</t>
  </si>
  <si>
    <t>Realiza unas obras de acondicionamiento por importe de 5.000 euros +21% de iva, abonándolas al contado.</t>
  </si>
  <si>
    <t>El valor residual del taller es de 10.000 euros.</t>
  </si>
  <si>
    <t>31-12-21</t>
  </si>
  <si>
    <t>Asiento de reclasificación de deudas.</t>
  </si>
  <si>
    <t>01-01-20</t>
  </si>
  <si>
    <t>Paga la primera letra del préstamo de la tienda.</t>
  </si>
  <si>
    <t>Asiento de amortización total del inmovilizado de la empresa.</t>
  </si>
  <si>
    <r>
      <t xml:space="preserve">Se paga el 50% por transferencia bancaria, el 25% se deja a deber a 6 meses </t>
    </r>
    <r>
      <rPr>
        <sz val="10"/>
        <color rgb="FFFF0000"/>
        <rFont val="Calibri"/>
        <family val="2"/>
        <scheme val="minor"/>
      </rPr>
      <t>(31-12-20</t>
    </r>
    <r>
      <rPr>
        <sz val="10"/>
        <color theme="1"/>
        <rFont val="Calibri"/>
        <family val="2"/>
        <scheme val="minor"/>
      </rPr>
      <t xml:space="preserve"> y el 25% restante con una letra a 2 años</t>
    </r>
    <r>
      <rPr>
        <sz val="10"/>
        <color rgb="FFFF0000"/>
        <rFont val="Calibri"/>
        <family val="2"/>
        <scheme val="minor"/>
      </rPr>
      <t xml:space="preserve"> (30-06-22</t>
    </r>
  </si>
  <si>
    <r>
      <t xml:space="preserve">El proveedor nos deja pagarla en un plazo de 3 años </t>
    </r>
    <r>
      <rPr>
        <sz val="10"/>
        <color rgb="FFFF0000"/>
        <rFont val="Calibri"/>
        <family val="2"/>
        <scheme val="minor"/>
      </rPr>
      <t>(15-03-24.</t>
    </r>
  </si>
  <si>
    <t>Paga la segunda letra del préstamo de la tienda.</t>
  </si>
  <si>
    <t>31-12-22</t>
  </si>
  <si>
    <t>Paga la tercera letra del préstamo de la tienda.</t>
  </si>
  <si>
    <t>06-01-23</t>
  </si>
  <si>
    <t>Compra de máquina por importe de 25.000 euros +21% iva, valor residual de 5.000 euros.</t>
  </si>
  <si>
    <t>Forma de pago: se recibe en la cuenta del banco una subvención de capital para pagar el importe total de la máquina.</t>
  </si>
  <si>
    <t>Amortización lineal a 5 años.</t>
  </si>
  <si>
    <t>30-06-22</t>
  </si>
  <si>
    <t>Paga por banco la letra restante del ordenador.</t>
  </si>
  <si>
    <t>28-10-23</t>
  </si>
  <si>
    <t>La furgoneta tiene un accidente y queda siniestro total, por lo que se da de baja del inventario.</t>
  </si>
  <si>
    <t>31-12-23</t>
  </si>
  <si>
    <t>Paga la cuarta letra del préstamo de la tienda.</t>
  </si>
  <si>
    <t>15-03-24</t>
  </si>
  <si>
    <t>Paga por banco la deuda que tiene con el proveedor de la furgoneta.</t>
  </si>
  <si>
    <t>La máquina se estropea y la reparación es tan costosa que decide darla de baja del inventario.</t>
  </si>
  <si>
    <t>01-04-24</t>
  </si>
  <si>
    <t>10-06-24</t>
  </si>
  <si>
    <t>El seguro abona en cuenta 2.000 euros en concepto de indemnización.</t>
  </si>
  <si>
    <t>15-05-24</t>
  </si>
  <si>
    <t>El ayuntamiento comunica a la empresa que el taller ha sido recalificado y su valor actual es de 10.000 euros.</t>
  </si>
  <si>
    <t>La empresa le prende fuego al taller, se quema en su totalidad, y el seguro le abona 25.000 euros en concepto de indemnización.</t>
  </si>
  <si>
    <t>31-12-24</t>
  </si>
  <si>
    <t>Paga la quinta letra del préstamo de la tienda.</t>
  </si>
  <si>
    <r>
      <t>Compra un taller de segunda mano valorado en 55.000 euros +10% iva, el cual abonará al proveedor en un plazo de 5 años</t>
    </r>
    <r>
      <rPr>
        <sz val="10"/>
        <color rgb="FFFF0000"/>
        <rFont val="Calibri"/>
        <family val="2"/>
        <scheme val="minor"/>
      </rPr>
      <t xml:space="preserve"> (18-11-27</t>
    </r>
  </si>
  <si>
    <t>Todo ese dinero lo emplea en pagar al proveedor de inmobilizado. Cancela el resto de esa deuda por medio de pago en efectivo.</t>
  </si>
  <si>
    <t>21-01-25</t>
  </si>
  <si>
    <t xml:space="preserve">Va a cerrar el negocio, por lo que vende:la tienda por importe de 80.000 euros +10% iva, </t>
  </si>
  <si>
    <t>* La tienda por importe de 80.000 euros +10% iva.</t>
  </si>
  <si>
    <t>* El mobiliario consigue venderlo por 3.000 euros +21% iva.</t>
  </si>
  <si>
    <t>* El ordenador lo vende por 600 euros +21% iva.</t>
  </si>
  <si>
    <t>Cobra todas las ventas por banco y emplea todo el dinero en cancelar capital pendiente del préstamo del local.</t>
  </si>
  <si>
    <t>31-12-25</t>
  </si>
  <si>
    <t>Paga la sexta letra del préstamo de la tienda.</t>
  </si>
  <si>
    <t>Haz el balance de cierre.</t>
  </si>
  <si>
    <t>Realizar los asientos correspondientes a las siguientes operaciones de la empresa "ZARA CIUDAD REAL, S.L.":</t>
  </si>
  <si>
    <t>El banco le concede a la empresa un préstamo para la compra de un local comercial para abrir una nueva tienda en Ciudad Real.</t>
  </si>
  <si>
    <t>DEBE</t>
  </si>
  <si>
    <t>NOMBRE CUENTA</t>
  </si>
  <si>
    <t>HABER</t>
  </si>
  <si>
    <t>Nº CTA.</t>
  </si>
  <si>
    <t>FECHA</t>
  </si>
  <si>
    <t>CONCEPTO</t>
  </si>
  <si>
    <t>PRIMERO RELLENA LOS CUADROS DE LA HOJA SIGUIENTE Y VE HACIENDO LOS ASIENTOS EN LA PLANTILLA QUE PREFIERAS</t>
  </si>
  <si>
    <t>Constitución de la empresa: Aportación de 250.000 euros en cuenta y 250.000 euros en caja.</t>
  </si>
  <si>
    <t>EJERCICIO: Realizar los asientos correspondientes a las siguientes operaciones d la empresa "ZARA CIUDAD REAL, S.L."</t>
  </si>
  <si>
    <t>El banco le condece a la empresa un préstamo para la compra de un local comercial para abrir una nueva tienda en Ciudad Real.</t>
  </si>
  <si>
    <t>Bancos</t>
  </si>
  <si>
    <t>Constitución</t>
  </si>
  <si>
    <t>(570)</t>
  </si>
  <si>
    <t>Caja</t>
  </si>
  <si>
    <t>(100)</t>
  </si>
  <si>
    <t>Capital social</t>
  </si>
  <si>
    <t>(572.2)</t>
  </si>
  <si>
    <t>(572.1)</t>
  </si>
  <si>
    <t>Banco Tienda</t>
  </si>
  <si>
    <t>Banco Préstamo</t>
  </si>
  <si>
    <t>Ingreso de préstamo</t>
  </si>
  <si>
    <t>(170)</t>
  </si>
  <si>
    <t>Deudas a L.P. con ent. Crédito</t>
  </si>
  <si>
    <t>Local Tienda</t>
  </si>
  <si>
    <t>Compra local</t>
  </si>
  <si>
    <t>(472)</t>
  </si>
  <si>
    <t>iva soportado</t>
  </si>
  <si>
    <t>Compra mobiliario</t>
  </si>
  <si>
    <t>Compra Ordenador</t>
  </si>
  <si>
    <t>(523)</t>
  </si>
  <si>
    <t>Proveedores inmov. C.P.</t>
  </si>
  <si>
    <t>(175)</t>
  </si>
  <si>
    <t>EP a L.P.</t>
  </si>
  <si>
    <t>(681)</t>
  </si>
  <si>
    <t>Amortización Inmov. Material</t>
  </si>
  <si>
    <t>Amortización Año 2020</t>
  </si>
  <si>
    <t>Amort. Acumulada Tienda</t>
  </si>
  <si>
    <t>Amort. Acumulada Mobiliario</t>
  </si>
  <si>
    <t>Amort. Acumulada Ordenador</t>
  </si>
  <si>
    <t>Amort. Acumulada Furgoneta</t>
  </si>
  <si>
    <t>Amort. Acumulada Taller</t>
  </si>
  <si>
    <t>(520)</t>
  </si>
  <si>
    <t>Deudas a C.P. con ent. Crédito</t>
  </si>
  <si>
    <t>Compra furgoneta</t>
  </si>
  <si>
    <t>(173)</t>
  </si>
  <si>
    <t>Proveedores de inmov. A L.P.</t>
  </si>
  <si>
    <t>(662)</t>
  </si>
  <si>
    <t>Intereses de deudas</t>
  </si>
  <si>
    <t>(plazo 30-06-22)</t>
  </si>
  <si>
    <t>(Plazo 31-12-20)</t>
  </si>
  <si>
    <t>(575)</t>
  </si>
  <si>
    <t>EP a C.P.</t>
  </si>
  <si>
    <t>Compra taller</t>
  </si>
  <si>
    <t>Proveedores inmov. A L.P.</t>
  </si>
  <si>
    <t>(plazo 15-03-24)</t>
  </si>
  <si>
    <t>(plazo 18-11-27)</t>
  </si>
  <si>
    <t>Obras acondicionamiento</t>
  </si>
  <si>
    <t>Amortización Año 2021</t>
  </si>
  <si>
    <t>Amortización Año 2022</t>
  </si>
  <si>
    <t>(130)</t>
  </si>
  <si>
    <t>Subvenciones Oficiales de capital</t>
  </si>
  <si>
    <t>Cobro de subvención</t>
  </si>
  <si>
    <t>Compra de Máquina</t>
  </si>
  <si>
    <t>Baja Furgoneta</t>
  </si>
  <si>
    <t>(678)</t>
  </si>
  <si>
    <t>Gastos excepcionales</t>
  </si>
  <si>
    <t>Cuota 1 préstamo</t>
  </si>
  <si>
    <t>Reclasificación Deudas</t>
  </si>
  <si>
    <t>Cuota 2 Préstamo</t>
  </si>
  <si>
    <t>Pago letra ordenador</t>
  </si>
  <si>
    <t>Cuota 3 Préstamo</t>
  </si>
  <si>
    <t>Amortización furgoneta</t>
  </si>
  <si>
    <t>Amortización Año 2023</t>
  </si>
  <si>
    <t>Amort. Acumulada Máquina</t>
  </si>
  <si>
    <t>SUBVENCION</t>
  </si>
  <si>
    <t>BAJA 28/10/23</t>
  </si>
  <si>
    <t>Activación máquina subvención</t>
  </si>
  <si>
    <t>Subvenciones, donaciones y legados</t>
  </si>
  <si>
    <t>Amortización Máquina subvención: activación máquina y baja subvención por la parte que se amortiza cada año.</t>
  </si>
  <si>
    <t>Pago furgoneta</t>
  </si>
  <si>
    <t>(572)</t>
  </si>
  <si>
    <t>Banco</t>
  </si>
  <si>
    <t>(691)</t>
  </si>
  <si>
    <t>Recalificación Taller</t>
  </si>
  <si>
    <t>Pérdidas por deterioro de I.M.</t>
  </si>
  <si>
    <t>(291)</t>
  </si>
  <si>
    <t>Amortización Taller hasta 15/5/24</t>
  </si>
  <si>
    <t>Baja Taller</t>
  </si>
  <si>
    <t>Deterioro de valor de I.M.</t>
  </si>
  <si>
    <t>(778)</t>
  </si>
  <si>
    <t>Ingresos Excepcionales</t>
  </si>
  <si>
    <t>Da de baja el taller.</t>
  </si>
  <si>
    <t>Proveedores de inmov a L.P.</t>
  </si>
  <si>
    <t>Pago al proveedor del taller</t>
  </si>
  <si>
    <t>Amortización Máquina</t>
  </si>
  <si>
    <t>BAJA 10/060/24</t>
  </si>
  <si>
    <t>Baja del inventario</t>
  </si>
  <si>
    <t>Devolución Subvención</t>
  </si>
  <si>
    <t>Devuelve la subvención por la parte no amorrizada.</t>
  </si>
  <si>
    <t>Amortización Año 2024</t>
  </si>
  <si>
    <t>BAJA 15/05/24</t>
  </si>
  <si>
    <t>Cuota 4 Préstamo</t>
  </si>
  <si>
    <t>Cuota 5 Préstamo</t>
  </si>
  <si>
    <t>Va a cerrar el negocio, por lo que vende:</t>
  </si>
  <si>
    <t>Venta Tienda</t>
  </si>
  <si>
    <t>Fecha Baja/Venta</t>
  </si>
  <si>
    <t>Valor Baja/Venta</t>
  </si>
  <si>
    <t>Amortización Hasta 21-01-25</t>
  </si>
  <si>
    <t>(477)</t>
  </si>
  <si>
    <t>iva repercutido</t>
  </si>
  <si>
    <t>(771)</t>
  </si>
  <si>
    <t>Beneficios procedentes de I.M.</t>
  </si>
  <si>
    <t>Venta Mobiliario</t>
  </si>
  <si>
    <t>(671)</t>
  </si>
  <si>
    <t>Pérdidas procedentes de I.M.</t>
  </si>
  <si>
    <t>Venta Ordenador</t>
  </si>
  <si>
    <t>Cancelación Préstamo a C.P.</t>
  </si>
  <si>
    <t>Cancelación préstamo a L.P.</t>
  </si>
  <si>
    <t>(746)</t>
  </si>
  <si>
    <t>(791)</t>
  </si>
  <si>
    <t>Reversión deterioro I.M.</t>
  </si>
  <si>
    <t>Reversión del deterioro hasta 25.000, valor efectivo dado por el seguro.</t>
  </si>
  <si>
    <t>REGULARIZACIÓN</t>
  </si>
  <si>
    <t>(129)</t>
  </si>
  <si>
    <t>Resultado del ejercicio</t>
  </si>
  <si>
    <t>Amortización del I.M.</t>
  </si>
  <si>
    <t>Gastos extraordinarios</t>
  </si>
  <si>
    <t>Pérdidas deterioro I.M.</t>
  </si>
  <si>
    <t>Pérdidas procedentes I.M.</t>
  </si>
  <si>
    <t>Ingresos excepcionales</t>
  </si>
  <si>
    <t>Reversión del deterioro valor I.M.</t>
  </si>
  <si>
    <t>Beneficios procedentes I.M.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</si>
</sst>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\-yy;@"/>
    <numFmt numFmtId="165" formatCode="0&quot; años&quot;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 tint="0.39994506668294322"/>
      </right>
      <top style="thin">
        <color indexed="64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indexed="64"/>
      </top>
      <bottom style="thin">
        <color theme="4" tint="0.39994506668294322"/>
      </bottom>
      <diagonal/>
    </border>
    <border>
      <left style="thin">
        <color indexed="64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indexed="64"/>
      </left>
      <right style="thin">
        <color theme="4" tint="0.39994506668294322"/>
      </right>
      <top style="thin">
        <color theme="4" tint="0.39994506668294322"/>
      </top>
      <bottom style="thin">
        <color indexed="64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indexed="64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5">
    <xf numFmtId="0" fontId="0" fillId="0" borderId="0" xfId="0"/>
    <xf numFmtId="49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164" fontId="4" fillId="0" borderId="0" xfId="0" applyNumberFormat="1" applyFont="1"/>
    <xf numFmtId="49" fontId="4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6" fillId="3" borderId="0" xfId="0" applyNumberFormat="1" applyFont="1" applyFill="1" applyAlignment="1">
      <alignment horizontal="left"/>
    </xf>
    <xf numFmtId="0" fontId="4" fillId="3" borderId="0" xfId="0" applyFont="1" applyFill="1"/>
    <xf numFmtId="49" fontId="7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0" fontId="4" fillId="0" borderId="3" xfId="0" applyFont="1" applyBorder="1"/>
    <xf numFmtId="164" fontId="4" fillId="0" borderId="3" xfId="0" applyNumberFormat="1" applyFont="1" applyBorder="1" applyAlignment="1">
      <alignment horizontal="center"/>
    </xf>
    <xf numFmtId="4" fontId="4" fillId="0" borderId="3" xfId="0" applyNumberFormat="1" applyFont="1" applyBorder="1" applyAlignment="1">
      <alignment horizontal="right"/>
    </xf>
    <xf numFmtId="165" fontId="4" fillId="0" borderId="3" xfId="0" applyNumberFormat="1" applyFont="1" applyBorder="1" applyAlignment="1">
      <alignment horizontal="right" indent="2"/>
    </xf>
    <xf numFmtId="166" fontId="4" fillId="0" borderId="3" xfId="1" applyNumberFormat="1" applyFont="1" applyBorder="1" applyAlignment="1">
      <alignment horizontal="right" indent="2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0" fontId="4" fillId="0" borderId="5" xfId="0" applyFont="1" applyBorder="1"/>
    <xf numFmtId="164" fontId="4" fillId="0" borderId="5" xfId="0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right"/>
    </xf>
    <xf numFmtId="165" fontId="4" fillId="0" borderId="5" xfId="0" applyNumberFormat="1" applyFont="1" applyBorder="1" applyAlignment="1">
      <alignment horizontal="right" indent="2"/>
    </xf>
    <xf numFmtId="166" fontId="4" fillId="0" borderId="5" xfId="1" applyNumberFormat="1" applyFont="1" applyBorder="1" applyAlignment="1">
      <alignment horizontal="right" indent="2"/>
    </xf>
    <xf numFmtId="49" fontId="4" fillId="0" borderId="5" xfId="0" applyNumberFormat="1" applyFont="1" applyBorder="1" applyAlignment="1">
      <alignment horizontal="center"/>
    </xf>
    <xf numFmtId="49" fontId="4" fillId="0" borderId="6" xfId="0" applyNumberFormat="1" applyFont="1" applyBorder="1" applyAlignment="1">
      <alignment horizontal="center"/>
    </xf>
    <xf numFmtId="0" fontId="4" fillId="0" borderId="7" xfId="0" applyFont="1" applyBorder="1"/>
    <xf numFmtId="164" fontId="4" fillId="0" borderId="7" xfId="0" applyNumberFormat="1" applyFont="1" applyBorder="1" applyAlignment="1">
      <alignment horizontal="center"/>
    </xf>
    <xf numFmtId="4" fontId="4" fillId="0" borderId="7" xfId="0" applyNumberFormat="1" applyFont="1" applyBorder="1" applyAlignment="1">
      <alignment horizontal="right"/>
    </xf>
    <xf numFmtId="165" fontId="4" fillId="0" borderId="7" xfId="0" applyNumberFormat="1" applyFont="1" applyBorder="1" applyAlignment="1">
      <alignment horizontal="right" indent="2"/>
    </xf>
    <xf numFmtId="166" fontId="4" fillId="0" borderId="7" xfId="1" applyNumberFormat="1" applyFont="1" applyBorder="1" applyAlignment="1">
      <alignment horizontal="right" indent="2"/>
    </xf>
    <xf numFmtId="49" fontId="4" fillId="0" borderId="7" xfId="0" applyNumberFormat="1" applyFont="1" applyBorder="1" applyAlignment="1">
      <alignment horizontal="center"/>
    </xf>
    <xf numFmtId="49" fontId="4" fillId="4" borderId="8" xfId="0" applyNumberFormat="1" applyFont="1" applyFill="1" applyBorder="1" applyAlignment="1">
      <alignment horizontal="center"/>
    </xf>
    <xf numFmtId="0" fontId="4" fillId="4" borderId="8" xfId="0" applyFont="1" applyFill="1" applyBorder="1"/>
    <xf numFmtId="4" fontId="4" fillId="4" borderId="8" xfId="0" applyNumberFormat="1" applyFont="1" applyFill="1" applyBorder="1" applyAlignment="1">
      <alignment horizontal="right"/>
    </xf>
    <xf numFmtId="166" fontId="4" fillId="4" borderId="8" xfId="1" applyNumberFormat="1" applyFont="1" applyFill="1" applyBorder="1" applyAlignment="1">
      <alignment horizontal="right" indent="2"/>
    </xf>
    <xf numFmtId="49" fontId="5" fillId="4" borderId="0" xfId="0" applyNumberFormat="1" applyFont="1" applyFill="1" applyAlignment="1">
      <alignment horizontal="center"/>
    </xf>
    <xf numFmtId="0" fontId="4" fillId="4" borderId="0" xfId="0" applyFont="1" applyFill="1"/>
    <xf numFmtId="49" fontId="4" fillId="4" borderId="0" xfId="0" applyNumberFormat="1" applyFont="1" applyFill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4" borderId="1" xfId="0" applyNumberFormat="1" applyFont="1" applyFill="1" applyBorder="1" applyAlignment="1">
      <alignment horizontal="center"/>
    </xf>
    <xf numFmtId="49" fontId="5" fillId="4" borderId="1" xfId="0" applyNumberFormat="1" applyFont="1" applyFill="1" applyBorder="1" applyAlignment="1">
      <alignment horizontal="center"/>
    </xf>
    <xf numFmtId="49" fontId="4" fillId="5" borderId="1" xfId="0" applyNumberFormat="1" applyFont="1" applyFill="1" applyBorder="1" applyAlignment="1">
      <alignment horizontal="center"/>
    </xf>
    <xf numFmtId="49" fontId="4" fillId="6" borderId="5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/>
    </xf>
    <xf numFmtId="0" fontId="4" fillId="6" borderId="1" xfId="0" applyFont="1" applyFill="1" applyBorder="1"/>
    <xf numFmtId="4" fontId="4" fillId="6" borderId="1" xfId="0" applyNumberFormat="1" applyFont="1" applyFill="1" applyBorder="1"/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4" fontId="3" fillId="0" borderId="1" xfId="0" applyNumberFormat="1" applyFont="1" applyBorder="1" applyAlignment="1">
      <alignment horizontal="center"/>
    </xf>
    <xf numFmtId="0" fontId="3" fillId="0" borderId="0" xfId="0" applyFont="1"/>
    <xf numFmtId="16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/>
    <xf numFmtId="4" fontId="4" fillId="4" borderId="1" xfId="0" applyNumberFormat="1" applyFont="1" applyFill="1" applyBorder="1"/>
    <xf numFmtId="164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/>
    <xf numFmtId="4" fontId="4" fillId="5" borderId="1" xfId="0" applyNumberFormat="1" applyFont="1" applyFill="1" applyBorder="1"/>
    <xf numFmtId="4" fontId="4" fillId="0" borderId="0" xfId="0" applyNumberFormat="1" applyFont="1"/>
    <xf numFmtId="0" fontId="4" fillId="6" borderId="0" xfId="0" applyFont="1" applyFill="1"/>
    <xf numFmtId="164" fontId="4" fillId="7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0" fontId="4" fillId="7" borderId="1" xfId="0" applyFont="1" applyFill="1" applyBorder="1"/>
    <xf numFmtId="4" fontId="4" fillId="7" borderId="1" xfId="0" applyNumberFormat="1" applyFont="1" applyFill="1" applyBorder="1"/>
    <xf numFmtId="49" fontId="5" fillId="7" borderId="1" xfId="0" applyNumberFormat="1" applyFont="1" applyFill="1" applyBorder="1" applyAlignment="1">
      <alignment horizontal="center"/>
    </xf>
    <xf numFmtId="0" fontId="4" fillId="7" borderId="0" xfId="0" applyFont="1" applyFill="1"/>
    <xf numFmtId="49" fontId="4" fillId="7" borderId="0" xfId="0" applyNumberFormat="1" applyFont="1" applyFill="1" applyAlignment="1">
      <alignment horizontal="center"/>
    </xf>
    <xf numFmtId="49" fontId="7" fillId="4" borderId="0" xfId="0" applyNumberFormat="1" applyFont="1" applyFill="1" applyAlignment="1">
      <alignment horizontal="left"/>
    </xf>
    <xf numFmtId="49" fontId="4" fillId="6" borderId="0" xfId="0" applyNumberFormat="1" applyFont="1" applyFill="1" applyAlignment="1">
      <alignment horizontal="center"/>
    </xf>
    <xf numFmtId="49" fontId="5" fillId="6" borderId="0" xfId="0" applyNumberFormat="1" applyFont="1" applyFill="1" applyAlignment="1">
      <alignment horizontal="center"/>
    </xf>
    <xf numFmtId="49" fontId="5" fillId="6" borderId="1" xfId="0" applyNumberFormat="1" applyFont="1" applyFill="1" applyBorder="1" applyAlignment="1">
      <alignment horizontal="center"/>
    </xf>
    <xf numFmtId="49" fontId="4" fillId="4" borderId="5" xfId="0" applyNumberFormat="1" applyFont="1" applyFill="1" applyBorder="1" applyAlignment="1">
      <alignment horizontal="center"/>
    </xf>
    <xf numFmtId="49" fontId="4" fillId="8" borderId="5" xfId="0" applyNumberFormat="1" applyFont="1" applyFill="1" applyBorder="1" applyAlignment="1">
      <alignment horizontal="center"/>
    </xf>
    <xf numFmtId="0" fontId="4" fillId="8" borderId="5" xfId="0" applyFont="1" applyFill="1" applyBorder="1"/>
    <xf numFmtId="4" fontId="4" fillId="8" borderId="5" xfId="0" applyNumberFormat="1" applyFont="1" applyFill="1" applyBorder="1" applyAlignment="1">
      <alignment horizontal="right"/>
    </xf>
    <xf numFmtId="166" fontId="4" fillId="8" borderId="5" xfId="1" applyNumberFormat="1" applyFont="1" applyFill="1" applyBorder="1" applyAlignment="1">
      <alignment horizontal="right" indent="2"/>
    </xf>
    <xf numFmtId="49" fontId="4" fillId="9" borderId="9" xfId="0" applyNumberFormat="1" applyFont="1" applyFill="1" applyBorder="1" applyAlignment="1">
      <alignment horizontal="center"/>
    </xf>
    <xf numFmtId="0" fontId="4" fillId="9" borderId="9" xfId="0" applyFont="1" applyFill="1" applyBorder="1"/>
    <xf numFmtId="4" fontId="4" fillId="9" borderId="9" xfId="0" applyNumberFormat="1" applyFont="1" applyFill="1" applyBorder="1" applyAlignment="1">
      <alignment horizontal="right"/>
    </xf>
    <xf numFmtId="166" fontId="4" fillId="9" borderId="9" xfId="1" applyNumberFormat="1" applyFont="1" applyFill="1" applyBorder="1" applyAlignment="1">
      <alignment horizontal="right" indent="2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8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4" fontId="5" fillId="6" borderId="1" xfId="0" applyNumberFormat="1" applyFont="1" applyFill="1" applyBorder="1"/>
    <xf numFmtId="4" fontId="5" fillId="4" borderId="1" xfId="0" applyNumberFormat="1" applyFont="1" applyFill="1" applyBorder="1"/>
    <xf numFmtId="164" fontId="4" fillId="6" borderId="10" xfId="0" applyNumberFormat="1" applyFont="1" applyFill="1" applyBorder="1" applyAlignment="1">
      <alignment horizontal="center"/>
    </xf>
    <xf numFmtId="49" fontId="4" fillId="6" borderId="9" xfId="0" applyNumberFormat="1" applyFont="1" applyFill="1" applyBorder="1" applyAlignment="1">
      <alignment horizontal="center"/>
    </xf>
    <xf numFmtId="0" fontId="4" fillId="6" borderId="10" xfId="0" applyFont="1" applyFill="1" applyBorder="1"/>
    <xf numFmtId="4" fontId="4" fillId="6" borderId="10" xfId="0" applyNumberFormat="1" applyFont="1" applyFill="1" applyBorder="1"/>
    <xf numFmtId="4" fontId="3" fillId="0" borderId="0" xfId="0" applyNumberFormat="1" applyFont="1" applyAlignment="1">
      <alignment horizontal="center" vertical="center" wrapText="1"/>
    </xf>
    <xf numFmtId="4" fontId="4" fillId="10" borderId="0" xfId="0" applyNumberFormat="1" applyFont="1" applyFill="1"/>
  </cellXfs>
  <cellStyles count="2">
    <cellStyle name="Normal" xfId="0" builtinId="0"/>
    <cellStyle name="Porcentaje" xfId="1" builtinId="5"/>
  </cellStyles>
  <dxfs count="1">
    <dxf>
      <font>
        <color rgb="FFFF0000"/>
      </font>
    </dxf>
  </dxfs>
  <tableStyles count="0" defaultTableStyle="TableStyleMedium2" defaultPivotStyle="PivotStyleLight16"/>
  <colors>
    <mruColors>
      <color rgb="FF00FF00"/>
      <color rgb="FFDDEBF7"/>
      <color rgb="FFFFFFCC"/>
      <color rgb="FFFF00FF"/>
      <color rgb="FFFFCCFF"/>
      <color rgb="FFCCFFCC"/>
      <color rgb="FF000000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2:J57"/>
  <sheetViews>
    <sheetView showGridLines="0" zoomScaleNormal="100" workbookViewId="0">
      <selection activeCell="D25" sqref="D25"/>
    </sheetView>
  </sheetViews>
  <sheetFormatPr baseColWidth="10" defaultColWidth="10.85546875" defaultRowHeight="12.75" x14ac:dyDescent="0.2"/>
  <cols>
    <col min="1" max="1" width="7.5703125" style="7" bestFit="1" customWidth="1"/>
    <col min="2" max="2" width="10.5703125" style="4" bestFit="1" customWidth="1"/>
    <col min="3" max="3" width="10.140625" style="4" bestFit="1" customWidth="1"/>
    <col min="4" max="4" width="10.85546875" style="4" bestFit="1" customWidth="1"/>
    <col min="5" max="5" width="8.140625" style="4" bestFit="1" customWidth="1"/>
    <col min="6" max="7" width="10.85546875" style="4" bestFit="1" customWidth="1"/>
    <col min="8" max="8" width="7.85546875" style="4" bestFit="1" customWidth="1"/>
    <col min="9" max="9" width="8.140625" style="4" bestFit="1" customWidth="1"/>
    <col min="10" max="10" width="8.85546875" style="4" bestFit="1" customWidth="1"/>
    <col min="11" max="11" width="8.5703125" style="4" bestFit="1" customWidth="1"/>
    <col min="12" max="12" width="10.85546875" style="4" bestFit="1" customWidth="1"/>
    <col min="13" max="13" width="9.5703125" style="4" bestFit="1" customWidth="1"/>
    <col min="14" max="14" width="11.85546875" style="4" customWidth="1"/>
    <col min="15" max="16384" width="10.85546875" style="4"/>
  </cols>
  <sheetData>
    <row r="2" spans="1:10" x14ac:dyDescent="0.2">
      <c r="A2" s="8" t="s">
        <v>98</v>
      </c>
    </row>
    <row r="3" spans="1:10" x14ac:dyDescent="0.2">
      <c r="A3" s="10" t="s">
        <v>106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x14ac:dyDescent="0.2">
      <c r="A4" s="12" t="s">
        <v>58</v>
      </c>
      <c r="B4" s="4" t="s">
        <v>107</v>
      </c>
    </row>
    <row r="5" spans="1:10" x14ac:dyDescent="0.2">
      <c r="A5" s="7" t="s">
        <v>58</v>
      </c>
      <c r="B5" s="4" t="s">
        <v>99</v>
      </c>
    </row>
    <row r="6" spans="1:10" x14ac:dyDescent="0.2">
      <c r="B6" s="4" t="s">
        <v>43</v>
      </c>
    </row>
    <row r="7" spans="1:10" x14ac:dyDescent="0.2">
      <c r="B7" s="4" t="s">
        <v>44</v>
      </c>
    </row>
    <row r="8" spans="1:10" x14ac:dyDescent="0.2">
      <c r="B8" s="4" t="s">
        <v>45</v>
      </c>
    </row>
    <row r="9" spans="1:10" x14ac:dyDescent="0.2">
      <c r="B9" s="4" t="s">
        <v>38</v>
      </c>
    </row>
    <row r="10" spans="1:10" x14ac:dyDescent="0.2">
      <c r="A10" s="7" t="s">
        <v>37</v>
      </c>
      <c r="B10" s="4" t="s">
        <v>49</v>
      </c>
    </row>
    <row r="11" spans="1:10" x14ac:dyDescent="0.2">
      <c r="B11" s="4" t="s">
        <v>41</v>
      </c>
    </row>
    <row r="12" spans="1:10" x14ac:dyDescent="0.2">
      <c r="A12" s="4"/>
      <c r="B12" s="4" t="s">
        <v>39</v>
      </c>
    </row>
    <row r="13" spans="1:10" x14ac:dyDescent="0.2">
      <c r="A13" s="7" t="s">
        <v>46</v>
      </c>
      <c r="B13" s="4" t="s">
        <v>50</v>
      </c>
    </row>
    <row r="14" spans="1:10" x14ac:dyDescent="0.2">
      <c r="B14" s="4" t="s">
        <v>61</v>
      </c>
    </row>
    <row r="15" spans="1:10" x14ac:dyDescent="0.2">
      <c r="B15" s="4" t="s">
        <v>40</v>
      </c>
    </row>
    <row r="16" spans="1:10" x14ac:dyDescent="0.2">
      <c r="A16" s="9" t="s">
        <v>42</v>
      </c>
      <c r="B16" s="4" t="s">
        <v>60</v>
      </c>
    </row>
    <row r="17" spans="1:2" x14ac:dyDescent="0.2">
      <c r="B17" s="4" t="s">
        <v>47</v>
      </c>
    </row>
    <row r="18" spans="1:2" x14ac:dyDescent="0.2">
      <c r="B18" s="4" t="s">
        <v>59</v>
      </c>
    </row>
    <row r="19" spans="1:2" x14ac:dyDescent="0.2">
      <c r="B19" s="4" t="s">
        <v>57</v>
      </c>
    </row>
    <row r="20" spans="1:2" x14ac:dyDescent="0.2">
      <c r="A20" s="7" t="s">
        <v>48</v>
      </c>
      <c r="B20" s="4" t="s">
        <v>51</v>
      </c>
    </row>
    <row r="21" spans="1:2" x14ac:dyDescent="0.2">
      <c r="B21" s="4" t="s">
        <v>62</v>
      </c>
    </row>
    <row r="22" spans="1:2" x14ac:dyDescent="0.2">
      <c r="B22" s="4" t="s">
        <v>52</v>
      </c>
    </row>
    <row r="23" spans="1:2" x14ac:dyDescent="0.2">
      <c r="A23" s="9" t="s">
        <v>56</v>
      </c>
      <c r="B23" s="4" t="s">
        <v>60</v>
      </c>
    </row>
    <row r="24" spans="1:2" x14ac:dyDescent="0.2">
      <c r="B24" s="4" t="s">
        <v>63</v>
      </c>
    </row>
    <row r="25" spans="1:2" x14ac:dyDescent="0.2">
      <c r="B25" s="4" t="s">
        <v>57</v>
      </c>
    </row>
    <row r="26" spans="1:2" x14ac:dyDescent="0.2">
      <c r="A26" s="7" t="s">
        <v>70</v>
      </c>
      <c r="B26" s="4" t="s">
        <v>71</v>
      </c>
    </row>
    <row r="27" spans="1:2" x14ac:dyDescent="0.2">
      <c r="A27" s="7" t="s">
        <v>53</v>
      </c>
      <c r="B27" s="4" t="s">
        <v>87</v>
      </c>
    </row>
    <row r="28" spans="1:2" x14ac:dyDescent="0.2">
      <c r="B28" s="4" t="s">
        <v>54</v>
      </c>
    </row>
    <row r="29" spans="1:2" x14ac:dyDescent="0.2">
      <c r="B29" s="4" t="s">
        <v>55</v>
      </c>
    </row>
    <row r="30" spans="1:2" x14ac:dyDescent="0.2">
      <c r="B30" s="4" t="s">
        <v>52</v>
      </c>
    </row>
    <row r="31" spans="1:2" x14ac:dyDescent="0.2">
      <c r="A31" s="9" t="s">
        <v>64</v>
      </c>
      <c r="B31" s="4" t="s">
        <v>60</v>
      </c>
    </row>
    <row r="32" spans="1:2" x14ac:dyDescent="0.2">
      <c r="B32" s="4" t="s">
        <v>65</v>
      </c>
    </row>
    <row r="33" spans="1:2" x14ac:dyDescent="0.2">
      <c r="B33" s="4" t="s">
        <v>57</v>
      </c>
    </row>
    <row r="34" spans="1:2" x14ac:dyDescent="0.2">
      <c r="A34" s="7" t="s">
        <v>66</v>
      </c>
      <c r="B34" s="4" t="s">
        <v>67</v>
      </c>
    </row>
    <row r="35" spans="1:2" x14ac:dyDescent="0.2">
      <c r="B35" s="4" t="s">
        <v>68</v>
      </c>
    </row>
    <row r="36" spans="1:2" x14ac:dyDescent="0.2">
      <c r="B36" s="4" t="s">
        <v>69</v>
      </c>
    </row>
    <row r="37" spans="1:2" x14ac:dyDescent="0.2">
      <c r="A37" s="7" t="s">
        <v>72</v>
      </c>
      <c r="B37" s="4" t="s">
        <v>73</v>
      </c>
    </row>
    <row r="38" spans="1:2" x14ac:dyDescent="0.2">
      <c r="B38" s="4" t="s">
        <v>81</v>
      </c>
    </row>
    <row r="39" spans="1:2" x14ac:dyDescent="0.2">
      <c r="A39" s="9" t="s">
        <v>74</v>
      </c>
      <c r="B39" s="4" t="s">
        <v>60</v>
      </c>
    </row>
    <row r="40" spans="1:2" x14ac:dyDescent="0.2">
      <c r="B40" s="4" t="s">
        <v>75</v>
      </c>
    </row>
    <row r="41" spans="1:2" x14ac:dyDescent="0.2">
      <c r="B41" s="4" t="s">
        <v>57</v>
      </c>
    </row>
    <row r="42" spans="1:2" x14ac:dyDescent="0.2">
      <c r="A42" s="7" t="s">
        <v>76</v>
      </c>
      <c r="B42" s="4" t="s">
        <v>77</v>
      </c>
    </row>
    <row r="43" spans="1:2" x14ac:dyDescent="0.2">
      <c r="A43" s="7" t="s">
        <v>79</v>
      </c>
      <c r="B43" s="4" t="s">
        <v>83</v>
      </c>
    </row>
    <row r="44" spans="1:2" x14ac:dyDescent="0.2">
      <c r="A44" s="7" t="s">
        <v>82</v>
      </c>
      <c r="B44" s="4" t="s">
        <v>84</v>
      </c>
    </row>
    <row r="45" spans="1:2" x14ac:dyDescent="0.2">
      <c r="B45" s="4" t="s">
        <v>88</v>
      </c>
    </row>
    <row r="46" spans="1:2" x14ac:dyDescent="0.2">
      <c r="A46" s="7" t="s">
        <v>80</v>
      </c>
      <c r="B46" s="4" t="s">
        <v>78</v>
      </c>
    </row>
    <row r="47" spans="1:2" x14ac:dyDescent="0.2">
      <c r="A47" s="9" t="s">
        <v>85</v>
      </c>
      <c r="B47" s="4" t="s">
        <v>60</v>
      </c>
    </row>
    <row r="48" spans="1:2" x14ac:dyDescent="0.2">
      <c r="B48" s="4" t="s">
        <v>86</v>
      </c>
    </row>
    <row r="49" spans="1:2" x14ac:dyDescent="0.2">
      <c r="B49" s="4" t="s">
        <v>57</v>
      </c>
    </row>
    <row r="50" spans="1:2" x14ac:dyDescent="0.2">
      <c r="A50" s="7" t="s">
        <v>89</v>
      </c>
      <c r="B50" s="4" t="s">
        <v>90</v>
      </c>
    </row>
    <row r="51" spans="1:2" x14ac:dyDescent="0.2">
      <c r="B51" s="4" t="s">
        <v>91</v>
      </c>
    </row>
    <row r="52" spans="1:2" x14ac:dyDescent="0.2">
      <c r="B52" s="4" t="s">
        <v>92</v>
      </c>
    </row>
    <row r="53" spans="1:2" x14ac:dyDescent="0.2">
      <c r="B53" s="4" t="s">
        <v>93</v>
      </c>
    </row>
    <row r="54" spans="1:2" x14ac:dyDescent="0.2">
      <c r="B54" s="4" t="s">
        <v>94</v>
      </c>
    </row>
    <row r="55" spans="1:2" x14ac:dyDescent="0.2">
      <c r="A55" s="9" t="s">
        <v>95</v>
      </c>
      <c r="B55" s="4" t="s">
        <v>96</v>
      </c>
    </row>
    <row r="56" spans="1:2" x14ac:dyDescent="0.2">
      <c r="B56" s="4" t="s">
        <v>57</v>
      </c>
    </row>
    <row r="57" spans="1:2" x14ac:dyDescent="0.2">
      <c r="B57" s="4" t="s">
        <v>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A9836-4ED1-49BE-9D21-38ABA3DCDE5B}">
  <sheetPr>
    <tabColor rgb="FF99FFCC"/>
  </sheetPr>
  <dimension ref="A1:Q73"/>
  <sheetViews>
    <sheetView showGridLines="0" zoomScaleNormal="100" workbookViewId="0">
      <pane ySplit="7" topLeftCell="A8" activePane="bottomLeft" state="frozen"/>
      <selection pane="bottomLeft" activeCell="N21" sqref="N21"/>
    </sheetView>
  </sheetViews>
  <sheetFormatPr baseColWidth="10" defaultColWidth="10.85546875" defaultRowHeight="12.75" x14ac:dyDescent="0.2"/>
  <cols>
    <col min="1" max="1" width="7.5703125" style="7" bestFit="1" customWidth="1"/>
    <col min="2" max="3" width="10.5703125" style="4" bestFit="1" customWidth="1"/>
    <col min="4" max="4" width="11.28515625" style="4" bestFit="1" customWidth="1"/>
    <col min="5" max="5" width="8.85546875" style="4" bestFit="1" customWidth="1"/>
    <col min="6" max="7" width="11.28515625" style="4" bestFit="1" customWidth="1"/>
    <col min="8" max="8" width="8.85546875" style="4" bestFit="1" customWidth="1"/>
    <col min="9" max="9" width="9.42578125" style="4" bestFit="1" customWidth="1"/>
    <col min="10" max="10" width="10.140625" style="4" customWidth="1"/>
    <col min="11" max="11" width="11.5703125" style="4" customWidth="1"/>
    <col min="12" max="12" width="11.28515625" style="4" bestFit="1" customWidth="1"/>
    <col min="13" max="13" width="12.42578125" style="4" bestFit="1" customWidth="1"/>
    <col min="14" max="14" width="13.42578125" style="83" bestFit="1" customWidth="1"/>
    <col min="15" max="15" width="13.42578125" style="60" bestFit="1" customWidth="1"/>
    <col min="16" max="17" width="10.85546875" style="60"/>
    <col min="18" max="16384" width="10.85546875" style="4"/>
  </cols>
  <sheetData>
    <row r="1" spans="1:17" s="3" customFormat="1" ht="25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13</v>
      </c>
      <c r="G1" s="2" t="s">
        <v>5</v>
      </c>
      <c r="H1" s="2" t="s">
        <v>6</v>
      </c>
      <c r="I1" s="2" t="s">
        <v>7</v>
      </c>
      <c r="J1" s="2" t="s">
        <v>205</v>
      </c>
      <c r="K1" s="2" t="s">
        <v>206</v>
      </c>
      <c r="L1" s="2" t="s">
        <v>15</v>
      </c>
      <c r="N1" s="82"/>
      <c r="O1" s="93"/>
      <c r="P1" s="93"/>
      <c r="Q1" s="93"/>
    </row>
    <row r="2" spans="1:17" x14ac:dyDescent="0.2">
      <c r="A2" s="13" t="s">
        <v>22</v>
      </c>
      <c r="B2" s="14" t="s">
        <v>28</v>
      </c>
      <c r="C2" s="15">
        <v>43831</v>
      </c>
      <c r="D2" s="16">
        <v>90000</v>
      </c>
      <c r="E2" s="16">
        <v>10000</v>
      </c>
      <c r="F2" s="17">
        <v>20</v>
      </c>
      <c r="G2" s="18">
        <f>100%/F2</f>
        <v>0.05</v>
      </c>
      <c r="H2" s="15">
        <v>45678</v>
      </c>
      <c r="I2" s="16">
        <v>80000</v>
      </c>
      <c r="J2" s="15">
        <v>45678</v>
      </c>
      <c r="K2" s="16">
        <v>90000</v>
      </c>
      <c r="L2" s="19" t="s">
        <v>17</v>
      </c>
    </row>
    <row r="3" spans="1:17" x14ac:dyDescent="0.2">
      <c r="A3" s="20" t="s">
        <v>24</v>
      </c>
      <c r="B3" s="21" t="s">
        <v>12</v>
      </c>
      <c r="C3" s="22">
        <v>43905</v>
      </c>
      <c r="D3" s="23">
        <v>8000</v>
      </c>
      <c r="E3" s="23">
        <v>500</v>
      </c>
      <c r="F3" s="24">
        <v>8</v>
      </c>
      <c r="G3" s="25">
        <f t="shared" ref="G3:G7" si="0">100%/F3</f>
        <v>0.125</v>
      </c>
      <c r="H3" s="22">
        <v>45678</v>
      </c>
      <c r="I3" s="23">
        <v>3000</v>
      </c>
      <c r="J3" s="22">
        <v>45678</v>
      </c>
      <c r="K3" s="23">
        <v>8000</v>
      </c>
      <c r="L3" s="26" t="s">
        <v>19</v>
      </c>
    </row>
    <row r="4" spans="1:17" x14ac:dyDescent="0.2">
      <c r="A4" s="20" t="s">
        <v>25</v>
      </c>
      <c r="B4" s="21" t="s">
        <v>11</v>
      </c>
      <c r="C4" s="22">
        <v>44013</v>
      </c>
      <c r="D4" s="23">
        <v>1500</v>
      </c>
      <c r="E4" s="23">
        <v>200</v>
      </c>
      <c r="F4" s="24">
        <v>4</v>
      </c>
      <c r="G4" s="25">
        <f t="shared" si="0"/>
        <v>0.25</v>
      </c>
      <c r="H4" s="22">
        <v>45678</v>
      </c>
      <c r="I4" s="23">
        <v>600</v>
      </c>
      <c r="J4" s="22">
        <v>45678</v>
      </c>
      <c r="K4" s="23">
        <v>1500</v>
      </c>
      <c r="L4" s="26" t="s">
        <v>36</v>
      </c>
    </row>
    <row r="5" spans="1:17" x14ac:dyDescent="0.2">
      <c r="A5" s="20" t="s">
        <v>26</v>
      </c>
      <c r="B5" s="21" t="s">
        <v>10</v>
      </c>
      <c r="C5" s="22">
        <v>44270</v>
      </c>
      <c r="D5" s="23">
        <v>12000</v>
      </c>
      <c r="E5" s="23">
        <v>3000</v>
      </c>
      <c r="F5" s="24">
        <v>10</v>
      </c>
      <c r="G5" s="25">
        <f t="shared" si="0"/>
        <v>0.1</v>
      </c>
      <c r="H5" s="22"/>
      <c r="I5" s="23"/>
      <c r="J5" s="22">
        <v>45227</v>
      </c>
      <c r="K5" s="23">
        <v>12000</v>
      </c>
      <c r="L5" s="26" t="s">
        <v>20</v>
      </c>
    </row>
    <row r="6" spans="1:17" x14ac:dyDescent="0.2">
      <c r="A6" s="20" t="s">
        <v>23</v>
      </c>
      <c r="B6" s="21" t="s">
        <v>8</v>
      </c>
      <c r="C6" s="22">
        <v>44883</v>
      </c>
      <c r="D6" s="23">
        <v>60000</v>
      </c>
      <c r="E6" s="23">
        <v>10000</v>
      </c>
      <c r="F6" s="24">
        <v>10</v>
      </c>
      <c r="G6" s="25">
        <f t="shared" si="0"/>
        <v>0.1</v>
      </c>
      <c r="H6" s="22"/>
      <c r="I6" s="23"/>
      <c r="J6" s="22">
        <v>45427</v>
      </c>
      <c r="K6" s="23">
        <v>60000</v>
      </c>
      <c r="L6" s="26" t="s">
        <v>18</v>
      </c>
    </row>
    <row r="7" spans="1:17" x14ac:dyDescent="0.2">
      <c r="A7" s="27" t="s">
        <v>27</v>
      </c>
      <c r="B7" s="28" t="s">
        <v>9</v>
      </c>
      <c r="C7" s="29">
        <v>44932</v>
      </c>
      <c r="D7" s="30">
        <v>25000</v>
      </c>
      <c r="E7" s="30">
        <v>5000</v>
      </c>
      <c r="F7" s="31">
        <v>5</v>
      </c>
      <c r="G7" s="32">
        <f t="shared" si="0"/>
        <v>0.2</v>
      </c>
      <c r="H7" s="29"/>
      <c r="I7" s="30"/>
      <c r="J7" s="29">
        <v>45453</v>
      </c>
      <c r="K7" s="30">
        <v>25000</v>
      </c>
      <c r="L7" s="33" t="s">
        <v>21</v>
      </c>
    </row>
    <row r="9" spans="1:17" s="6" customFormat="1" x14ac:dyDescent="0.2">
      <c r="A9" s="5"/>
      <c r="E9" s="5">
        <v>44196</v>
      </c>
      <c r="F9" s="5">
        <v>44561</v>
      </c>
      <c r="G9" s="5">
        <v>44926</v>
      </c>
      <c r="H9" s="5">
        <v>45291</v>
      </c>
      <c r="I9" s="5">
        <v>45657</v>
      </c>
      <c r="J9" s="5">
        <v>46022</v>
      </c>
      <c r="K9" s="5"/>
      <c r="N9" s="84"/>
      <c r="O9" s="60"/>
      <c r="P9" s="60"/>
      <c r="Q9" s="60"/>
    </row>
    <row r="10" spans="1:17" ht="25.5" x14ac:dyDescent="0.2">
      <c r="A10" s="1" t="s">
        <v>0</v>
      </c>
      <c r="B10" s="2" t="s">
        <v>1</v>
      </c>
      <c r="C10" s="2" t="s">
        <v>29</v>
      </c>
      <c r="D10" s="2" t="s">
        <v>5</v>
      </c>
      <c r="E10" s="2" t="s">
        <v>30</v>
      </c>
      <c r="F10" s="2" t="s">
        <v>31</v>
      </c>
      <c r="G10" s="2" t="s">
        <v>32</v>
      </c>
      <c r="H10" s="2" t="s">
        <v>33</v>
      </c>
      <c r="I10" s="2" t="s">
        <v>34</v>
      </c>
      <c r="J10" s="2" t="s">
        <v>35</v>
      </c>
      <c r="K10" s="2" t="s">
        <v>14</v>
      </c>
      <c r="L10" s="2" t="s">
        <v>16</v>
      </c>
      <c r="M10" s="83"/>
      <c r="N10" s="4"/>
    </row>
    <row r="11" spans="1:17" x14ac:dyDescent="0.2">
      <c r="A11" s="26" t="s">
        <v>22</v>
      </c>
      <c r="B11" s="21" t="s">
        <v>28</v>
      </c>
      <c r="C11" s="23">
        <f>D2-E2</f>
        <v>80000</v>
      </c>
      <c r="D11" s="25">
        <f t="shared" ref="D11:D16" si="1">G2</f>
        <v>0.05</v>
      </c>
      <c r="E11" s="23">
        <f>($C11*$D11)/365*($E$9-$C2)</f>
        <v>4000</v>
      </c>
      <c r="F11" s="23">
        <f>($C11*$D11)/365*($F$9-$E$9)</f>
        <v>4000</v>
      </c>
      <c r="G11" s="23">
        <f t="shared" ref="G11:I15" si="2">$C11*$D11</f>
        <v>4000</v>
      </c>
      <c r="H11" s="23">
        <f t="shared" si="2"/>
        <v>4000</v>
      </c>
      <c r="I11" s="23">
        <f t="shared" si="2"/>
        <v>4000</v>
      </c>
      <c r="J11" s="23">
        <f>($C11*$D11)/365*(J2-I9)</f>
        <v>230.13698630136986</v>
      </c>
      <c r="K11" s="23">
        <f>SUM(E11:J11)</f>
        <v>20230.136986301372</v>
      </c>
      <c r="L11" s="23">
        <f t="shared" ref="L11:L16" si="3">D2-K11</f>
        <v>69769.863013698632</v>
      </c>
      <c r="M11" s="83"/>
      <c r="N11" s="4"/>
    </row>
    <row r="12" spans="1:17" x14ac:dyDescent="0.2">
      <c r="A12" s="26" t="s">
        <v>24</v>
      </c>
      <c r="B12" s="21" t="s">
        <v>12</v>
      </c>
      <c r="C12" s="23">
        <f t="shared" ref="C12:C16" si="4">D3-E3</f>
        <v>7500</v>
      </c>
      <c r="D12" s="25">
        <f t="shared" si="1"/>
        <v>0.125</v>
      </c>
      <c r="E12" s="23">
        <f t="shared" ref="E12:E13" si="5">($C12*$D12)/365*($E$9-$C3)</f>
        <v>747.43150684931504</v>
      </c>
      <c r="F12" s="23">
        <f t="shared" ref="F12:F13" si="6">($C12*$D12)/365*($F$9-$E$9)</f>
        <v>937.49999999999989</v>
      </c>
      <c r="G12" s="23">
        <f t="shared" si="2"/>
        <v>937.5</v>
      </c>
      <c r="H12" s="23">
        <f t="shared" si="2"/>
        <v>937.5</v>
      </c>
      <c r="I12" s="23">
        <f t="shared" si="2"/>
        <v>937.5</v>
      </c>
      <c r="J12" s="23">
        <f>($C12*$D12)/365*(J3-I9)</f>
        <v>53.938356164383556</v>
      </c>
      <c r="K12" s="23">
        <f>SUM(E12:J12)</f>
        <v>4551.3698630136987</v>
      </c>
      <c r="L12" s="23">
        <f t="shared" si="3"/>
        <v>3448.6301369863013</v>
      </c>
      <c r="M12" s="83"/>
      <c r="N12" s="4"/>
    </row>
    <row r="13" spans="1:17" x14ac:dyDescent="0.2">
      <c r="A13" s="26" t="s">
        <v>25</v>
      </c>
      <c r="B13" s="21" t="s">
        <v>11</v>
      </c>
      <c r="C13" s="23">
        <f t="shared" si="4"/>
        <v>1300</v>
      </c>
      <c r="D13" s="25">
        <f t="shared" si="1"/>
        <v>0.25</v>
      </c>
      <c r="E13" s="23">
        <f t="shared" si="5"/>
        <v>162.94520547945206</v>
      </c>
      <c r="F13" s="23">
        <f t="shared" si="6"/>
        <v>325</v>
      </c>
      <c r="G13" s="23">
        <f t="shared" si="2"/>
        <v>325</v>
      </c>
      <c r="H13" s="23">
        <f t="shared" si="2"/>
        <v>325</v>
      </c>
      <c r="I13" s="23">
        <f t="shared" si="2"/>
        <v>325</v>
      </c>
      <c r="J13" s="23">
        <f>($C13*$D13)/365*(J4-I9)</f>
        <v>18.698630136986303</v>
      </c>
      <c r="K13" s="23">
        <v>1481.65</v>
      </c>
      <c r="L13" s="23">
        <f t="shared" si="3"/>
        <v>18.349999999999909</v>
      </c>
      <c r="M13" s="83"/>
      <c r="N13" s="4"/>
    </row>
    <row r="14" spans="1:17" x14ac:dyDescent="0.2">
      <c r="A14" s="74" t="s">
        <v>26</v>
      </c>
      <c r="B14" s="75" t="s">
        <v>10</v>
      </c>
      <c r="C14" s="76">
        <f t="shared" si="4"/>
        <v>9000</v>
      </c>
      <c r="D14" s="77">
        <f t="shared" si="1"/>
        <v>0.1</v>
      </c>
      <c r="E14" s="76"/>
      <c r="F14" s="76">
        <f>($C14*$D14)/365*($F$9-C5)</f>
        <v>717.53424657534254</v>
      </c>
      <c r="G14" s="76">
        <f t="shared" si="2"/>
        <v>900</v>
      </c>
      <c r="H14" s="76">
        <f>$C14*$D14/365*(J5-G9)</f>
        <v>742.19178082191786</v>
      </c>
      <c r="I14" s="76"/>
      <c r="J14" s="76"/>
      <c r="K14" s="76">
        <f>SUM(E14:J14)</f>
        <v>2359.7260273972602</v>
      </c>
      <c r="L14" s="76">
        <f t="shared" si="3"/>
        <v>9640.2739726027394</v>
      </c>
      <c r="M14" s="85" t="s">
        <v>175</v>
      </c>
      <c r="N14" s="4"/>
    </row>
    <row r="15" spans="1:17" x14ac:dyDescent="0.2">
      <c r="A15" s="74" t="s">
        <v>23</v>
      </c>
      <c r="B15" s="75" t="s">
        <v>8</v>
      </c>
      <c r="C15" s="76">
        <f t="shared" si="4"/>
        <v>50000</v>
      </c>
      <c r="D15" s="77">
        <f t="shared" si="1"/>
        <v>0.1</v>
      </c>
      <c r="E15" s="76"/>
      <c r="F15" s="76"/>
      <c r="G15" s="76">
        <f>($C15*$D15)/365*(G9-C6)</f>
        <v>589.04109589041093</v>
      </c>
      <c r="H15" s="76">
        <f t="shared" si="2"/>
        <v>5000</v>
      </c>
      <c r="I15" s="76">
        <f>($C15*$D15)/365*(J6-H9)</f>
        <v>1863.013698630137</v>
      </c>
      <c r="J15" s="76"/>
      <c r="K15" s="76">
        <f>SUM(E15:J15)</f>
        <v>7452.0547945205481</v>
      </c>
      <c r="L15" s="76">
        <f t="shared" si="3"/>
        <v>52547.945205479453</v>
      </c>
      <c r="M15" s="85" t="s">
        <v>200</v>
      </c>
      <c r="N15" s="4"/>
    </row>
    <row r="16" spans="1:17" x14ac:dyDescent="0.2">
      <c r="A16" s="78" t="s">
        <v>27</v>
      </c>
      <c r="B16" s="79" t="s">
        <v>9</v>
      </c>
      <c r="C16" s="80">
        <f t="shared" si="4"/>
        <v>20000</v>
      </c>
      <c r="D16" s="81">
        <f t="shared" si="1"/>
        <v>0.2</v>
      </c>
      <c r="E16" s="80"/>
      <c r="F16" s="80"/>
      <c r="G16" s="80"/>
      <c r="H16" s="80">
        <f>($C16*$D16)/365*(H9-C7)</f>
        <v>3934.2465753424653</v>
      </c>
      <c r="I16" s="80">
        <f>($C16*$D16)/365*(J7-H9)</f>
        <v>1775.3424657534244</v>
      </c>
      <c r="J16" s="80"/>
      <c r="K16" s="80">
        <f>SUM(E16:J16)</f>
        <v>5709.58904109589</v>
      </c>
      <c r="L16" s="80">
        <f t="shared" si="3"/>
        <v>19290.410958904111</v>
      </c>
      <c r="M16" s="86" t="s">
        <v>174</v>
      </c>
      <c r="N16" s="85" t="s">
        <v>195</v>
      </c>
    </row>
    <row r="17" spans="1:14" x14ac:dyDescent="0.2">
      <c r="A17" s="34" t="s">
        <v>133</v>
      </c>
      <c r="B17" s="35"/>
      <c r="C17" s="36"/>
      <c r="D17" s="37"/>
      <c r="E17" s="36">
        <f>SUM(E11:E16)</f>
        <v>4910.3767123287671</v>
      </c>
      <c r="F17" s="36">
        <f t="shared" ref="F17:G17" si="7">SUM(F11:F16)</f>
        <v>5980.0342465753429</v>
      </c>
      <c r="G17" s="36">
        <f t="shared" si="7"/>
        <v>6751.5410958904113</v>
      </c>
      <c r="H17" s="36">
        <f>SUM(H11:H16)-H14</f>
        <v>14196.746575342466</v>
      </c>
      <c r="I17" s="36">
        <f>SUM(I11:I16)-I15-I16</f>
        <v>5262.5000000000009</v>
      </c>
      <c r="J17" s="36">
        <f t="shared" ref="J17" si="8">SUM(J11:J16)-J15-J16</f>
        <v>302.77397260273972</v>
      </c>
      <c r="K17" s="36">
        <f>SUM(K11:K13)</f>
        <v>26263.15684931507</v>
      </c>
      <c r="L17" s="36">
        <f>SUM(L11:L13)</f>
        <v>73236.843150684945</v>
      </c>
      <c r="M17" s="83"/>
      <c r="N17" s="4"/>
    </row>
    <row r="19" spans="1:14" x14ac:dyDescent="0.2">
      <c r="A19" s="8" t="s">
        <v>108</v>
      </c>
    </row>
    <row r="20" spans="1:14" x14ac:dyDescent="0.2">
      <c r="A20" s="8"/>
    </row>
    <row r="21" spans="1:14" x14ac:dyDescent="0.2">
      <c r="A21" s="7" t="s">
        <v>58</v>
      </c>
      <c r="B21" s="4" t="s">
        <v>109</v>
      </c>
    </row>
    <row r="22" spans="1:14" x14ac:dyDescent="0.2">
      <c r="B22" s="4" t="s">
        <v>43</v>
      </c>
    </row>
    <row r="23" spans="1:14" x14ac:dyDescent="0.2">
      <c r="B23" s="4" t="s">
        <v>44</v>
      </c>
    </row>
    <row r="24" spans="1:14" x14ac:dyDescent="0.2">
      <c r="B24" s="4" t="s">
        <v>45</v>
      </c>
    </row>
    <row r="25" spans="1:14" x14ac:dyDescent="0.2">
      <c r="B25" s="4" t="s">
        <v>38</v>
      </c>
    </row>
    <row r="26" spans="1:14" x14ac:dyDescent="0.2">
      <c r="A26" s="7" t="s">
        <v>37</v>
      </c>
      <c r="B26" s="4" t="s">
        <v>49</v>
      </c>
    </row>
    <row r="27" spans="1:14" x14ac:dyDescent="0.2">
      <c r="B27" s="4" t="s">
        <v>41</v>
      </c>
    </row>
    <row r="28" spans="1:14" x14ac:dyDescent="0.2">
      <c r="A28" s="4"/>
      <c r="B28" s="4" t="s">
        <v>39</v>
      </c>
    </row>
    <row r="29" spans="1:14" x14ac:dyDescent="0.2">
      <c r="A29" s="7" t="s">
        <v>46</v>
      </c>
      <c r="B29" s="4" t="s">
        <v>50</v>
      </c>
    </row>
    <row r="30" spans="1:14" x14ac:dyDescent="0.2">
      <c r="B30" s="4" t="s">
        <v>61</v>
      </c>
    </row>
    <row r="31" spans="1:14" x14ac:dyDescent="0.2">
      <c r="B31" s="4" t="s">
        <v>40</v>
      </c>
    </row>
    <row r="32" spans="1:14" x14ac:dyDescent="0.2">
      <c r="A32" s="9" t="s">
        <v>42</v>
      </c>
      <c r="B32" s="4" t="s">
        <v>60</v>
      </c>
    </row>
    <row r="33" spans="1:2" x14ac:dyDescent="0.2">
      <c r="B33" s="4" t="s">
        <v>47</v>
      </c>
    </row>
    <row r="34" spans="1:2" x14ac:dyDescent="0.2">
      <c r="B34" s="4" t="s">
        <v>59</v>
      </c>
    </row>
    <row r="35" spans="1:2" x14ac:dyDescent="0.2">
      <c r="B35" s="4" t="s">
        <v>57</v>
      </c>
    </row>
    <row r="36" spans="1:2" x14ac:dyDescent="0.2">
      <c r="A36" s="7" t="s">
        <v>48</v>
      </c>
      <c r="B36" s="4" t="s">
        <v>51</v>
      </c>
    </row>
    <row r="37" spans="1:2" x14ac:dyDescent="0.2">
      <c r="B37" s="4" t="s">
        <v>62</v>
      </c>
    </row>
    <row r="38" spans="1:2" x14ac:dyDescent="0.2">
      <c r="B38" s="4" t="s">
        <v>52</v>
      </c>
    </row>
    <row r="39" spans="1:2" x14ac:dyDescent="0.2">
      <c r="A39" s="9" t="s">
        <v>56</v>
      </c>
      <c r="B39" s="4" t="s">
        <v>60</v>
      </c>
    </row>
    <row r="40" spans="1:2" x14ac:dyDescent="0.2">
      <c r="B40" s="4" t="s">
        <v>63</v>
      </c>
    </row>
    <row r="41" spans="1:2" x14ac:dyDescent="0.2">
      <c r="B41" s="4" t="s">
        <v>57</v>
      </c>
    </row>
    <row r="42" spans="1:2" x14ac:dyDescent="0.2">
      <c r="A42" s="7" t="s">
        <v>70</v>
      </c>
      <c r="B42" s="4" t="s">
        <v>71</v>
      </c>
    </row>
    <row r="43" spans="1:2" x14ac:dyDescent="0.2">
      <c r="A43" s="7" t="s">
        <v>53</v>
      </c>
      <c r="B43" s="4" t="s">
        <v>87</v>
      </c>
    </row>
    <row r="44" spans="1:2" x14ac:dyDescent="0.2">
      <c r="B44" s="4" t="s">
        <v>54</v>
      </c>
    </row>
    <row r="45" spans="1:2" x14ac:dyDescent="0.2">
      <c r="B45" s="4" t="s">
        <v>55</v>
      </c>
    </row>
    <row r="46" spans="1:2" x14ac:dyDescent="0.2">
      <c r="B46" s="4" t="s">
        <v>52</v>
      </c>
    </row>
    <row r="47" spans="1:2" x14ac:dyDescent="0.2">
      <c r="A47" s="9" t="s">
        <v>64</v>
      </c>
      <c r="B47" s="4" t="s">
        <v>60</v>
      </c>
    </row>
    <row r="48" spans="1:2" x14ac:dyDescent="0.2">
      <c r="B48" s="4" t="s">
        <v>65</v>
      </c>
    </row>
    <row r="49" spans="1:2" x14ac:dyDescent="0.2">
      <c r="B49" s="4" t="s">
        <v>57</v>
      </c>
    </row>
    <row r="50" spans="1:2" x14ac:dyDescent="0.2">
      <c r="A50" s="7" t="s">
        <v>66</v>
      </c>
      <c r="B50" s="4" t="s">
        <v>67</v>
      </c>
    </row>
    <row r="51" spans="1:2" x14ac:dyDescent="0.2">
      <c r="B51" s="4" t="s">
        <v>68</v>
      </c>
    </row>
    <row r="52" spans="1:2" x14ac:dyDescent="0.2">
      <c r="B52" s="4" t="s">
        <v>69</v>
      </c>
    </row>
    <row r="53" spans="1:2" x14ac:dyDescent="0.2">
      <c r="A53" s="7" t="s">
        <v>72</v>
      </c>
      <c r="B53" s="4" t="s">
        <v>73</v>
      </c>
    </row>
    <row r="54" spans="1:2" x14ac:dyDescent="0.2">
      <c r="B54" s="4" t="s">
        <v>81</v>
      </c>
    </row>
    <row r="55" spans="1:2" x14ac:dyDescent="0.2">
      <c r="A55" s="9" t="s">
        <v>74</v>
      </c>
      <c r="B55" s="4" t="s">
        <v>60</v>
      </c>
    </row>
    <row r="56" spans="1:2" x14ac:dyDescent="0.2">
      <c r="B56" s="4" t="s">
        <v>75</v>
      </c>
    </row>
    <row r="57" spans="1:2" x14ac:dyDescent="0.2">
      <c r="B57" s="4" t="s">
        <v>57</v>
      </c>
    </row>
    <row r="58" spans="1:2" x14ac:dyDescent="0.2">
      <c r="A58" s="7" t="s">
        <v>76</v>
      </c>
      <c r="B58" s="4" t="s">
        <v>77</v>
      </c>
    </row>
    <row r="59" spans="1:2" x14ac:dyDescent="0.2">
      <c r="A59" s="7" t="s">
        <v>79</v>
      </c>
      <c r="B59" s="4" t="s">
        <v>83</v>
      </c>
    </row>
    <row r="60" spans="1:2" x14ac:dyDescent="0.2">
      <c r="A60" s="7" t="s">
        <v>82</v>
      </c>
      <c r="B60" s="4" t="s">
        <v>84</v>
      </c>
    </row>
    <row r="61" spans="1:2" x14ac:dyDescent="0.2">
      <c r="B61" s="4" t="s">
        <v>88</v>
      </c>
    </row>
    <row r="62" spans="1:2" x14ac:dyDescent="0.2">
      <c r="A62" s="7" t="s">
        <v>80</v>
      </c>
      <c r="B62" s="4" t="s">
        <v>78</v>
      </c>
    </row>
    <row r="63" spans="1:2" x14ac:dyDescent="0.2">
      <c r="A63" s="9" t="s">
        <v>85</v>
      </c>
      <c r="B63" s="4" t="s">
        <v>60</v>
      </c>
    </row>
    <row r="64" spans="1:2" x14ac:dyDescent="0.2">
      <c r="B64" s="4" t="s">
        <v>86</v>
      </c>
    </row>
    <row r="65" spans="1:2" x14ac:dyDescent="0.2">
      <c r="B65" s="4" t="s">
        <v>57</v>
      </c>
    </row>
    <row r="66" spans="1:2" x14ac:dyDescent="0.2">
      <c r="A66" s="7" t="s">
        <v>89</v>
      </c>
      <c r="B66" s="4" t="s">
        <v>90</v>
      </c>
    </row>
    <row r="67" spans="1:2" x14ac:dyDescent="0.2">
      <c r="B67" s="4" t="s">
        <v>91</v>
      </c>
    </row>
    <row r="68" spans="1:2" x14ac:dyDescent="0.2">
      <c r="B68" s="4" t="s">
        <v>92</v>
      </c>
    </row>
    <row r="69" spans="1:2" x14ac:dyDescent="0.2">
      <c r="B69" s="4" t="s">
        <v>93</v>
      </c>
    </row>
    <row r="70" spans="1:2" x14ac:dyDescent="0.2">
      <c r="B70" s="4" t="s">
        <v>94</v>
      </c>
    </row>
    <row r="71" spans="1:2" x14ac:dyDescent="0.2">
      <c r="A71" s="9" t="s">
        <v>95</v>
      </c>
      <c r="B71" s="4" t="s">
        <v>96</v>
      </c>
    </row>
    <row r="72" spans="1:2" x14ac:dyDescent="0.2">
      <c r="B72" s="4" t="s">
        <v>57</v>
      </c>
    </row>
    <row r="73" spans="1:2" x14ac:dyDescent="0.2">
      <c r="B73" s="4" t="s">
        <v>97</v>
      </c>
    </row>
  </sheetData>
  <conditionalFormatting sqref="L11:L1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ignoredErrors>
    <ignoredError sqref="H14 I17" formula="1"/>
    <ignoredError sqref="A12:A17 A3:A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I156"/>
  <sheetViews>
    <sheetView showGridLines="0" tabSelected="1" topLeftCell="B1" workbookViewId="0">
      <pane ySplit="1" topLeftCell="A2" activePane="bottomLeft" state="frozen"/>
      <selection pane="bottomLeft" activeCell="I149" sqref="I149"/>
    </sheetView>
  </sheetViews>
  <sheetFormatPr baseColWidth="10" defaultRowHeight="12.75" x14ac:dyDescent="0.2"/>
  <cols>
    <col min="1" max="1" width="8.42578125" style="5" bestFit="1" customWidth="1"/>
    <col min="2" max="2" width="7.85546875" style="7" bestFit="1" customWidth="1"/>
    <col min="3" max="3" width="30" style="4" bestFit="1" customWidth="1"/>
    <col min="4" max="4" width="28.5703125" style="4" bestFit="1" customWidth="1"/>
    <col min="5" max="6" width="10.140625" style="60" bestFit="1" customWidth="1"/>
    <col min="7" max="7" width="7.5703125" style="4" customWidth="1"/>
    <col min="8" max="8" width="8.140625" style="4" bestFit="1" customWidth="1"/>
    <col min="9" max="16384" width="11.42578125" style="4"/>
  </cols>
  <sheetData>
    <row r="1" spans="1:9" s="53" customFormat="1" x14ac:dyDescent="0.2">
      <c r="A1" s="50" t="s">
        <v>104</v>
      </c>
      <c r="B1" s="41" t="s">
        <v>103</v>
      </c>
      <c r="C1" s="51" t="s">
        <v>101</v>
      </c>
      <c r="D1" s="51" t="s">
        <v>105</v>
      </c>
      <c r="E1" s="52" t="s">
        <v>100</v>
      </c>
      <c r="F1" s="52" t="s">
        <v>102</v>
      </c>
    </row>
    <row r="2" spans="1:9" x14ac:dyDescent="0.2">
      <c r="A2" s="54">
        <v>43831</v>
      </c>
      <c r="B2" s="42" t="s">
        <v>117</v>
      </c>
      <c r="C2" s="55" t="s">
        <v>118</v>
      </c>
      <c r="D2" s="55" t="s">
        <v>111</v>
      </c>
      <c r="E2" s="56">
        <v>250000</v>
      </c>
      <c r="F2" s="56"/>
      <c r="H2" s="69" t="s">
        <v>58</v>
      </c>
      <c r="I2" s="39" t="s">
        <v>107</v>
      </c>
    </row>
    <row r="3" spans="1:9" x14ac:dyDescent="0.2">
      <c r="A3" s="54"/>
      <c r="B3" s="42" t="s">
        <v>112</v>
      </c>
      <c r="C3" s="55" t="s">
        <v>113</v>
      </c>
      <c r="D3" s="55"/>
      <c r="E3" s="56">
        <v>250000</v>
      </c>
      <c r="F3" s="56"/>
    </row>
    <row r="4" spans="1:9" x14ac:dyDescent="0.2">
      <c r="A4" s="54"/>
      <c r="B4" s="42" t="s">
        <v>114</v>
      </c>
      <c r="C4" s="55" t="s">
        <v>115</v>
      </c>
      <c r="D4" s="55"/>
      <c r="E4" s="56"/>
      <c r="F4" s="56">
        <v>500000</v>
      </c>
    </row>
    <row r="5" spans="1:9" x14ac:dyDescent="0.2">
      <c r="A5" s="62">
        <v>43831</v>
      </c>
      <c r="B5" s="63" t="s">
        <v>116</v>
      </c>
      <c r="C5" s="64" t="s">
        <v>119</v>
      </c>
      <c r="D5" s="64" t="s">
        <v>120</v>
      </c>
      <c r="E5" s="65">
        <v>99000</v>
      </c>
      <c r="F5" s="65"/>
      <c r="H5" s="68" t="s">
        <v>58</v>
      </c>
      <c r="I5" s="67" t="s">
        <v>99</v>
      </c>
    </row>
    <row r="6" spans="1:9" x14ac:dyDescent="0.2">
      <c r="A6" s="62"/>
      <c r="B6" s="66" t="s">
        <v>121</v>
      </c>
      <c r="C6" s="64" t="s">
        <v>122</v>
      </c>
      <c r="D6" s="64"/>
      <c r="E6" s="65"/>
      <c r="F6" s="65">
        <f>E5/20*19</f>
        <v>94050</v>
      </c>
      <c r="H6" s="7"/>
      <c r="I6" s="4" t="s">
        <v>43</v>
      </c>
    </row>
    <row r="7" spans="1:9" x14ac:dyDescent="0.2">
      <c r="A7" s="62"/>
      <c r="B7" s="66" t="s">
        <v>141</v>
      </c>
      <c r="C7" s="64" t="s">
        <v>142</v>
      </c>
      <c r="D7" s="64"/>
      <c r="E7" s="65"/>
      <c r="F7" s="65">
        <f>E5/20</f>
        <v>4950</v>
      </c>
    </row>
    <row r="8" spans="1:9" x14ac:dyDescent="0.2">
      <c r="A8" s="54">
        <v>43831</v>
      </c>
      <c r="B8" s="42" t="s">
        <v>22</v>
      </c>
      <c r="C8" s="55" t="s">
        <v>123</v>
      </c>
      <c r="D8" s="55" t="s">
        <v>124</v>
      </c>
      <c r="E8" s="56">
        <v>90000</v>
      </c>
      <c r="F8" s="56"/>
      <c r="H8" s="7"/>
      <c r="I8" s="39" t="s">
        <v>44</v>
      </c>
    </row>
    <row r="9" spans="1:9" x14ac:dyDescent="0.2">
      <c r="A9" s="54"/>
      <c r="B9" s="42" t="s">
        <v>125</v>
      </c>
      <c r="C9" s="55" t="s">
        <v>126</v>
      </c>
      <c r="D9" s="55"/>
      <c r="E9" s="56">
        <f>E8*10/100</f>
        <v>9000</v>
      </c>
      <c r="F9" s="56"/>
      <c r="H9" s="7"/>
      <c r="I9" s="4" t="s">
        <v>45</v>
      </c>
    </row>
    <row r="10" spans="1:9" x14ac:dyDescent="0.2">
      <c r="A10" s="54"/>
      <c r="B10" s="42" t="s">
        <v>116</v>
      </c>
      <c r="C10" s="55" t="s">
        <v>119</v>
      </c>
      <c r="D10" s="55"/>
      <c r="E10" s="56"/>
      <c r="F10" s="56">
        <v>99000</v>
      </c>
      <c r="H10" s="7"/>
      <c r="I10" s="4" t="s">
        <v>38</v>
      </c>
    </row>
    <row r="11" spans="1:9" x14ac:dyDescent="0.2">
      <c r="A11" s="57">
        <v>43905</v>
      </c>
      <c r="B11" s="44" t="s">
        <v>24</v>
      </c>
      <c r="C11" s="58" t="s">
        <v>12</v>
      </c>
      <c r="D11" s="58" t="s">
        <v>127</v>
      </c>
      <c r="E11" s="59">
        <v>8000</v>
      </c>
      <c r="F11" s="59"/>
      <c r="H11" s="70" t="s">
        <v>37</v>
      </c>
      <c r="I11" s="61" t="s">
        <v>49</v>
      </c>
    </row>
    <row r="12" spans="1:9" x14ac:dyDescent="0.2">
      <c r="A12" s="57"/>
      <c r="B12" s="44" t="s">
        <v>125</v>
      </c>
      <c r="C12" s="58" t="s">
        <v>126</v>
      </c>
      <c r="D12" s="58"/>
      <c r="E12" s="59">
        <f>E11*21/100</f>
        <v>1680</v>
      </c>
      <c r="F12" s="59"/>
      <c r="H12" s="7"/>
      <c r="I12" s="4" t="s">
        <v>41</v>
      </c>
    </row>
    <row r="13" spans="1:9" x14ac:dyDescent="0.2">
      <c r="A13" s="57"/>
      <c r="B13" s="44" t="s">
        <v>112</v>
      </c>
      <c r="C13" s="58" t="s">
        <v>113</v>
      </c>
      <c r="D13" s="58"/>
      <c r="E13" s="59"/>
      <c r="F13" s="59">
        <v>9680</v>
      </c>
      <c r="I13" s="4" t="s">
        <v>39</v>
      </c>
    </row>
    <row r="14" spans="1:9" x14ac:dyDescent="0.2">
      <c r="A14" s="54">
        <v>44013</v>
      </c>
      <c r="B14" s="42" t="s">
        <v>25</v>
      </c>
      <c r="C14" s="55" t="s">
        <v>11</v>
      </c>
      <c r="D14" s="55" t="s">
        <v>128</v>
      </c>
      <c r="E14" s="56">
        <v>1500</v>
      </c>
      <c r="F14" s="56"/>
      <c r="H14" s="40" t="s">
        <v>46</v>
      </c>
      <c r="I14" s="39" t="s">
        <v>50</v>
      </c>
    </row>
    <row r="15" spans="1:9" x14ac:dyDescent="0.2">
      <c r="A15" s="54"/>
      <c r="B15" s="42" t="s">
        <v>125</v>
      </c>
      <c r="C15" s="55" t="s">
        <v>126</v>
      </c>
      <c r="D15" s="55"/>
      <c r="E15" s="56">
        <f>E14*21/100</f>
        <v>315</v>
      </c>
      <c r="F15" s="56"/>
      <c r="H15" s="7"/>
    </row>
    <row r="16" spans="1:9" x14ac:dyDescent="0.2">
      <c r="A16" s="54"/>
      <c r="B16" s="42" t="s">
        <v>117</v>
      </c>
      <c r="C16" s="55" t="s">
        <v>118</v>
      </c>
      <c r="D16" s="55"/>
      <c r="E16" s="56"/>
      <c r="F16" s="56">
        <f>(E14+E15)/2</f>
        <v>907.5</v>
      </c>
      <c r="H16" s="7"/>
      <c r="I16" s="4" t="s">
        <v>61</v>
      </c>
    </row>
    <row r="17" spans="1:9" x14ac:dyDescent="0.2">
      <c r="A17" s="54"/>
      <c r="B17" s="43" t="s">
        <v>129</v>
      </c>
      <c r="C17" s="55" t="s">
        <v>130</v>
      </c>
      <c r="D17" s="55" t="s">
        <v>149</v>
      </c>
      <c r="E17" s="56"/>
      <c r="F17" s="56">
        <f>F16/2</f>
        <v>453.75</v>
      </c>
      <c r="I17" s="4" t="s">
        <v>40</v>
      </c>
    </row>
    <row r="18" spans="1:9" x14ac:dyDescent="0.2">
      <c r="A18" s="54"/>
      <c r="B18" s="43" t="s">
        <v>131</v>
      </c>
      <c r="C18" s="55" t="s">
        <v>132</v>
      </c>
      <c r="D18" s="55" t="s">
        <v>148</v>
      </c>
      <c r="E18" s="56"/>
      <c r="F18" s="56">
        <f>F17</f>
        <v>453.75</v>
      </c>
    </row>
    <row r="19" spans="1:9" x14ac:dyDescent="0.2">
      <c r="A19" s="57">
        <v>44196</v>
      </c>
      <c r="B19" s="44" t="s">
        <v>133</v>
      </c>
      <c r="C19" s="58" t="s">
        <v>134</v>
      </c>
      <c r="D19" s="58" t="s">
        <v>135</v>
      </c>
      <c r="E19" s="59">
        <f>'Cuadros Amortización'!E17</f>
        <v>4910.3767123287671</v>
      </c>
      <c r="F19" s="59"/>
      <c r="H19" s="71" t="s">
        <v>42</v>
      </c>
      <c r="I19" s="61" t="s">
        <v>60</v>
      </c>
    </row>
    <row r="20" spans="1:9" x14ac:dyDescent="0.2">
      <c r="A20" s="57"/>
      <c r="B20" s="44" t="s">
        <v>17</v>
      </c>
      <c r="C20" s="58" t="s">
        <v>136</v>
      </c>
      <c r="D20" s="58"/>
      <c r="E20" s="59"/>
      <c r="F20" s="59">
        <f>'Cuadros Amortización'!E11</f>
        <v>4000</v>
      </c>
      <c r="H20" s="7"/>
    </row>
    <row r="21" spans="1:9" x14ac:dyDescent="0.2">
      <c r="A21" s="57"/>
      <c r="B21" s="44" t="s">
        <v>19</v>
      </c>
      <c r="C21" s="58" t="s">
        <v>137</v>
      </c>
      <c r="D21" s="58"/>
      <c r="E21" s="59"/>
      <c r="F21" s="59">
        <f>'Cuadros Amortización'!E12</f>
        <v>747.43150684931504</v>
      </c>
      <c r="H21" s="7"/>
    </row>
    <row r="22" spans="1:9" x14ac:dyDescent="0.2">
      <c r="A22" s="57"/>
      <c r="B22" s="44" t="s">
        <v>36</v>
      </c>
      <c r="C22" s="58" t="s">
        <v>138</v>
      </c>
      <c r="D22" s="58"/>
      <c r="E22" s="59"/>
      <c r="F22" s="59">
        <f>'Cuadros Amortización'!E13</f>
        <v>162.94520547945206</v>
      </c>
      <c r="H22" s="7"/>
    </row>
    <row r="23" spans="1:9" x14ac:dyDescent="0.2">
      <c r="A23" s="54">
        <v>44196</v>
      </c>
      <c r="B23" s="43" t="s">
        <v>129</v>
      </c>
      <c r="C23" s="55" t="s">
        <v>130</v>
      </c>
      <c r="D23" s="55"/>
      <c r="E23" s="56">
        <v>453.75</v>
      </c>
      <c r="F23" s="56"/>
      <c r="I23" s="39" t="s">
        <v>47</v>
      </c>
    </row>
    <row r="24" spans="1:9" x14ac:dyDescent="0.2">
      <c r="A24" s="54"/>
      <c r="B24" s="42" t="s">
        <v>117</v>
      </c>
      <c r="C24" s="55" t="s">
        <v>118</v>
      </c>
      <c r="D24" s="55"/>
      <c r="E24" s="56"/>
      <c r="F24" s="56">
        <v>453.75</v>
      </c>
    </row>
    <row r="25" spans="1:9" x14ac:dyDescent="0.2">
      <c r="A25" s="62">
        <v>44196</v>
      </c>
      <c r="B25" s="66" t="s">
        <v>141</v>
      </c>
      <c r="C25" s="64" t="s">
        <v>142</v>
      </c>
      <c r="D25" s="64" t="s">
        <v>166</v>
      </c>
      <c r="E25" s="65">
        <f>$F$7</f>
        <v>4950</v>
      </c>
      <c r="F25" s="65"/>
      <c r="I25" s="67" t="s">
        <v>59</v>
      </c>
    </row>
    <row r="26" spans="1:9" x14ac:dyDescent="0.2">
      <c r="A26" s="62"/>
      <c r="B26" s="66" t="s">
        <v>146</v>
      </c>
      <c r="C26" s="64" t="s">
        <v>147</v>
      </c>
      <c r="D26" s="64"/>
      <c r="E26" s="65">
        <f>E25*0.5/100</f>
        <v>24.75</v>
      </c>
      <c r="F26" s="65"/>
    </row>
    <row r="27" spans="1:9" x14ac:dyDescent="0.2">
      <c r="A27" s="62"/>
      <c r="B27" s="63" t="s">
        <v>117</v>
      </c>
      <c r="C27" s="64" t="s">
        <v>118</v>
      </c>
      <c r="D27" s="64"/>
      <c r="E27" s="65"/>
      <c r="F27" s="65">
        <f>E25+E26</f>
        <v>4974.75</v>
      </c>
    </row>
    <row r="28" spans="1:9" x14ac:dyDescent="0.2">
      <c r="A28" s="62">
        <v>44196</v>
      </c>
      <c r="B28" s="66" t="s">
        <v>121</v>
      </c>
      <c r="C28" s="64" t="s">
        <v>122</v>
      </c>
      <c r="D28" s="64" t="s">
        <v>167</v>
      </c>
      <c r="E28" s="65">
        <f>$F$7</f>
        <v>4950</v>
      </c>
      <c r="F28" s="65"/>
      <c r="I28" s="67" t="s">
        <v>57</v>
      </c>
    </row>
    <row r="29" spans="1:9" x14ac:dyDescent="0.2">
      <c r="A29" s="62"/>
      <c r="B29" s="66" t="s">
        <v>141</v>
      </c>
      <c r="C29" s="64" t="s">
        <v>142</v>
      </c>
      <c r="D29" s="64"/>
      <c r="E29" s="65"/>
      <c r="F29" s="65">
        <f>E28</f>
        <v>4950</v>
      </c>
    </row>
    <row r="30" spans="1:9" x14ac:dyDescent="0.2">
      <c r="A30" s="46">
        <v>44270</v>
      </c>
      <c r="B30" s="47" t="s">
        <v>26</v>
      </c>
      <c r="C30" s="48" t="s">
        <v>10</v>
      </c>
      <c r="D30" s="48" t="s">
        <v>143</v>
      </c>
      <c r="E30" s="49">
        <v>12000</v>
      </c>
      <c r="F30" s="49"/>
      <c r="H30" s="70" t="s">
        <v>48</v>
      </c>
      <c r="I30" s="61" t="s">
        <v>51</v>
      </c>
    </row>
    <row r="31" spans="1:9" x14ac:dyDescent="0.2">
      <c r="A31" s="46"/>
      <c r="B31" s="47" t="s">
        <v>125</v>
      </c>
      <c r="C31" s="48" t="s">
        <v>126</v>
      </c>
      <c r="D31" s="48"/>
      <c r="E31" s="49">
        <f>E30*21/100</f>
        <v>2520</v>
      </c>
      <c r="F31" s="49"/>
      <c r="H31" s="7"/>
      <c r="I31" s="4" t="s">
        <v>62</v>
      </c>
    </row>
    <row r="32" spans="1:9" x14ac:dyDescent="0.2">
      <c r="A32" s="46"/>
      <c r="B32" s="72" t="s">
        <v>144</v>
      </c>
      <c r="C32" s="48" t="s">
        <v>145</v>
      </c>
      <c r="D32" s="48" t="s">
        <v>154</v>
      </c>
      <c r="E32" s="49"/>
      <c r="F32" s="49">
        <v>14520</v>
      </c>
      <c r="H32" s="7"/>
      <c r="I32" s="4" t="s">
        <v>52</v>
      </c>
    </row>
    <row r="33" spans="1:9" x14ac:dyDescent="0.2">
      <c r="A33" s="54">
        <v>44561</v>
      </c>
      <c r="B33" s="42" t="s">
        <v>133</v>
      </c>
      <c r="C33" s="55" t="s">
        <v>134</v>
      </c>
      <c r="D33" s="55" t="s">
        <v>157</v>
      </c>
      <c r="E33" s="56">
        <f>'Cuadros Amortización'!F17</f>
        <v>5980.0342465753429</v>
      </c>
      <c r="F33" s="56"/>
      <c r="H33" s="38" t="s">
        <v>56</v>
      </c>
      <c r="I33" s="39" t="s">
        <v>60</v>
      </c>
    </row>
    <row r="34" spans="1:9" x14ac:dyDescent="0.2">
      <c r="A34" s="54"/>
      <c r="B34" s="42" t="s">
        <v>17</v>
      </c>
      <c r="C34" s="55" t="s">
        <v>136</v>
      </c>
      <c r="D34" s="55"/>
      <c r="E34" s="56"/>
      <c r="F34" s="56">
        <f>'Cuadros Amortización'!F11</f>
        <v>4000</v>
      </c>
      <c r="H34" s="7"/>
    </row>
    <row r="35" spans="1:9" x14ac:dyDescent="0.2">
      <c r="A35" s="54"/>
      <c r="B35" s="42" t="s">
        <v>19</v>
      </c>
      <c r="C35" s="55" t="s">
        <v>137</v>
      </c>
      <c r="D35" s="55"/>
      <c r="E35" s="56"/>
      <c r="F35" s="56">
        <f>'Cuadros Amortización'!F12</f>
        <v>937.49999999999989</v>
      </c>
      <c r="H35" s="7"/>
    </row>
    <row r="36" spans="1:9" x14ac:dyDescent="0.2">
      <c r="A36" s="54"/>
      <c r="B36" s="42" t="s">
        <v>36</v>
      </c>
      <c r="C36" s="55" t="s">
        <v>138</v>
      </c>
      <c r="D36" s="55"/>
      <c r="E36" s="56"/>
      <c r="F36" s="56">
        <f>'Cuadros Amortización'!F13</f>
        <v>325</v>
      </c>
    </row>
    <row r="37" spans="1:9" x14ac:dyDescent="0.2">
      <c r="A37" s="54"/>
      <c r="B37" s="73" t="s">
        <v>20</v>
      </c>
      <c r="C37" s="55" t="s">
        <v>139</v>
      </c>
      <c r="D37" s="55"/>
      <c r="E37" s="56"/>
      <c r="F37" s="56">
        <f>'Cuadros Amortización'!F14</f>
        <v>717.53424657534254</v>
      </c>
    </row>
    <row r="38" spans="1:9" x14ac:dyDescent="0.2">
      <c r="A38" s="62">
        <v>44561</v>
      </c>
      <c r="B38" s="66" t="s">
        <v>141</v>
      </c>
      <c r="C38" s="64" t="s">
        <v>142</v>
      </c>
      <c r="D38" s="64" t="s">
        <v>168</v>
      </c>
      <c r="E38" s="65">
        <f>$F$7</f>
        <v>4950</v>
      </c>
      <c r="F38" s="65"/>
      <c r="I38" s="67" t="s">
        <v>63</v>
      </c>
    </row>
    <row r="39" spans="1:9" x14ac:dyDescent="0.2">
      <c r="A39" s="62"/>
      <c r="B39" s="66" t="s">
        <v>146</v>
      </c>
      <c r="C39" s="64" t="s">
        <v>147</v>
      </c>
      <c r="D39" s="64"/>
      <c r="E39" s="65">
        <f>E38*0.5/100</f>
        <v>24.75</v>
      </c>
      <c r="F39" s="65"/>
      <c r="H39" s="7"/>
    </row>
    <row r="40" spans="1:9" x14ac:dyDescent="0.2">
      <c r="A40" s="62"/>
      <c r="B40" s="63" t="s">
        <v>117</v>
      </c>
      <c r="C40" s="64" t="s">
        <v>118</v>
      </c>
      <c r="D40" s="64"/>
      <c r="E40" s="65"/>
      <c r="F40" s="65">
        <f>E38+E39</f>
        <v>4974.75</v>
      </c>
    </row>
    <row r="41" spans="1:9" x14ac:dyDescent="0.2">
      <c r="A41" s="62">
        <v>44561</v>
      </c>
      <c r="B41" s="66" t="s">
        <v>121</v>
      </c>
      <c r="C41" s="64" t="s">
        <v>122</v>
      </c>
      <c r="D41" s="64" t="s">
        <v>167</v>
      </c>
      <c r="E41" s="65">
        <f>$F$7</f>
        <v>4950</v>
      </c>
      <c r="F41" s="65"/>
      <c r="I41" s="67" t="s">
        <v>57</v>
      </c>
    </row>
    <row r="42" spans="1:9" x14ac:dyDescent="0.2">
      <c r="A42" s="62"/>
      <c r="B42" s="66" t="s">
        <v>141</v>
      </c>
      <c r="C42" s="64" t="s">
        <v>142</v>
      </c>
      <c r="D42" s="64"/>
      <c r="E42" s="65"/>
      <c r="F42" s="65">
        <f>E41</f>
        <v>4950</v>
      </c>
    </row>
    <row r="43" spans="1:9" x14ac:dyDescent="0.2">
      <c r="A43" s="62">
        <v>44561</v>
      </c>
      <c r="B43" s="66" t="s">
        <v>131</v>
      </c>
      <c r="C43" s="64" t="s">
        <v>132</v>
      </c>
      <c r="D43" s="64" t="s">
        <v>148</v>
      </c>
      <c r="E43" s="65">
        <f>F18</f>
        <v>453.75</v>
      </c>
      <c r="F43" s="65"/>
    </row>
    <row r="44" spans="1:9" x14ac:dyDescent="0.2">
      <c r="A44" s="62"/>
      <c r="B44" s="66" t="s">
        <v>150</v>
      </c>
      <c r="C44" s="64" t="s">
        <v>151</v>
      </c>
      <c r="D44" s="64" t="s">
        <v>148</v>
      </c>
      <c r="E44" s="65"/>
      <c r="F44" s="65">
        <f>E43</f>
        <v>453.75</v>
      </c>
    </row>
    <row r="45" spans="1:9" x14ac:dyDescent="0.2">
      <c r="A45" s="46">
        <v>44742</v>
      </c>
      <c r="B45" s="47" t="s">
        <v>150</v>
      </c>
      <c r="C45" s="48" t="s">
        <v>151</v>
      </c>
      <c r="D45" s="48" t="s">
        <v>169</v>
      </c>
      <c r="E45" s="49">
        <v>453.75</v>
      </c>
      <c r="F45" s="49"/>
      <c r="H45" s="70" t="s">
        <v>70</v>
      </c>
      <c r="I45" s="61" t="s">
        <v>71</v>
      </c>
    </row>
    <row r="46" spans="1:9" x14ac:dyDescent="0.2">
      <c r="A46" s="46"/>
      <c r="B46" s="47" t="s">
        <v>117</v>
      </c>
      <c r="C46" s="48" t="s">
        <v>118</v>
      </c>
      <c r="D46" s="48"/>
      <c r="E46" s="49"/>
      <c r="F46" s="49">
        <f>E45</f>
        <v>453.75</v>
      </c>
    </row>
    <row r="47" spans="1:9" x14ac:dyDescent="0.2">
      <c r="A47" s="54">
        <v>44883</v>
      </c>
      <c r="B47" s="42" t="s">
        <v>23</v>
      </c>
      <c r="C47" s="55" t="s">
        <v>8</v>
      </c>
      <c r="D47" s="55" t="s">
        <v>152</v>
      </c>
      <c r="E47" s="56">
        <v>55000</v>
      </c>
      <c r="F47" s="56"/>
      <c r="H47" s="40" t="s">
        <v>53</v>
      </c>
      <c r="I47" s="39" t="s">
        <v>87</v>
      </c>
    </row>
    <row r="48" spans="1:9" x14ac:dyDescent="0.2">
      <c r="A48" s="54"/>
      <c r="B48" s="42" t="s">
        <v>125</v>
      </c>
      <c r="C48" s="55" t="s">
        <v>126</v>
      </c>
      <c r="D48" s="55"/>
      <c r="E48" s="56">
        <f>E47*10/100</f>
        <v>5500</v>
      </c>
      <c r="F48" s="56"/>
    </row>
    <row r="49" spans="1:9" x14ac:dyDescent="0.2">
      <c r="A49" s="54"/>
      <c r="B49" s="43" t="s">
        <v>144</v>
      </c>
      <c r="C49" s="55" t="s">
        <v>153</v>
      </c>
      <c r="D49" s="55" t="s">
        <v>155</v>
      </c>
      <c r="E49" s="56"/>
      <c r="F49" s="56">
        <f>E47+E48</f>
        <v>60500</v>
      </c>
    </row>
    <row r="50" spans="1:9" x14ac:dyDescent="0.2">
      <c r="A50" s="54"/>
      <c r="B50" s="42" t="s">
        <v>23</v>
      </c>
      <c r="C50" s="55" t="s">
        <v>8</v>
      </c>
      <c r="D50" s="55" t="s">
        <v>156</v>
      </c>
      <c r="E50" s="56">
        <v>5000</v>
      </c>
      <c r="F50" s="56"/>
      <c r="H50" s="7"/>
      <c r="I50" s="4" t="s">
        <v>54</v>
      </c>
    </row>
    <row r="51" spans="1:9" x14ac:dyDescent="0.2">
      <c r="A51" s="54"/>
      <c r="B51" s="42" t="s">
        <v>125</v>
      </c>
      <c r="C51" s="55" t="s">
        <v>126</v>
      </c>
      <c r="D51" s="55"/>
      <c r="E51" s="56">
        <f>E50*21/100</f>
        <v>1050</v>
      </c>
      <c r="F51" s="56"/>
      <c r="H51" s="7"/>
      <c r="I51" s="4" t="s">
        <v>55</v>
      </c>
    </row>
    <row r="52" spans="1:9" x14ac:dyDescent="0.2">
      <c r="A52" s="54"/>
      <c r="B52" s="42" t="s">
        <v>112</v>
      </c>
      <c r="C52" s="55" t="s">
        <v>113</v>
      </c>
      <c r="D52" s="55"/>
      <c r="E52" s="56"/>
      <c r="F52" s="56">
        <f>E50+E51</f>
        <v>6050</v>
      </c>
      <c r="H52" s="7"/>
      <c r="I52" s="4" t="s">
        <v>52</v>
      </c>
    </row>
    <row r="53" spans="1:9" x14ac:dyDescent="0.2">
      <c r="A53" s="46">
        <v>44926</v>
      </c>
      <c r="B53" s="47" t="s">
        <v>133</v>
      </c>
      <c r="C53" s="48" t="s">
        <v>134</v>
      </c>
      <c r="D53" s="48" t="s">
        <v>158</v>
      </c>
      <c r="E53" s="49">
        <f>'Cuadros Amortización'!G17</f>
        <v>6751.5410958904113</v>
      </c>
      <c r="F53" s="49"/>
      <c r="H53" s="71" t="s">
        <v>64</v>
      </c>
      <c r="I53" s="61" t="s">
        <v>60</v>
      </c>
    </row>
    <row r="54" spans="1:9" x14ac:dyDescent="0.2">
      <c r="A54" s="46"/>
      <c r="B54" s="47" t="s">
        <v>17</v>
      </c>
      <c r="C54" s="48" t="s">
        <v>136</v>
      </c>
      <c r="D54" s="48"/>
      <c r="E54" s="49"/>
      <c r="F54" s="49">
        <f>'Cuadros Amortización'!G11</f>
        <v>4000</v>
      </c>
    </row>
    <row r="55" spans="1:9" x14ac:dyDescent="0.2">
      <c r="A55" s="46"/>
      <c r="B55" s="47" t="s">
        <v>19</v>
      </c>
      <c r="C55" s="48" t="s">
        <v>137</v>
      </c>
      <c r="D55" s="48"/>
      <c r="E55" s="49"/>
      <c r="F55" s="49">
        <f>'Cuadros Amortización'!G12</f>
        <v>937.5</v>
      </c>
    </row>
    <row r="56" spans="1:9" x14ac:dyDescent="0.2">
      <c r="A56" s="46"/>
      <c r="B56" s="47" t="s">
        <v>36</v>
      </c>
      <c r="C56" s="48" t="s">
        <v>138</v>
      </c>
      <c r="D56" s="48"/>
      <c r="E56" s="49"/>
      <c r="F56" s="49">
        <f>'Cuadros Amortización'!G13</f>
        <v>325</v>
      </c>
    </row>
    <row r="57" spans="1:9" x14ac:dyDescent="0.2">
      <c r="A57" s="46"/>
      <c r="B57" s="45" t="s">
        <v>20</v>
      </c>
      <c r="C57" s="48" t="s">
        <v>139</v>
      </c>
      <c r="D57" s="48"/>
      <c r="E57" s="49"/>
      <c r="F57" s="49">
        <f>'Cuadros Amortización'!G14</f>
        <v>900</v>
      </c>
    </row>
    <row r="58" spans="1:9" x14ac:dyDescent="0.2">
      <c r="A58" s="46"/>
      <c r="B58" s="45" t="s">
        <v>18</v>
      </c>
      <c r="C58" s="48" t="s">
        <v>140</v>
      </c>
      <c r="D58" s="48"/>
      <c r="E58" s="49"/>
      <c r="F58" s="49">
        <f>'Cuadros Amortización'!G15</f>
        <v>589.04109589041093</v>
      </c>
    </row>
    <row r="59" spans="1:9" x14ac:dyDescent="0.2">
      <c r="A59" s="62">
        <v>44926</v>
      </c>
      <c r="B59" s="66" t="s">
        <v>141</v>
      </c>
      <c r="C59" s="64" t="s">
        <v>142</v>
      </c>
      <c r="D59" s="64" t="s">
        <v>170</v>
      </c>
      <c r="E59" s="65">
        <f>$F$7</f>
        <v>4950</v>
      </c>
      <c r="F59" s="65"/>
      <c r="H59" s="7"/>
      <c r="I59" s="67" t="s">
        <v>65</v>
      </c>
    </row>
    <row r="60" spans="1:9" x14ac:dyDescent="0.2">
      <c r="A60" s="62"/>
      <c r="B60" s="66" t="s">
        <v>146</v>
      </c>
      <c r="C60" s="64" t="s">
        <v>147</v>
      </c>
      <c r="D60" s="64"/>
      <c r="E60" s="65">
        <f>E59*0.5/100</f>
        <v>24.75</v>
      </c>
      <c r="F60" s="65"/>
    </row>
    <row r="61" spans="1:9" x14ac:dyDescent="0.2">
      <c r="A61" s="62"/>
      <c r="B61" s="63" t="s">
        <v>117</v>
      </c>
      <c r="C61" s="64" t="s">
        <v>118</v>
      </c>
      <c r="D61" s="64"/>
      <c r="E61" s="65"/>
      <c r="F61" s="65">
        <f>E59+E60</f>
        <v>4974.75</v>
      </c>
    </row>
    <row r="62" spans="1:9" x14ac:dyDescent="0.2">
      <c r="A62" s="62">
        <v>44926</v>
      </c>
      <c r="B62" s="66" t="s">
        <v>121</v>
      </c>
      <c r="C62" s="64" t="s">
        <v>122</v>
      </c>
      <c r="D62" s="64" t="s">
        <v>167</v>
      </c>
      <c r="E62" s="65">
        <f>$F$7</f>
        <v>4950</v>
      </c>
      <c r="F62" s="65"/>
      <c r="H62" s="7"/>
      <c r="I62" s="67" t="s">
        <v>57</v>
      </c>
    </row>
    <row r="63" spans="1:9" x14ac:dyDescent="0.2">
      <c r="A63" s="62"/>
      <c r="B63" s="66" t="s">
        <v>141</v>
      </c>
      <c r="C63" s="64" t="s">
        <v>142</v>
      </c>
      <c r="D63" s="64"/>
      <c r="E63" s="65"/>
      <c r="F63" s="65">
        <f>E62</f>
        <v>4950</v>
      </c>
    </row>
    <row r="64" spans="1:9" x14ac:dyDescent="0.2">
      <c r="A64" s="54">
        <v>44932</v>
      </c>
      <c r="B64" s="42" t="s">
        <v>117</v>
      </c>
      <c r="C64" s="55" t="s">
        <v>110</v>
      </c>
      <c r="D64" s="55" t="s">
        <v>161</v>
      </c>
      <c r="E64" s="56">
        <v>30250</v>
      </c>
      <c r="F64" s="56"/>
      <c r="H64" s="40" t="s">
        <v>66</v>
      </c>
      <c r="I64" s="39" t="s">
        <v>67</v>
      </c>
    </row>
    <row r="65" spans="1:9" x14ac:dyDescent="0.2">
      <c r="A65" s="54"/>
      <c r="B65" s="42" t="s">
        <v>159</v>
      </c>
      <c r="C65" s="55" t="s">
        <v>160</v>
      </c>
      <c r="D65" s="55"/>
      <c r="E65" s="56"/>
      <c r="F65" s="56">
        <v>30250</v>
      </c>
      <c r="H65" s="7"/>
      <c r="I65" s="4" t="s">
        <v>68</v>
      </c>
    </row>
    <row r="66" spans="1:9" x14ac:dyDescent="0.2">
      <c r="A66" s="46">
        <v>44932</v>
      </c>
      <c r="B66" s="47" t="s">
        <v>27</v>
      </c>
      <c r="C66" s="48" t="s">
        <v>9</v>
      </c>
      <c r="D66" s="48" t="s">
        <v>162</v>
      </c>
      <c r="E66" s="49">
        <v>25000</v>
      </c>
      <c r="F66" s="49"/>
      <c r="H66" s="7"/>
      <c r="I66" s="4" t="s">
        <v>69</v>
      </c>
    </row>
    <row r="67" spans="1:9" x14ac:dyDescent="0.2">
      <c r="A67" s="46"/>
      <c r="B67" s="47" t="s">
        <v>125</v>
      </c>
      <c r="C67" s="48" t="s">
        <v>126</v>
      </c>
      <c r="D67" s="48"/>
      <c r="E67" s="49">
        <f>E66*21/100</f>
        <v>5250</v>
      </c>
      <c r="F67" s="49"/>
    </row>
    <row r="68" spans="1:9" x14ac:dyDescent="0.2">
      <c r="A68" s="46"/>
      <c r="B68" s="47" t="s">
        <v>117</v>
      </c>
      <c r="C68" s="48" t="s">
        <v>118</v>
      </c>
      <c r="D68" s="48"/>
      <c r="E68" s="49"/>
      <c r="F68" s="49">
        <f>SUM(E66:E67)</f>
        <v>30250</v>
      </c>
    </row>
    <row r="69" spans="1:9" x14ac:dyDescent="0.2">
      <c r="A69" s="54">
        <v>45593</v>
      </c>
      <c r="B69" s="42" t="s">
        <v>133</v>
      </c>
      <c r="C69" s="55" t="s">
        <v>134</v>
      </c>
      <c r="D69" s="55" t="s">
        <v>171</v>
      </c>
      <c r="E69" s="56">
        <v>742.19</v>
      </c>
      <c r="F69" s="56"/>
      <c r="H69" s="40" t="s">
        <v>72</v>
      </c>
      <c r="I69" s="39" t="s">
        <v>73</v>
      </c>
    </row>
    <row r="70" spans="1:9" x14ac:dyDescent="0.2">
      <c r="A70" s="54"/>
      <c r="B70" s="42" t="s">
        <v>20</v>
      </c>
      <c r="C70" s="55" t="s">
        <v>139</v>
      </c>
      <c r="D70" s="55"/>
      <c r="E70" s="56"/>
      <c r="F70" s="56">
        <f>E69</f>
        <v>742.19</v>
      </c>
      <c r="H70" s="7"/>
    </row>
    <row r="71" spans="1:9" x14ac:dyDescent="0.2">
      <c r="A71" s="46">
        <v>45227</v>
      </c>
      <c r="B71" s="47" t="s">
        <v>117</v>
      </c>
      <c r="C71" s="48" t="s">
        <v>118</v>
      </c>
      <c r="D71" s="48" t="s">
        <v>163</v>
      </c>
      <c r="E71" s="49">
        <v>2000</v>
      </c>
      <c r="F71" s="49"/>
      <c r="I71" s="61" t="s">
        <v>81</v>
      </c>
    </row>
    <row r="72" spans="1:9" x14ac:dyDescent="0.2">
      <c r="A72" s="46"/>
      <c r="B72" s="45" t="s">
        <v>20</v>
      </c>
      <c r="C72" s="48" t="s">
        <v>139</v>
      </c>
      <c r="D72" s="48"/>
      <c r="E72" s="49">
        <f>'Cuadros Amortización'!K14</f>
        <v>2359.7260273972602</v>
      </c>
      <c r="F72" s="49"/>
    </row>
    <row r="73" spans="1:9" x14ac:dyDescent="0.2">
      <c r="A73" s="46"/>
      <c r="B73" s="47" t="s">
        <v>26</v>
      </c>
      <c r="C73" s="48" t="s">
        <v>10</v>
      </c>
      <c r="D73" s="48"/>
      <c r="E73" s="49"/>
      <c r="F73" s="49">
        <v>12000</v>
      </c>
    </row>
    <row r="74" spans="1:9" x14ac:dyDescent="0.2">
      <c r="A74" s="46"/>
      <c r="B74" s="47" t="s">
        <v>164</v>
      </c>
      <c r="C74" s="48" t="s">
        <v>165</v>
      </c>
      <c r="D74" s="48"/>
      <c r="E74" s="49">
        <f>F73-SUM(E71:E72)</f>
        <v>7640.2739726027394</v>
      </c>
      <c r="F74" s="49"/>
    </row>
    <row r="75" spans="1:9" x14ac:dyDescent="0.2">
      <c r="A75" s="54">
        <v>45291</v>
      </c>
      <c r="B75" s="42" t="s">
        <v>133</v>
      </c>
      <c r="C75" s="55" t="s">
        <v>134</v>
      </c>
      <c r="D75" s="55" t="s">
        <v>172</v>
      </c>
      <c r="E75" s="56">
        <f>'Cuadros Amortización'!H17</f>
        <v>14196.746575342466</v>
      </c>
      <c r="F75" s="56"/>
      <c r="H75" s="38" t="s">
        <v>74</v>
      </c>
      <c r="I75" s="39" t="s">
        <v>60</v>
      </c>
    </row>
    <row r="76" spans="1:9" x14ac:dyDescent="0.2">
      <c r="A76" s="54"/>
      <c r="B76" s="42" t="s">
        <v>17</v>
      </c>
      <c r="C76" s="55" t="s">
        <v>136</v>
      </c>
      <c r="D76" s="55"/>
      <c r="E76" s="56"/>
      <c r="F76" s="56">
        <f>'Cuadros Amortización'!H11</f>
        <v>4000</v>
      </c>
      <c r="H76" s="7"/>
    </row>
    <row r="77" spans="1:9" x14ac:dyDescent="0.2">
      <c r="A77" s="54"/>
      <c r="B77" s="42" t="s">
        <v>19</v>
      </c>
      <c r="C77" s="55" t="s">
        <v>137</v>
      </c>
      <c r="D77" s="55"/>
      <c r="E77" s="56"/>
      <c r="F77" s="56">
        <f>'Cuadros Amortización'!H12</f>
        <v>937.5</v>
      </c>
      <c r="H77" s="7"/>
    </row>
    <row r="78" spans="1:9" x14ac:dyDescent="0.2">
      <c r="A78" s="54"/>
      <c r="B78" s="42" t="s">
        <v>36</v>
      </c>
      <c r="C78" s="55" t="s">
        <v>138</v>
      </c>
      <c r="D78" s="55"/>
      <c r="E78" s="56"/>
      <c r="F78" s="56">
        <f>'Cuadros Amortización'!I13</f>
        <v>325</v>
      </c>
    </row>
    <row r="79" spans="1:9" x14ac:dyDescent="0.2">
      <c r="A79" s="54"/>
      <c r="B79" s="73" t="s">
        <v>18</v>
      </c>
      <c r="C79" s="55" t="s">
        <v>140</v>
      </c>
      <c r="D79" s="55"/>
      <c r="E79" s="56"/>
      <c r="F79" s="56">
        <f>'Cuadros Amortización'!H15</f>
        <v>5000</v>
      </c>
    </row>
    <row r="80" spans="1:9" x14ac:dyDescent="0.2">
      <c r="A80" s="54"/>
      <c r="B80" s="40" t="s">
        <v>20</v>
      </c>
      <c r="C80" s="55" t="s">
        <v>173</v>
      </c>
      <c r="D80" s="55"/>
      <c r="E80" s="56"/>
      <c r="F80" s="56">
        <f>'Cuadros Amortización'!H16</f>
        <v>3934.2465753424653</v>
      </c>
    </row>
    <row r="81" spans="1:9" x14ac:dyDescent="0.2">
      <c r="A81" s="46">
        <v>45291</v>
      </c>
      <c r="B81" s="47" t="s">
        <v>159</v>
      </c>
      <c r="C81" s="48" t="s">
        <v>160</v>
      </c>
      <c r="D81" s="48" t="s">
        <v>176</v>
      </c>
      <c r="E81" s="49">
        <f>'Cuadros Amortización'!H16</f>
        <v>3934.2465753424653</v>
      </c>
      <c r="F81" s="49"/>
      <c r="I81" s="61" t="s">
        <v>178</v>
      </c>
    </row>
    <row r="82" spans="1:9" x14ac:dyDescent="0.2">
      <c r="A82" s="46"/>
      <c r="B82" s="47" t="s">
        <v>218</v>
      </c>
      <c r="C82" s="48" t="s">
        <v>177</v>
      </c>
      <c r="D82" s="48"/>
      <c r="E82" s="49"/>
      <c r="F82" s="49">
        <f>E81</f>
        <v>3934.2465753424653</v>
      </c>
    </row>
    <row r="83" spans="1:9" x14ac:dyDescent="0.2">
      <c r="A83" s="62">
        <v>45291</v>
      </c>
      <c r="B83" s="66" t="s">
        <v>141</v>
      </c>
      <c r="C83" s="64" t="s">
        <v>142</v>
      </c>
      <c r="D83" s="64" t="s">
        <v>201</v>
      </c>
      <c r="E83" s="65">
        <f>$F$7</f>
        <v>4950</v>
      </c>
      <c r="F83" s="65"/>
      <c r="I83" s="67" t="s">
        <v>75</v>
      </c>
    </row>
    <row r="84" spans="1:9" x14ac:dyDescent="0.2">
      <c r="A84" s="62"/>
      <c r="B84" s="66" t="s">
        <v>146</v>
      </c>
      <c r="C84" s="64" t="s">
        <v>147</v>
      </c>
      <c r="D84" s="64"/>
      <c r="E84" s="65">
        <f>E83*0.5/100</f>
        <v>24.75</v>
      </c>
      <c r="F84" s="65"/>
    </row>
    <row r="85" spans="1:9" x14ac:dyDescent="0.2">
      <c r="A85" s="62"/>
      <c r="B85" s="63" t="s">
        <v>117</v>
      </c>
      <c r="C85" s="64" t="s">
        <v>118</v>
      </c>
      <c r="D85" s="64"/>
      <c r="E85" s="65"/>
      <c r="F85" s="65">
        <f>E83+E84</f>
        <v>4974.75</v>
      </c>
    </row>
    <row r="86" spans="1:9" x14ac:dyDescent="0.2">
      <c r="A86" s="62">
        <v>45291</v>
      </c>
      <c r="B86" s="66" t="s">
        <v>121</v>
      </c>
      <c r="C86" s="64" t="s">
        <v>122</v>
      </c>
      <c r="D86" s="64" t="s">
        <v>167</v>
      </c>
      <c r="E86" s="65">
        <f>$F$7</f>
        <v>4950</v>
      </c>
      <c r="F86" s="65"/>
      <c r="I86" s="67" t="s">
        <v>57</v>
      </c>
    </row>
    <row r="87" spans="1:9" x14ac:dyDescent="0.2">
      <c r="A87" s="62"/>
      <c r="B87" s="66" t="s">
        <v>141</v>
      </c>
      <c r="C87" s="64" t="s">
        <v>142</v>
      </c>
      <c r="D87" s="64"/>
      <c r="E87" s="65"/>
      <c r="F87" s="65">
        <f>E86</f>
        <v>4950</v>
      </c>
    </row>
    <row r="88" spans="1:9" x14ac:dyDescent="0.2">
      <c r="A88" s="46">
        <v>45366</v>
      </c>
      <c r="B88" s="47" t="s">
        <v>144</v>
      </c>
      <c r="C88" s="48" t="s">
        <v>145</v>
      </c>
      <c r="D88" s="48" t="s">
        <v>179</v>
      </c>
      <c r="E88" s="49">
        <f>F32</f>
        <v>14520</v>
      </c>
      <c r="F88" s="49"/>
      <c r="H88" s="70" t="s">
        <v>76</v>
      </c>
      <c r="I88" s="61" t="s">
        <v>77</v>
      </c>
    </row>
    <row r="89" spans="1:9" x14ac:dyDescent="0.2">
      <c r="A89" s="46"/>
      <c r="B89" s="47" t="s">
        <v>180</v>
      </c>
      <c r="C89" s="48" t="s">
        <v>181</v>
      </c>
      <c r="D89" s="48"/>
      <c r="E89" s="49"/>
      <c r="F89" s="49">
        <f>E88</f>
        <v>14520</v>
      </c>
    </row>
    <row r="90" spans="1:9" x14ac:dyDescent="0.2">
      <c r="A90" s="54">
        <v>45383</v>
      </c>
      <c r="B90" s="42" t="s">
        <v>182</v>
      </c>
      <c r="C90" s="55" t="s">
        <v>184</v>
      </c>
      <c r="D90" s="55" t="s">
        <v>183</v>
      </c>
      <c r="E90" s="56">
        <f>'Cuadros Amortización'!D6-'Cuadros Amortización'!G15-'Cuadros Amortización'!H15-10000</f>
        <v>44410.95890410959</v>
      </c>
      <c r="F90" s="56"/>
      <c r="H90" s="40" t="s">
        <v>79</v>
      </c>
      <c r="I90" s="39" t="s">
        <v>83</v>
      </c>
    </row>
    <row r="91" spans="1:9" x14ac:dyDescent="0.2">
      <c r="A91" s="54"/>
      <c r="B91" s="42" t="s">
        <v>185</v>
      </c>
      <c r="C91" s="55" t="s">
        <v>188</v>
      </c>
      <c r="D91" s="55"/>
      <c r="E91" s="56"/>
      <c r="F91" s="56">
        <f>E90</f>
        <v>44410.95890410959</v>
      </c>
    </row>
    <row r="92" spans="1:9" x14ac:dyDescent="0.2">
      <c r="A92" s="46">
        <v>45427</v>
      </c>
      <c r="B92" s="47" t="s">
        <v>133</v>
      </c>
      <c r="C92" s="48" t="s">
        <v>134</v>
      </c>
      <c r="D92" s="48" t="s">
        <v>186</v>
      </c>
      <c r="E92" s="49">
        <f>'Cuadros Amortización'!I15</f>
        <v>1863.013698630137</v>
      </c>
      <c r="F92" s="49"/>
      <c r="H92" s="70" t="s">
        <v>82</v>
      </c>
      <c r="I92" s="61" t="s">
        <v>84</v>
      </c>
    </row>
    <row r="93" spans="1:9" x14ac:dyDescent="0.2">
      <c r="A93" s="89"/>
      <c r="B93" s="90" t="s">
        <v>18</v>
      </c>
      <c r="C93" s="91" t="s">
        <v>140</v>
      </c>
      <c r="D93" s="91"/>
      <c r="E93" s="92"/>
      <c r="F93" s="92">
        <f>E92</f>
        <v>1863.013698630137</v>
      </c>
      <c r="H93" s="7"/>
    </row>
    <row r="94" spans="1:9" x14ac:dyDescent="0.2">
      <c r="A94" s="54"/>
      <c r="B94" s="47" t="s">
        <v>185</v>
      </c>
      <c r="C94" s="48" t="s">
        <v>188</v>
      </c>
      <c r="D94" s="48"/>
      <c r="E94" s="49">
        <v>15000</v>
      </c>
      <c r="F94" s="49"/>
      <c r="H94" s="7"/>
      <c r="I94" s="61" t="s">
        <v>221</v>
      </c>
    </row>
    <row r="95" spans="1:9" x14ac:dyDescent="0.2">
      <c r="A95" s="54"/>
      <c r="B95" s="47" t="s">
        <v>219</v>
      </c>
      <c r="C95" s="48" t="s">
        <v>220</v>
      </c>
      <c r="D95" s="48"/>
      <c r="E95" s="49"/>
      <c r="F95" s="49">
        <v>15000</v>
      </c>
      <c r="H95" s="7"/>
    </row>
    <row r="96" spans="1:9" x14ac:dyDescent="0.2">
      <c r="A96" s="54">
        <v>45427</v>
      </c>
      <c r="B96" s="42" t="s">
        <v>117</v>
      </c>
      <c r="C96" s="55" t="s">
        <v>118</v>
      </c>
      <c r="D96" s="55" t="s">
        <v>187</v>
      </c>
      <c r="E96" s="56">
        <v>25000</v>
      </c>
      <c r="F96" s="56"/>
      <c r="I96" s="39" t="s">
        <v>191</v>
      </c>
    </row>
    <row r="97" spans="1:9" x14ac:dyDescent="0.2">
      <c r="A97" s="54"/>
      <c r="B97" s="42" t="s">
        <v>18</v>
      </c>
      <c r="C97" s="55" t="s">
        <v>140</v>
      </c>
      <c r="D97" s="55"/>
      <c r="E97" s="56">
        <f>'Cuadros Amortización'!K15</f>
        <v>7452.0547945205481</v>
      </c>
      <c r="F97" s="56"/>
    </row>
    <row r="98" spans="1:9" x14ac:dyDescent="0.2">
      <c r="A98" s="54"/>
      <c r="B98" s="42" t="s">
        <v>185</v>
      </c>
      <c r="C98" s="55" t="s">
        <v>188</v>
      </c>
      <c r="D98" s="55"/>
      <c r="E98" s="56">
        <v>29410.959999999999</v>
      </c>
      <c r="F98" s="56"/>
    </row>
    <row r="99" spans="1:9" x14ac:dyDescent="0.2">
      <c r="A99" s="54"/>
      <c r="B99" s="42" t="s">
        <v>23</v>
      </c>
      <c r="C99" s="55" t="s">
        <v>8</v>
      </c>
      <c r="D99" s="55"/>
      <c r="E99" s="56"/>
      <c r="F99" s="56">
        <v>60000</v>
      </c>
    </row>
    <row r="100" spans="1:9" x14ac:dyDescent="0.2">
      <c r="A100" s="54"/>
      <c r="B100" s="42" t="s">
        <v>189</v>
      </c>
      <c r="C100" s="55" t="s">
        <v>190</v>
      </c>
      <c r="D100" s="55"/>
      <c r="E100" s="56"/>
      <c r="F100" s="56">
        <f>(SUM(E96:E98)-F99)</f>
        <v>1863.0147945205463</v>
      </c>
    </row>
    <row r="101" spans="1:9" x14ac:dyDescent="0.2">
      <c r="A101" s="46"/>
      <c r="B101" s="47" t="s">
        <v>144</v>
      </c>
      <c r="C101" s="48" t="s">
        <v>192</v>
      </c>
      <c r="D101" s="48" t="s">
        <v>193</v>
      </c>
      <c r="E101" s="49">
        <v>60500</v>
      </c>
      <c r="F101" s="49"/>
      <c r="I101" s="61" t="s">
        <v>88</v>
      </c>
    </row>
    <row r="102" spans="1:9" x14ac:dyDescent="0.2">
      <c r="A102" s="46"/>
      <c r="B102" s="47" t="s">
        <v>180</v>
      </c>
      <c r="C102" s="48" t="s">
        <v>181</v>
      </c>
      <c r="D102" s="48"/>
      <c r="E102" s="49"/>
      <c r="F102" s="49">
        <v>25000</v>
      </c>
    </row>
    <row r="103" spans="1:9" x14ac:dyDescent="0.2">
      <c r="A103" s="46"/>
      <c r="B103" s="47" t="s">
        <v>112</v>
      </c>
      <c r="C103" s="48" t="s">
        <v>113</v>
      </c>
      <c r="D103" s="48"/>
      <c r="E103" s="49"/>
      <c r="F103" s="49">
        <f>E101-F102</f>
        <v>35500</v>
      </c>
    </row>
    <row r="104" spans="1:9" x14ac:dyDescent="0.2">
      <c r="A104" s="54">
        <v>45453</v>
      </c>
      <c r="B104" s="42" t="s">
        <v>133</v>
      </c>
      <c r="C104" s="55" t="s">
        <v>134</v>
      </c>
      <c r="D104" s="55" t="s">
        <v>194</v>
      </c>
      <c r="E104" s="56">
        <f>'Cuadros Amortización'!I16</f>
        <v>1775.3424657534244</v>
      </c>
      <c r="F104" s="56"/>
      <c r="H104" s="40" t="s">
        <v>80</v>
      </c>
      <c r="I104" s="39" t="s">
        <v>78</v>
      </c>
    </row>
    <row r="105" spans="1:9" x14ac:dyDescent="0.2">
      <c r="A105" s="54"/>
      <c r="B105" s="42" t="s">
        <v>20</v>
      </c>
      <c r="C105" s="55" t="s">
        <v>173</v>
      </c>
      <c r="D105" s="55"/>
      <c r="E105" s="56"/>
      <c r="F105" s="56">
        <f>E104</f>
        <v>1775.3424657534244</v>
      </c>
    </row>
    <row r="106" spans="1:9" x14ac:dyDescent="0.2">
      <c r="A106" s="46"/>
      <c r="B106" s="47" t="s">
        <v>159</v>
      </c>
      <c r="C106" s="48" t="s">
        <v>160</v>
      </c>
      <c r="D106" s="48" t="s">
        <v>176</v>
      </c>
      <c r="E106" s="49">
        <f>E104</f>
        <v>1775.3424657534244</v>
      </c>
      <c r="F106" s="49"/>
      <c r="I106" s="61" t="s">
        <v>178</v>
      </c>
    </row>
    <row r="107" spans="1:9" x14ac:dyDescent="0.2">
      <c r="A107" s="46"/>
      <c r="B107" s="47" t="s">
        <v>218</v>
      </c>
      <c r="C107" s="48" t="s">
        <v>177</v>
      </c>
      <c r="D107" s="48"/>
      <c r="E107" s="49"/>
      <c r="F107" s="49">
        <f>E106</f>
        <v>1775.3424657534244</v>
      </c>
    </row>
    <row r="108" spans="1:9" x14ac:dyDescent="0.2">
      <c r="A108" s="54">
        <v>45453</v>
      </c>
      <c r="B108" s="42" t="s">
        <v>20</v>
      </c>
      <c r="C108" s="55" t="s">
        <v>173</v>
      </c>
      <c r="D108" s="55" t="s">
        <v>196</v>
      </c>
      <c r="E108" s="56">
        <f>'Cuadros Amortización'!K16</f>
        <v>5709.58904109589</v>
      </c>
      <c r="F108" s="56"/>
      <c r="I108" s="39" t="s">
        <v>196</v>
      </c>
    </row>
    <row r="109" spans="1:9" x14ac:dyDescent="0.2">
      <c r="A109" s="54"/>
      <c r="B109" s="42" t="s">
        <v>27</v>
      </c>
      <c r="C109" s="55" t="s">
        <v>9</v>
      </c>
      <c r="D109" s="55"/>
      <c r="E109" s="56"/>
      <c r="F109" s="56">
        <v>25000</v>
      </c>
    </row>
    <row r="110" spans="1:9" x14ac:dyDescent="0.2">
      <c r="A110" s="54"/>
      <c r="B110" s="42" t="s">
        <v>164</v>
      </c>
      <c r="C110" s="55" t="s">
        <v>165</v>
      </c>
      <c r="D110" s="55"/>
      <c r="E110" s="56">
        <f>F109-E108</f>
        <v>19290.410958904111</v>
      </c>
      <c r="F110" s="56"/>
    </row>
    <row r="111" spans="1:9" x14ac:dyDescent="0.2">
      <c r="A111" s="46">
        <v>45453</v>
      </c>
      <c r="B111" s="47" t="s">
        <v>159</v>
      </c>
      <c r="C111" s="48" t="s">
        <v>160</v>
      </c>
      <c r="D111" s="48" t="s">
        <v>197</v>
      </c>
      <c r="E111" s="49">
        <v>24540.41</v>
      </c>
      <c r="F111" s="49"/>
      <c r="I111" s="61" t="s">
        <v>198</v>
      </c>
    </row>
    <row r="112" spans="1:9" x14ac:dyDescent="0.2">
      <c r="A112" s="46"/>
      <c r="B112" s="47" t="s">
        <v>180</v>
      </c>
      <c r="C112" s="48" t="s">
        <v>181</v>
      </c>
      <c r="D112" s="48"/>
      <c r="E112" s="49"/>
      <c r="F112" s="49">
        <v>24540.41</v>
      </c>
    </row>
    <row r="113" spans="1:9" x14ac:dyDescent="0.2">
      <c r="A113" s="54">
        <v>45657</v>
      </c>
      <c r="B113" s="42" t="s">
        <v>133</v>
      </c>
      <c r="C113" s="55" t="s">
        <v>134</v>
      </c>
      <c r="D113" s="55" t="s">
        <v>199</v>
      </c>
      <c r="E113" s="56">
        <f>'Cuadros Amortización'!I17</f>
        <v>5262.5000000000009</v>
      </c>
      <c r="F113" s="56"/>
      <c r="H113" s="38" t="s">
        <v>85</v>
      </c>
      <c r="I113" s="39" t="s">
        <v>60</v>
      </c>
    </row>
    <row r="114" spans="1:9" x14ac:dyDescent="0.2">
      <c r="A114" s="54"/>
      <c r="B114" s="42" t="s">
        <v>17</v>
      </c>
      <c r="C114" s="55" t="s">
        <v>136</v>
      </c>
      <c r="D114" s="55"/>
      <c r="E114" s="56"/>
      <c r="F114" s="56">
        <f>'Cuadros Amortización'!I11</f>
        <v>4000</v>
      </c>
    </row>
    <row r="115" spans="1:9" x14ac:dyDescent="0.2">
      <c r="A115" s="54"/>
      <c r="B115" s="42" t="s">
        <v>19</v>
      </c>
      <c r="C115" s="55" t="s">
        <v>137</v>
      </c>
      <c r="D115" s="55"/>
      <c r="E115" s="56"/>
      <c r="F115" s="56">
        <f>'Cuadros Amortización'!I12</f>
        <v>937.5</v>
      </c>
    </row>
    <row r="116" spans="1:9" x14ac:dyDescent="0.2">
      <c r="A116" s="54"/>
      <c r="B116" s="42" t="s">
        <v>36</v>
      </c>
      <c r="C116" s="55" t="s">
        <v>138</v>
      </c>
      <c r="D116" s="55"/>
      <c r="E116" s="56"/>
      <c r="F116" s="56">
        <f>'Cuadros Amortización'!I13</f>
        <v>325</v>
      </c>
    </row>
    <row r="117" spans="1:9" x14ac:dyDescent="0.2">
      <c r="A117" s="62">
        <v>45657</v>
      </c>
      <c r="B117" s="66" t="s">
        <v>141</v>
      </c>
      <c r="C117" s="64" t="s">
        <v>142</v>
      </c>
      <c r="D117" s="64" t="s">
        <v>202</v>
      </c>
      <c r="E117" s="65">
        <f>$F$7</f>
        <v>4950</v>
      </c>
      <c r="F117" s="65"/>
      <c r="I117" s="4" t="s">
        <v>86</v>
      </c>
    </row>
    <row r="118" spans="1:9" x14ac:dyDescent="0.2">
      <c r="A118" s="62"/>
      <c r="B118" s="66" t="s">
        <v>146</v>
      </c>
      <c r="C118" s="64" t="s">
        <v>147</v>
      </c>
      <c r="D118" s="64"/>
      <c r="E118" s="65">
        <f>E117*0.5/100</f>
        <v>24.75</v>
      </c>
      <c r="F118" s="65"/>
      <c r="H118" s="7"/>
    </row>
    <row r="119" spans="1:9" x14ac:dyDescent="0.2">
      <c r="A119" s="62"/>
      <c r="B119" s="63" t="s">
        <v>117</v>
      </c>
      <c r="C119" s="64" t="s">
        <v>118</v>
      </c>
      <c r="D119" s="64"/>
      <c r="E119" s="65"/>
      <c r="F119" s="65">
        <f>E117+E118</f>
        <v>4974.75</v>
      </c>
      <c r="H119" s="7"/>
    </row>
    <row r="120" spans="1:9" x14ac:dyDescent="0.2">
      <c r="A120" s="62">
        <v>45657</v>
      </c>
      <c r="B120" s="66" t="s">
        <v>121</v>
      </c>
      <c r="C120" s="64" t="s">
        <v>122</v>
      </c>
      <c r="D120" s="64" t="s">
        <v>167</v>
      </c>
      <c r="E120" s="65">
        <f>$F$7</f>
        <v>4950</v>
      </c>
      <c r="F120" s="65"/>
      <c r="I120" s="4" t="s">
        <v>57</v>
      </c>
    </row>
    <row r="121" spans="1:9" x14ac:dyDescent="0.2">
      <c r="A121" s="62"/>
      <c r="B121" s="66" t="s">
        <v>141</v>
      </c>
      <c r="C121" s="64" t="s">
        <v>142</v>
      </c>
      <c r="D121" s="64"/>
      <c r="E121" s="65"/>
      <c r="F121" s="65">
        <f>E120</f>
        <v>4950</v>
      </c>
    </row>
    <row r="122" spans="1:9" x14ac:dyDescent="0.2">
      <c r="A122" s="54">
        <v>45678</v>
      </c>
      <c r="B122" s="42" t="s">
        <v>133</v>
      </c>
      <c r="C122" s="55" t="s">
        <v>134</v>
      </c>
      <c r="D122" s="55" t="s">
        <v>207</v>
      </c>
      <c r="E122" s="56">
        <f>'Cuadros Amortización'!J17</f>
        <v>302.77397260273972</v>
      </c>
      <c r="F122" s="56"/>
      <c r="H122" s="40" t="s">
        <v>89</v>
      </c>
      <c r="I122" s="39" t="s">
        <v>203</v>
      </c>
    </row>
    <row r="123" spans="1:9" x14ac:dyDescent="0.2">
      <c r="A123" s="54"/>
      <c r="B123" s="42" t="s">
        <v>17</v>
      </c>
      <c r="C123" s="55" t="s">
        <v>136</v>
      </c>
      <c r="D123" s="55"/>
      <c r="E123" s="56"/>
      <c r="F123" s="56">
        <f>'Cuadros Amortización'!J11</f>
        <v>230.13698630136986</v>
      </c>
    </row>
    <row r="124" spans="1:9" x14ac:dyDescent="0.2">
      <c r="A124" s="54"/>
      <c r="B124" s="42" t="s">
        <v>19</v>
      </c>
      <c r="C124" s="55" t="s">
        <v>137</v>
      </c>
      <c r="D124" s="55"/>
      <c r="E124" s="56"/>
      <c r="F124" s="56">
        <f>'Cuadros Amortización'!J12</f>
        <v>53.938356164383556</v>
      </c>
    </row>
    <row r="125" spans="1:9" x14ac:dyDescent="0.2">
      <c r="A125" s="54"/>
      <c r="B125" s="42" t="s">
        <v>36</v>
      </c>
      <c r="C125" s="55" t="s">
        <v>138</v>
      </c>
      <c r="D125" s="55"/>
      <c r="E125" s="56"/>
      <c r="F125" s="56">
        <f>'Cuadros Amortización'!J13</f>
        <v>18.698630136986303</v>
      </c>
    </row>
    <row r="126" spans="1:9" x14ac:dyDescent="0.2">
      <c r="A126" s="46">
        <v>45678</v>
      </c>
      <c r="B126" s="47" t="s">
        <v>180</v>
      </c>
      <c r="C126" s="48" t="s">
        <v>181</v>
      </c>
      <c r="D126" s="48" t="s">
        <v>204</v>
      </c>
      <c r="E126" s="87">
        <f>80000+F128</f>
        <v>88000</v>
      </c>
      <c r="F126" s="49"/>
      <c r="H126" s="7"/>
      <c r="I126" s="61" t="s">
        <v>91</v>
      </c>
    </row>
    <row r="127" spans="1:9" x14ac:dyDescent="0.2">
      <c r="A127" s="46"/>
      <c r="B127" s="47" t="s">
        <v>22</v>
      </c>
      <c r="C127" s="48" t="s">
        <v>28</v>
      </c>
      <c r="D127" s="48"/>
      <c r="E127" s="49"/>
      <c r="F127" s="49">
        <v>90000</v>
      </c>
    </row>
    <row r="128" spans="1:9" x14ac:dyDescent="0.2">
      <c r="A128" s="46"/>
      <c r="B128" s="47" t="s">
        <v>208</v>
      </c>
      <c r="C128" s="48" t="s">
        <v>209</v>
      </c>
      <c r="D128" s="48"/>
      <c r="E128" s="49"/>
      <c r="F128" s="49">
        <f>80000*10/100</f>
        <v>8000</v>
      </c>
    </row>
    <row r="129" spans="1:9" x14ac:dyDescent="0.2">
      <c r="A129" s="46"/>
      <c r="B129" s="47" t="s">
        <v>17</v>
      </c>
      <c r="C129" s="48" t="s">
        <v>136</v>
      </c>
      <c r="D129" s="48"/>
      <c r="E129" s="49">
        <f>'Cuadros Amortización'!K11</f>
        <v>20230.136986301372</v>
      </c>
      <c r="F129" s="49"/>
    </row>
    <row r="130" spans="1:9" x14ac:dyDescent="0.2">
      <c r="A130" s="46"/>
      <c r="B130" s="47" t="s">
        <v>210</v>
      </c>
      <c r="C130" s="48" t="s">
        <v>211</v>
      </c>
      <c r="D130" s="48"/>
      <c r="E130" s="49"/>
      <c r="F130" s="49">
        <f>SUM(E126:E129)-SUM(F127:F128)</f>
        <v>10230.136986301368</v>
      </c>
    </row>
    <row r="131" spans="1:9" x14ac:dyDescent="0.2">
      <c r="A131" s="54">
        <v>45678</v>
      </c>
      <c r="B131" s="42" t="s">
        <v>180</v>
      </c>
      <c r="C131" s="55" t="s">
        <v>181</v>
      </c>
      <c r="D131" s="55" t="s">
        <v>212</v>
      </c>
      <c r="E131" s="88">
        <f>3000+F133</f>
        <v>3630</v>
      </c>
      <c r="F131" s="56"/>
      <c r="H131" s="7"/>
      <c r="I131" s="39" t="s">
        <v>92</v>
      </c>
    </row>
    <row r="132" spans="1:9" x14ac:dyDescent="0.2">
      <c r="A132" s="54"/>
      <c r="B132" s="42" t="s">
        <v>24</v>
      </c>
      <c r="C132" s="55" t="s">
        <v>12</v>
      </c>
      <c r="D132" s="55"/>
      <c r="E132" s="56"/>
      <c r="F132" s="56">
        <v>8000</v>
      </c>
    </row>
    <row r="133" spans="1:9" x14ac:dyDescent="0.2">
      <c r="A133" s="54"/>
      <c r="B133" s="42" t="s">
        <v>208</v>
      </c>
      <c r="C133" s="55" t="s">
        <v>209</v>
      </c>
      <c r="D133" s="55"/>
      <c r="E133" s="56"/>
      <c r="F133" s="56">
        <f>3000*21/100</f>
        <v>630</v>
      </c>
    </row>
    <row r="134" spans="1:9" x14ac:dyDescent="0.2">
      <c r="A134" s="54"/>
      <c r="B134" s="42" t="s">
        <v>19</v>
      </c>
      <c r="C134" s="55" t="s">
        <v>137</v>
      </c>
      <c r="D134" s="55"/>
      <c r="E134" s="56">
        <f>'Cuadros Amortización'!K12</f>
        <v>4551.3698630136987</v>
      </c>
      <c r="F134" s="56"/>
    </row>
    <row r="135" spans="1:9" x14ac:dyDescent="0.2">
      <c r="A135" s="54"/>
      <c r="B135" s="42" t="s">
        <v>213</v>
      </c>
      <c r="C135" s="55" t="s">
        <v>214</v>
      </c>
      <c r="D135" s="55"/>
      <c r="E135" s="56">
        <f>SUM(F132:F133)-SUM(E131:E134)</f>
        <v>448.6301369863013</v>
      </c>
      <c r="F135" s="56"/>
    </row>
    <row r="136" spans="1:9" x14ac:dyDescent="0.2">
      <c r="A136" s="46">
        <v>45678</v>
      </c>
      <c r="B136" s="47" t="s">
        <v>180</v>
      </c>
      <c r="C136" s="48" t="s">
        <v>181</v>
      </c>
      <c r="D136" s="48" t="s">
        <v>215</v>
      </c>
      <c r="E136" s="87">
        <f>600+F138</f>
        <v>726</v>
      </c>
      <c r="F136" s="49"/>
      <c r="H136" s="7"/>
      <c r="I136" s="61" t="s">
        <v>93</v>
      </c>
    </row>
    <row r="137" spans="1:9" x14ac:dyDescent="0.2">
      <c r="A137" s="46"/>
      <c r="B137" s="47" t="s">
        <v>25</v>
      </c>
      <c r="C137" s="48" t="s">
        <v>11</v>
      </c>
      <c r="D137" s="48"/>
      <c r="E137" s="49"/>
      <c r="F137" s="49">
        <v>1500</v>
      </c>
    </row>
    <row r="138" spans="1:9" x14ac:dyDescent="0.2">
      <c r="A138" s="46"/>
      <c r="B138" s="47" t="s">
        <v>208</v>
      </c>
      <c r="C138" s="48" t="s">
        <v>209</v>
      </c>
      <c r="D138" s="48"/>
      <c r="E138" s="49"/>
      <c r="F138" s="49">
        <f>600*21/100</f>
        <v>126</v>
      </c>
    </row>
    <row r="139" spans="1:9" x14ac:dyDescent="0.2">
      <c r="A139" s="46"/>
      <c r="B139" s="47" t="s">
        <v>36</v>
      </c>
      <c r="C139" s="48" t="s">
        <v>138</v>
      </c>
      <c r="D139" s="48"/>
      <c r="E139" s="49">
        <f>'Cuadros Amortización'!K13</f>
        <v>1481.65</v>
      </c>
      <c r="F139" s="49"/>
    </row>
    <row r="140" spans="1:9" x14ac:dyDescent="0.2">
      <c r="A140" s="46"/>
      <c r="B140" s="47" t="s">
        <v>210</v>
      </c>
      <c r="C140" s="48" t="s">
        <v>211</v>
      </c>
      <c r="D140" s="48"/>
      <c r="E140" s="49"/>
      <c r="F140" s="49">
        <f>SUM(E136:E139)-SUM(F137:F138)</f>
        <v>581.65000000000009</v>
      </c>
    </row>
    <row r="141" spans="1:9" x14ac:dyDescent="0.2">
      <c r="A141" s="62">
        <v>38373</v>
      </c>
      <c r="B141" s="66" t="s">
        <v>141</v>
      </c>
      <c r="C141" s="64" t="s">
        <v>142</v>
      </c>
      <c r="D141" s="64" t="s">
        <v>216</v>
      </c>
      <c r="E141" s="65">
        <v>4950</v>
      </c>
      <c r="F141" s="65"/>
      <c r="H141" s="7"/>
      <c r="I141" s="67" t="s">
        <v>94</v>
      </c>
    </row>
    <row r="142" spans="1:9" x14ac:dyDescent="0.2">
      <c r="A142" s="62"/>
      <c r="B142" s="66" t="s">
        <v>146</v>
      </c>
      <c r="C142" s="64" t="s">
        <v>147</v>
      </c>
      <c r="D142" s="64"/>
      <c r="E142" s="65">
        <f>(E141*0.5/100)/365*21</f>
        <v>1.4239726027397259</v>
      </c>
      <c r="F142" s="65"/>
    </row>
    <row r="143" spans="1:9" x14ac:dyDescent="0.2">
      <c r="A143" s="62"/>
      <c r="B143" s="63" t="s">
        <v>117</v>
      </c>
      <c r="C143" s="64" t="s">
        <v>118</v>
      </c>
      <c r="D143" s="64"/>
      <c r="E143" s="65"/>
      <c r="F143" s="65">
        <f>E141+E142</f>
        <v>4951.4239726027399</v>
      </c>
    </row>
    <row r="144" spans="1:9" x14ac:dyDescent="0.2">
      <c r="A144" s="62"/>
      <c r="B144" s="66" t="s">
        <v>121</v>
      </c>
      <c r="C144" s="64" t="s">
        <v>122</v>
      </c>
      <c r="D144" s="64" t="s">
        <v>217</v>
      </c>
      <c r="E144" s="65">
        <f>F6-E28-E41-E62-E86-E120</f>
        <v>69300</v>
      </c>
      <c r="F144" s="65"/>
    </row>
    <row r="145" spans="1:8" x14ac:dyDescent="0.2">
      <c r="A145" s="62"/>
      <c r="B145" s="63" t="s">
        <v>117</v>
      </c>
      <c r="C145" s="64" t="s">
        <v>118</v>
      </c>
      <c r="D145" s="64"/>
      <c r="E145" s="65"/>
      <c r="F145" s="65">
        <f>E144</f>
        <v>69300</v>
      </c>
    </row>
    <row r="146" spans="1:8" x14ac:dyDescent="0.2">
      <c r="A146" s="5">
        <v>45678</v>
      </c>
      <c r="B146" s="7" t="s">
        <v>223</v>
      </c>
      <c r="C146" s="4" t="s">
        <v>224</v>
      </c>
      <c r="D146" s="4" t="s">
        <v>222</v>
      </c>
      <c r="E146" s="60">
        <f>SUM(F147:F151)</f>
        <v>113699.95000000001</v>
      </c>
      <c r="H146" s="9"/>
    </row>
    <row r="147" spans="1:8" x14ac:dyDescent="0.2">
      <c r="B147" s="7" t="s">
        <v>133</v>
      </c>
      <c r="C147" s="4" t="s">
        <v>225</v>
      </c>
      <c r="F147" s="94">
        <v>41784.51</v>
      </c>
      <c r="H147" s="7"/>
    </row>
    <row r="148" spans="1:8" x14ac:dyDescent="0.2">
      <c r="B148" s="7" t="s">
        <v>146</v>
      </c>
      <c r="C148" s="4" t="s">
        <v>147</v>
      </c>
      <c r="F148" s="94">
        <v>125.17</v>
      </c>
    </row>
    <row r="149" spans="1:8" x14ac:dyDescent="0.2">
      <c r="B149" s="7" t="s">
        <v>164</v>
      </c>
      <c r="C149" s="4" t="s">
        <v>226</v>
      </c>
      <c r="F149" s="94">
        <v>26930.68</v>
      </c>
    </row>
    <row r="150" spans="1:8" x14ac:dyDescent="0.2">
      <c r="B150" s="7" t="s">
        <v>182</v>
      </c>
      <c r="C150" s="4" t="s">
        <v>227</v>
      </c>
      <c r="F150" s="94">
        <v>44410.96</v>
      </c>
    </row>
    <row r="151" spans="1:8" x14ac:dyDescent="0.2">
      <c r="B151" s="7" t="s">
        <v>213</v>
      </c>
      <c r="C151" s="4" t="s">
        <v>228</v>
      </c>
      <c r="F151" s="94">
        <v>448.63</v>
      </c>
    </row>
    <row r="152" spans="1:8" x14ac:dyDescent="0.2">
      <c r="A152" s="5">
        <v>45678</v>
      </c>
      <c r="B152" s="7" t="s">
        <v>223</v>
      </c>
      <c r="C152" s="4" t="s">
        <v>224</v>
      </c>
      <c r="D152" s="4" t="s">
        <v>222</v>
      </c>
      <c r="F152" s="60">
        <f>SUM(E153:E156)</f>
        <v>33384.39</v>
      </c>
    </row>
    <row r="153" spans="1:8" x14ac:dyDescent="0.2">
      <c r="B153" s="7" t="s">
        <v>218</v>
      </c>
      <c r="C153" s="4" t="s">
        <v>177</v>
      </c>
      <c r="E153" s="94">
        <v>5709.59</v>
      </c>
    </row>
    <row r="154" spans="1:8" x14ac:dyDescent="0.2">
      <c r="B154" s="7" t="s">
        <v>189</v>
      </c>
      <c r="C154" s="4" t="s">
        <v>229</v>
      </c>
      <c r="E154" s="94">
        <v>1863.01</v>
      </c>
    </row>
    <row r="155" spans="1:8" x14ac:dyDescent="0.2">
      <c r="B155" s="7" t="s">
        <v>219</v>
      </c>
      <c r="C155" s="4" t="s">
        <v>230</v>
      </c>
      <c r="E155" s="94">
        <v>15000</v>
      </c>
    </row>
    <row r="156" spans="1:8" x14ac:dyDescent="0.2">
      <c r="B156" s="7" t="s">
        <v>210</v>
      </c>
      <c r="C156" s="4" t="s">
        <v>231</v>
      </c>
      <c r="E156" s="94">
        <v>10811.79</v>
      </c>
    </row>
  </sheetData>
  <pageMargins left="0.7" right="0.7" top="0.75" bottom="0.75" header="0.3" footer="0.3"/>
  <pageSetup paperSize="9" orientation="portrait" r:id="rId1"/>
  <ignoredErrors>
    <ignoredError sqref="B3:B68" numberStoredAsText="1"/>
    <ignoredError sqref="H88:I8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Enunciado</vt:lpstr>
      <vt:lpstr>Cuadros Amortización</vt:lpstr>
      <vt:lpstr>Diario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CABRERIZO MARTINEZ</dc:creator>
  <cp:lastModifiedBy>ANA CABRERIZO MARTINEZ</cp:lastModifiedBy>
  <cp:lastPrinted>2024-04-21T08:47:49Z</cp:lastPrinted>
  <dcterms:created xsi:type="dcterms:W3CDTF">2024-04-18T05:38:43Z</dcterms:created>
  <dcterms:modified xsi:type="dcterms:W3CDTF">2024-04-21T18:23:48Z</dcterms:modified>
</cp:coreProperties>
</file>